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"/>
    </mc:Choice>
  </mc:AlternateContent>
  <xr:revisionPtr revIDLastSave="0" documentId="13_ncr:1_{EDDED0EA-D0C9-4CA2-8058-59B51F883DBF}" xr6:coauthVersionLast="45" xr6:coauthVersionMax="45" xr10:uidLastSave="{00000000-0000-0000-0000-000000000000}"/>
  <bookViews>
    <workbookView xWindow="-98" yWindow="-98" windowWidth="20715" windowHeight="13276" xr2:uid="{DAD39593-DB55-4B97-97DD-D479E90B8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</calcChain>
</file>

<file path=xl/sharedStrings.xml><?xml version="1.0" encoding="utf-8"?>
<sst xmlns="http://schemas.openxmlformats.org/spreadsheetml/2006/main" count="932" uniqueCount="932">
  <si>
    <t>Symbol</t>
  </si>
  <si>
    <t>Description</t>
  </si>
  <si>
    <t>P/C Ratio</t>
  </si>
  <si>
    <t>Impl Vol</t>
  </si>
  <si>
    <t>Last</t>
  </si>
  <si>
    <t>Volume</t>
  </si>
  <si>
    <t>Open.Int</t>
  </si>
  <si>
    <t>Bid</t>
  </si>
  <si>
    <t>Ask</t>
  </si>
  <si>
    <t>High</t>
  </si>
  <si>
    <t>Low</t>
  </si>
  <si>
    <t>Open</t>
  </si>
  <si>
    <t>Delta</t>
  </si>
  <si>
    <t>Gamma</t>
  </si>
  <si>
    <t>Theta</t>
  </si>
  <si>
    <t>Vega</t>
  </si>
  <si>
    <t>Rho</t>
  </si>
  <si>
    <t>Intrinsic</t>
  </si>
  <si>
    <t>Extrinsic</t>
  </si>
  <si>
    <t>Prob.ITM</t>
  </si>
  <si>
    <t>Prob.OTM</t>
  </si>
  <si>
    <t>Prob.Touch</t>
  </si>
  <si>
    <t>Strike</t>
  </si>
  <si>
    <t>AAXJ</t>
  </si>
  <si>
    <t>.AAXJ201120C83</t>
  </si>
  <si>
    <t>.AAXJ201120P83</t>
  </si>
  <si>
    <t>.AAXJ201120C84</t>
  </si>
  <si>
    <t>.AAXJ201120P84</t>
  </si>
  <si>
    <t>ACWI</t>
  </si>
  <si>
    <t>.ACWI201120C85</t>
  </si>
  <si>
    <t>.ACWI201120P85</t>
  </si>
  <si>
    <t>.ACWI201120C86</t>
  </si>
  <si>
    <t>.ACWI201120P86</t>
  </si>
  <si>
    <t>ACWX</t>
  </si>
  <si>
    <t>.ACWX201120C50</t>
  </si>
  <si>
    <t>.ACWX201120P50</t>
  </si>
  <si>
    <t>AGG</t>
  </si>
  <si>
    <t>.AGG201120C117</t>
  </si>
  <si>
    <t>.AGG201120P117</t>
  </si>
  <si>
    <t>AMLP</t>
  </si>
  <si>
    <t>.AMLP201120C23</t>
  </si>
  <si>
    <t>.AMLP201120P23</t>
  </si>
  <si>
    <t>.AMLP201120C23.5</t>
  </si>
  <si>
    <t>.AMLP201120P23.5</t>
  </si>
  <si>
    <t>.AMLP201120C24</t>
  </si>
  <si>
    <t>.AMLP201120P24</t>
  </si>
  <si>
    <t>ARKK</t>
  </si>
  <si>
    <t>.ARKK201120C97</t>
  </si>
  <si>
    <t>.ARKK201120P97</t>
  </si>
  <si>
    <t>.ARKK201120C98</t>
  </si>
  <si>
    <t>.ARKK201120P98</t>
  </si>
  <si>
    <t>.ARKK201120C99</t>
  </si>
  <si>
    <t>.ARKK201120P99</t>
  </si>
  <si>
    <t>.ARKK201120C100</t>
  </si>
  <si>
    <t>.ARKK201120P100</t>
  </si>
  <si>
    <t>ARKW</t>
  </si>
  <si>
    <t>.ARKW201120C116</t>
  </si>
  <si>
    <t>.ARKW201120P116</t>
  </si>
  <si>
    <t>.ARKW201120C117</t>
  </si>
  <si>
    <t>.ARKW201120P117</t>
  </si>
  <si>
    <t>.ARKW201120C118</t>
  </si>
  <si>
    <t>.ARKW201120P118</t>
  </si>
  <si>
    <t>.ARKW201120C119</t>
  </si>
  <si>
    <t>.ARKW201120P119</t>
  </si>
  <si>
    <t>ASHR</t>
  </si>
  <si>
    <t>.ASHR201120C37.5</t>
  </si>
  <si>
    <t>.ASHR201120P37.5</t>
  </si>
  <si>
    <t>.ASHR201120C38</t>
  </si>
  <si>
    <t>.ASHR201120P38</t>
  </si>
  <si>
    <t>BKLN</t>
  </si>
  <si>
    <t>.BKLN201120C22</t>
  </si>
  <si>
    <t>.BKLN201120P22</t>
  </si>
  <si>
    <t>BZQ</t>
  </si>
  <si>
    <t>.BZQ201120C12</t>
  </si>
  <si>
    <t>.BZQ201120P12</t>
  </si>
  <si>
    <t>DFEN</t>
  </si>
  <si>
    <t>.DFEN201120C13</t>
  </si>
  <si>
    <t>.DFEN201120P13</t>
  </si>
  <si>
    <t>.DFEN201120C14</t>
  </si>
  <si>
    <t>.DFEN201120P14</t>
  </si>
  <si>
    <t>DGRO</t>
  </si>
  <si>
    <t>.DGRO201120C43</t>
  </si>
  <si>
    <t>.DGRO201120P43</t>
  </si>
  <si>
    <t>DIA</t>
  </si>
  <si>
    <t>.DIA201120C291</t>
  </si>
  <si>
    <t>.DIA201120P291</t>
  </si>
  <si>
    <t>.DIA201120C292</t>
  </si>
  <si>
    <t>.DIA201120P292</t>
  </si>
  <si>
    <t>.DIA201120C292.5</t>
  </si>
  <si>
    <t>.DIA201120P292.5</t>
  </si>
  <si>
    <t>.DIA201120C293</t>
  </si>
  <si>
    <t>.DIA201120P293</t>
  </si>
  <si>
    <t>.DIA201120C294</t>
  </si>
  <si>
    <t>.DIA201120P294</t>
  </si>
  <si>
    <t>.DIA201120C295</t>
  </si>
  <si>
    <t>.DIA201120P295</t>
  </si>
  <si>
    <t>.DIA201120C296</t>
  </si>
  <si>
    <t>.DIA201120P296</t>
  </si>
  <si>
    <t>.DIA201120C297</t>
  </si>
  <si>
    <t>.DIA201120P297</t>
  </si>
  <si>
    <t>.DIA201120C297.5</t>
  </si>
  <si>
    <t>.DIA201120P297.5</t>
  </si>
  <si>
    <t>DRIP</t>
  </si>
  <si>
    <t>.DRIP201120C45</t>
  </si>
  <si>
    <t>.DRIP201120P45</t>
  </si>
  <si>
    <t>DVY</t>
  </si>
  <si>
    <t>.DVY201120C91</t>
  </si>
  <si>
    <t>.DVY201120P91</t>
  </si>
  <si>
    <t>.DVY201120C92</t>
  </si>
  <si>
    <t>.DVY201120P92</t>
  </si>
  <si>
    <t>.DVY201120C93</t>
  </si>
  <si>
    <t>.DVY201120P93</t>
  </si>
  <si>
    <t>DXD</t>
  </si>
  <si>
    <t>.DXD201120C14</t>
  </si>
  <si>
    <t>.DXD201120P14</t>
  </si>
  <si>
    <t>EEM</t>
  </si>
  <si>
    <t>.EEM201120C47.5</t>
  </si>
  <si>
    <t>.EEM201120P47.5</t>
  </si>
  <si>
    <t>.EEM201120C48</t>
  </si>
  <si>
    <t>.EEM201120P48</t>
  </si>
  <si>
    <t>.EEM201120C48.5</t>
  </si>
  <si>
    <t>.EEM201120P48.5</t>
  </si>
  <si>
    <t>EFA</t>
  </si>
  <si>
    <t>.EFA201120C69</t>
  </si>
  <si>
    <t>.EFA201120P69</t>
  </si>
  <si>
    <t>.EFA201120C69.5</t>
  </si>
  <si>
    <t>.EFA201120P69.5</t>
  </si>
  <si>
    <t>.EFA201120C70</t>
  </si>
  <si>
    <t>.EFA201120P70</t>
  </si>
  <si>
    <t>EFV</t>
  </si>
  <si>
    <t>.EFV201120C45</t>
  </si>
  <si>
    <t>.EFV201120P45</t>
  </si>
  <si>
    <t>EMB</t>
  </si>
  <si>
    <t>.EMB201120C114</t>
  </si>
  <si>
    <t>.EMB201120P114</t>
  </si>
  <si>
    <t>EMLC</t>
  </si>
  <si>
    <t>.EMLC201120C32</t>
  </si>
  <si>
    <t>.EMLC201120P32</t>
  </si>
  <si>
    <t>EUFN</t>
  </si>
  <si>
    <t>.EUFN201120C16</t>
  </si>
  <si>
    <t>.EUFN201120P16</t>
  </si>
  <si>
    <t>EWA</t>
  </si>
  <si>
    <t>.EWA201120C22</t>
  </si>
  <si>
    <t>.EWA201120P22</t>
  </si>
  <si>
    <t>EWC</t>
  </si>
  <si>
    <t>.EWC201120C29</t>
  </si>
  <si>
    <t>.EWC201120P29</t>
  </si>
  <si>
    <t>EWG</t>
  </si>
  <si>
    <t>.EWG201120C30</t>
  </si>
  <si>
    <t>.EWG201120P30</t>
  </si>
  <si>
    <t>EWH</t>
  </si>
  <si>
    <t>.EWH201120C24</t>
  </si>
  <si>
    <t>.EWH201120P24</t>
  </si>
  <si>
    <t>EWI</t>
  </si>
  <si>
    <t>.EWI201120C27</t>
  </si>
  <si>
    <t>.EWI201120P27</t>
  </si>
  <si>
    <t>EWJ</t>
  </si>
  <si>
    <t>.EWJ201120C63</t>
  </si>
  <si>
    <t>.EWJ201120P63</t>
  </si>
  <si>
    <t>.EWJ201120C63.5</t>
  </si>
  <si>
    <t>.EWJ201120P63.5</t>
  </si>
  <si>
    <t>.EWJ201120C64</t>
  </si>
  <si>
    <t>.EWJ201120P64</t>
  </si>
  <si>
    <t>EWL</t>
  </si>
  <si>
    <t>.EWL201120C43</t>
  </si>
  <si>
    <t>.EWL201120P43</t>
  </si>
  <si>
    <t>EWP</t>
  </si>
  <si>
    <t>.EWP201120C26</t>
  </si>
  <si>
    <t>.EWP201120P26</t>
  </si>
  <si>
    <t>EWT</t>
  </si>
  <si>
    <t>.EWT201120C48</t>
  </si>
  <si>
    <t>.EWT201120P48</t>
  </si>
  <si>
    <t>EWU</t>
  </si>
  <si>
    <t>.EWU201120C28.5</t>
  </si>
  <si>
    <t>.EWU201120P28.5</t>
  </si>
  <si>
    <t>EWW</t>
  </si>
  <si>
    <t>.EWW201120C38.5</t>
  </si>
  <si>
    <t>.EWW201120P38.5</t>
  </si>
  <si>
    <t>.EWW201120C39</t>
  </si>
  <si>
    <t>.EWW201120P39</t>
  </si>
  <si>
    <t>.EWW201120C39.5</t>
  </si>
  <si>
    <t>.EWW201120P39.5</t>
  </si>
  <si>
    <t>EWY</t>
  </si>
  <si>
    <t>.EWY201120C71.5</t>
  </si>
  <si>
    <t>.EWY201120P71.5</t>
  </si>
  <si>
    <t>.EWY201120C72</t>
  </si>
  <si>
    <t>.EWY201120P72</t>
  </si>
  <si>
    <t>.EWY201120C72.5</t>
  </si>
  <si>
    <t>.EWY201120P72.5</t>
  </si>
  <si>
    <t>.EWY201120C73</t>
  </si>
  <si>
    <t>.EWY201120P73</t>
  </si>
  <si>
    <t>.EWY201120C73.5</t>
  </si>
  <si>
    <t>.EWY201120P73.5</t>
  </si>
  <si>
    <t>EWZ</t>
  </si>
  <si>
    <t>.EWZ201120C31.5</t>
  </si>
  <si>
    <t>.EWZ201120P31.5</t>
  </si>
  <si>
    <t>.EWZ201120C32</t>
  </si>
  <si>
    <t>.EWZ201120P32</t>
  </si>
  <si>
    <t>EZU</t>
  </si>
  <si>
    <t>.EZU201120C42</t>
  </si>
  <si>
    <t>.EZU201120P42</t>
  </si>
  <si>
    <t>FEZ</t>
  </si>
  <si>
    <t>.FEZ201120C39.5</t>
  </si>
  <si>
    <t>.FEZ201120P39.5</t>
  </si>
  <si>
    <t>.FEZ201120C40</t>
  </si>
  <si>
    <t>.FEZ201120P40</t>
  </si>
  <si>
    <t>FVD</t>
  </si>
  <si>
    <t>.FVD201120C35</t>
  </si>
  <si>
    <t>.FVD201120P35</t>
  </si>
  <si>
    <t>FXI</t>
  </si>
  <si>
    <t>.FXI201120C47</t>
  </si>
  <si>
    <t>.FXI201120P47</t>
  </si>
  <si>
    <t>.FXI201120C47.5</t>
  </si>
  <si>
    <t>.FXI201120P47.5</t>
  </si>
  <si>
    <t>.FXI201120C48</t>
  </si>
  <si>
    <t>.FXI201120P48</t>
  </si>
  <si>
    <t>GDX</t>
  </si>
  <si>
    <t>.GDX201120C36.5</t>
  </si>
  <si>
    <t>.GDX201120P36.5</t>
  </si>
  <si>
    <t>.GDX201120C37</t>
  </si>
  <si>
    <t>.GDX201120P37</t>
  </si>
  <si>
    <t>.GDX201120C37.5</t>
  </si>
  <si>
    <t>.GDX201120P37.5</t>
  </si>
  <si>
    <t>GDXJ</t>
  </si>
  <si>
    <t>.GDXJ201120C52</t>
  </si>
  <si>
    <t>.GDXJ201120P52</t>
  </si>
  <si>
    <t>.GDXJ201120C52.5</t>
  </si>
  <si>
    <t>.GDXJ201120P52.5</t>
  </si>
  <si>
    <t>.GDXJ201120C53</t>
  </si>
  <si>
    <t>.GDXJ201120P53</t>
  </si>
  <si>
    <t>.GDXJ201120C53.5</t>
  </si>
  <si>
    <t>.GDXJ201120P53.5</t>
  </si>
  <si>
    <t>.GDXJ201120C54</t>
  </si>
  <si>
    <t>.GDXJ201120P54</t>
  </si>
  <si>
    <t>GUSH</t>
  </si>
  <si>
    <t>.GUSH201120C26</t>
  </si>
  <si>
    <t>.GUSH201120P26</t>
  </si>
  <si>
    <t>.GUSH201120C27</t>
  </si>
  <si>
    <t>.GUSH201120P27</t>
  </si>
  <si>
    <t>.GUSH201120C28</t>
  </si>
  <si>
    <t>.GUSH201120P28</t>
  </si>
  <si>
    <t>HYG</t>
  </si>
  <si>
    <t>.HYG201120C85.5</t>
  </si>
  <si>
    <t>.HYG201120P85.5</t>
  </si>
  <si>
    <t>.HYG201120C86</t>
  </si>
  <si>
    <t>.HYG201120P86</t>
  </si>
  <si>
    <t>HYLB</t>
  </si>
  <si>
    <t>.HYLB201120C49</t>
  </si>
  <si>
    <t>.HYLB201120P49</t>
  </si>
  <si>
    <t>IBB</t>
  </si>
  <si>
    <t>.IBB201120C138</t>
  </si>
  <si>
    <t>.IBB201120P138</t>
  </si>
  <si>
    <t>.IBB201120C138.5</t>
  </si>
  <si>
    <t>.IBB201120P138.5</t>
  </si>
  <si>
    <t>.IBB201120C139</t>
  </si>
  <si>
    <t>.IBB201120P139</t>
  </si>
  <si>
    <t>.IBB201120C139.5</t>
  </si>
  <si>
    <t>.IBB201120P139.5</t>
  </si>
  <si>
    <t>.IBB201120C140</t>
  </si>
  <si>
    <t>.IBB201120P140</t>
  </si>
  <si>
    <t>.IBB201120C140.5</t>
  </si>
  <si>
    <t>.IBB201120P140.5</t>
  </si>
  <si>
    <t>.IBB201120C141</t>
  </si>
  <si>
    <t>.IBB201120P141</t>
  </si>
  <si>
    <t>.IBB201120C141.5</t>
  </si>
  <si>
    <t>.IBB201120P141.5</t>
  </si>
  <si>
    <t>ICLN</t>
  </si>
  <si>
    <t>.ICLN201120C22</t>
  </si>
  <si>
    <t>.ICLN201120P22</t>
  </si>
  <si>
    <t>IEF</t>
  </si>
  <si>
    <t>.IEF201120C119.5</t>
  </si>
  <si>
    <t>.IEF201120P119.5</t>
  </si>
  <si>
    <t>IEFA</t>
  </si>
  <si>
    <t>.IEFA201120C65</t>
  </si>
  <si>
    <t>.IEFA201120P65</t>
  </si>
  <si>
    <t>.IEFA201120C66</t>
  </si>
  <si>
    <t>.IEFA201120P66</t>
  </si>
  <si>
    <t>IEMG</t>
  </si>
  <si>
    <t>.IEMG201120C57</t>
  </si>
  <si>
    <t>.IEMG201120P57</t>
  </si>
  <si>
    <t>.IEMG201120C58</t>
  </si>
  <si>
    <t>.IEMG201120P58</t>
  </si>
  <si>
    <t>IGIB</t>
  </si>
  <si>
    <t>.IGIB201120C61</t>
  </si>
  <si>
    <t>.IGIB201120P61</t>
  </si>
  <si>
    <t>IGV</t>
  </si>
  <si>
    <t>.IGV201120C315</t>
  </si>
  <si>
    <t>.IGV201120P315</t>
  </si>
  <si>
    <t>.IGV201120C320</t>
  </si>
  <si>
    <t>.IGV201120P320</t>
  </si>
  <si>
    <t>.IGV201120C325</t>
  </si>
  <si>
    <t>.IGV201120P325</t>
  </si>
  <si>
    <t>IJH</t>
  </si>
  <si>
    <t>.IJH201120C210</t>
  </si>
  <si>
    <t>.IJH201120P210</t>
  </si>
  <si>
    <t>IJR</t>
  </si>
  <si>
    <t>.IJR201120C80</t>
  </si>
  <si>
    <t>.IJR201120P80</t>
  </si>
  <si>
    <t>ILF</t>
  </si>
  <si>
    <t>.ILF201120C25</t>
  </si>
  <si>
    <t>.ILF201120P25</t>
  </si>
  <si>
    <t>INDA</t>
  </si>
  <si>
    <t>.INDA201120C36</t>
  </si>
  <si>
    <t>.INDA201120P36</t>
  </si>
  <si>
    <t>.INDA201120C36.5</t>
  </si>
  <si>
    <t>.INDA201120P36.5</t>
  </si>
  <si>
    <t>INDY</t>
  </si>
  <si>
    <t>.INDY201120C38</t>
  </si>
  <si>
    <t>.INDY201120P38</t>
  </si>
  <si>
    <t>ITB</t>
  </si>
  <si>
    <t>.ITB201120C54.5</t>
  </si>
  <si>
    <t>.ITB201120P54.5</t>
  </si>
  <si>
    <t>.ITB201120C55</t>
  </si>
  <si>
    <t>.ITB201120P55</t>
  </si>
  <si>
    <t>.ITB201120C55.5</t>
  </si>
  <si>
    <t>.ITB201120P55.5</t>
  </si>
  <si>
    <t>.ITB201120C56</t>
  </si>
  <si>
    <t>.ITB201120P56</t>
  </si>
  <si>
    <t>ITOT</t>
  </si>
  <si>
    <t>.ITOT201120C80</t>
  </si>
  <si>
    <t>.ITOT201120P80</t>
  </si>
  <si>
    <t>.ITOT201120C81</t>
  </si>
  <si>
    <t>.ITOT201120P81</t>
  </si>
  <si>
    <t>IVE</t>
  </si>
  <si>
    <t>.IVE201120C121</t>
  </si>
  <si>
    <t>.IVE201120P121</t>
  </si>
  <si>
    <t>.IVE201120C122</t>
  </si>
  <si>
    <t>.IVE201120P122</t>
  </si>
  <si>
    <t>.IVE201120C123</t>
  </si>
  <si>
    <t>.IVE201120P123</t>
  </si>
  <si>
    <t>IVV</t>
  </si>
  <si>
    <t>.IVV201120C354</t>
  </si>
  <si>
    <t>.IVV201120P354</t>
  </si>
  <si>
    <t>.IVV201120C355</t>
  </si>
  <si>
    <t>.IVV201120P355</t>
  </si>
  <si>
    <t>.IVV201120C356</t>
  </si>
  <si>
    <t>.IVV201120P356</t>
  </si>
  <si>
    <t>.IVV201120C357</t>
  </si>
  <si>
    <t>.IVV201120P357</t>
  </si>
  <si>
    <t>.IVV201120C357.5</t>
  </si>
  <si>
    <t>.IVV201120P357.5</t>
  </si>
  <si>
    <t>.IVV201120C358</t>
  </si>
  <si>
    <t>.IVV201120P358</t>
  </si>
  <si>
    <t>.IVV201120C359</t>
  </si>
  <si>
    <t>.IVV201120P359</t>
  </si>
  <si>
    <t>.IVV201120C360</t>
  </si>
  <si>
    <t>.IVV201120P360</t>
  </si>
  <si>
    <t>.IVV201120C361</t>
  </si>
  <si>
    <t>.IVV201120P361</t>
  </si>
  <si>
    <t>.IVV201120C362</t>
  </si>
  <si>
    <t>.IVV201120P362</t>
  </si>
  <si>
    <t>IVW</t>
  </si>
  <si>
    <t>.IVW201120C61.25</t>
  </si>
  <si>
    <t>.IVW201120P61.25</t>
  </si>
  <si>
    <t>IWD</t>
  </si>
  <si>
    <t>.IWD201120C128</t>
  </si>
  <si>
    <t>.IWD201120P128</t>
  </si>
  <si>
    <t>.IWD201120C129</t>
  </si>
  <si>
    <t>.IWD201120P129</t>
  </si>
  <si>
    <t>.IWD201120C130</t>
  </si>
  <si>
    <t>.IWD201120P130</t>
  </si>
  <si>
    <t>IWF</t>
  </si>
  <si>
    <t>.IWF201120C225</t>
  </si>
  <si>
    <t>.IWF201120P225</t>
  </si>
  <si>
    <t>.IWF201120C227.5</t>
  </si>
  <si>
    <t>.IWF201120P227.5</t>
  </si>
  <si>
    <t>IWM</t>
  </si>
  <si>
    <t>.IWM201120C170</t>
  </si>
  <si>
    <t>.IWM201120P170</t>
  </si>
  <si>
    <t>.IWM201120C171</t>
  </si>
  <si>
    <t>.IWM201120P171</t>
  </si>
  <si>
    <t>.IWM201120C172</t>
  </si>
  <si>
    <t>.IWM201120P172</t>
  </si>
  <si>
    <t>.IWM201120C172.5</t>
  </si>
  <si>
    <t>.IWM201120P172.5</t>
  </si>
  <si>
    <t>.IWM201120C173</t>
  </si>
  <si>
    <t>.IWM201120P173</t>
  </si>
  <si>
    <t>.IWM201120C174</t>
  </si>
  <si>
    <t>.IWM201120P174</t>
  </si>
  <si>
    <t>.IWM201120C175</t>
  </si>
  <si>
    <t>.IWM201120P175</t>
  </si>
  <si>
    <t>IXUS</t>
  </si>
  <si>
    <t>.IXUS201120C63</t>
  </si>
  <si>
    <t>.IXUS201120P63</t>
  </si>
  <si>
    <t>IYE</t>
  </si>
  <si>
    <t>.IYE201120C18</t>
  </si>
  <si>
    <t>.IYE201120P18</t>
  </si>
  <si>
    <t>IYR</t>
  </si>
  <si>
    <t>.IYR201120C84</t>
  </si>
  <si>
    <t>.IYR201120P84</t>
  </si>
  <si>
    <t>.IYR201120C84.5</t>
  </si>
  <si>
    <t>.IYR201120P84.5</t>
  </si>
  <si>
    <t>.IYR201120C85</t>
  </si>
  <si>
    <t>.IYR201120P85</t>
  </si>
  <si>
    <t>.IYR201120C85.5</t>
  </si>
  <si>
    <t>.IYR201120P85.5</t>
  </si>
  <si>
    <t>JETS</t>
  </si>
  <si>
    <t>.JETS201120C19.5</t>
  </si>
  <si>
    <t>.JETS201120P19.5</t>
  </si>
  <si>
    <t>.JETS201120C20</t>
  </si>
  <si>
    <t>.JETS201120P20</t>
  </si>
  <si>
    <t>JNK</t>
  </si>
  <si>
    <t>.JNK201120C106.5</t>
  </si>
  <si>
    <t>.JNK201120P106.5</t>
  </si>
  <si>
    <t>.JNK201120C107</t>
  </si>
  <si>
    <t>.JNK201120P107</t>
  </si>
  <si>
    <t>KBE</t>
  </si>
  <si>
    <t>.KBE201120C38</t>
  </si>
  <si>
    <t>.KBE201120P38</t>
  </si>
  <si>
    <t>KRE</t>
  </si>
  <si>
    <t>.KRE201120C46</t>
  </si>
  <si>
    <t>.KRE201120P46</t>
  </si>
  <si>
    <t>.KRE201120C46.5</t>
  </si>
  <si>
    <t>.KRE201120P46.5</t>
  </si>
  <si>
    <t>.KRE201120C47</t>
  </si>
  <si>
    <t>.KRE201120P47</t>
  </si>
  <si>
    <t>.KRE201120C47.5</t>
  </si>
  <si>
    <t>.KRE201120P47.5</t>
  </si>
  <si>
    <t>KWEB</t>
  </si>
  <si>
    <t>.KWEB201120C72</t>
  </si>
  <si>
    <t>.KWEB201120P72</t>
  </si>
  <si>
    <t>.KWEB201120C73</t>
  </si>
  <si>
    <t>.KWEB201120P73</t>
  </si>
  <si>
    <t>.KWEB201120C74</t>
  </si>
  <si>
    <t>.KWEB201120P74</t>
  </si>
  <si>
    <t>LQD</t>
  </si>
  <si>
    <t>.LQD201120C134.5</t>
  </si>
  <si>
    <t>.LQD201120P134.5</t>
  </si>
  <si>
    <t>.LQD201120C135</t>
  </si>
  <si>
    <t>.LQD201120P135</t>
  </si>
  <si>
    <t>.LQD201120C135.5</t>
  </si>
  <si>
    <t>.LQD201120P135.5</t>
  </si>
  <si>
    <t>MCHI</t>
  </si>
  <si>
    <t>.MCHI201120C80</t>
  </si>
  <si>
    <t>.MCHI201120P80</t>
  </si>
  <si>
    <t>MDY</t>
  </si>
  <si>
    <t>.MDY201120C380</t>
  </si>
  <si>
    <t>.MDY201120P380</t>
  </si>
  <si>
    <t>.MDY201120C382.5</t>
  </si>
  <si>
    <t>.MDY201120P382.5</t>
  </si>
  <si>
    <t>.MDY201120C385</t>
  </si>
  <si>
    <t>.MDY201120P385</t>
  </si>
  <si>
    <t>.MDY201120C387.5</t>
  </si>
  <si>
    <t>.MDY201120P387.5</t>
  </si>
  <si>
    <t>MJ</t>
  </si>
  <si>
    <t>.MJ201120C13</t>
  </si>
  <si>
    <t>.MJ201120P13</t>
  </si>
  <si>
    <t>MTUM</t>
  </si>
  <si>
    <t>.MTUM201120C149</t>
  </si>
  <si>
    <t>.MTUM201120P149</t>
  </si>
  <si>
    <t>.MTUM201120C150</t>
  </si>
  <si>
    <t>.MTUM201120P150</t>
  </si>
  <si>
    <t>.MTUM201120C151</t>
  </si>
  <si>
    <t>.MTUM201120P151</t>
  </si>
  <si>
    <t>.MTUM201120C152</t>
  </si>
  <si>
    <t>.MTUM201120P152</t>
  </si>
  <si>
    <t>MUB</t>
  </si>
  <si>
    <t>.MUB201120C116</t>
  </si>
  <si>
    <t>.MUB201120P116</t>
  </si>
  <si>
    <t>NAIL</t>
  </si>
  <si>
    <t>.NAIL201120C44</t>
  </si>
  <si>
    <t>.NAIL201120P44</t>
  </si>
  <si>
    <t>.NAIL201120C45</t>
  </si>
  <si>
    <t>.NAIL201120P45</t>
  </si>
  <si>
    <t>.NAIL201120C46</t>
  </si>
  <si>
    <t>.NAIL201120P46</t>
  </si>
  <si>
    <t>.NAIL201120C47</t>
  </si>
  <si>
    <t>.NAIL201120P47</t>
  </si>
  <si>
    <t>.NAIL201120C48</t>
  </si>
  <si>
    <t>.NAIL201120P48</t>
  </si>
  <si>
    <t>.NAIL201120C49</t>
  </si>
  <si>
    <t>.NAIL201120P49</t>
  </si>
  <si>
    <t>PDBC</t>
  </si>
  <si>
    <t>.PDBC201120C14</t>
  </si>
  <si>
    <t>.PDBC201120P14</t>
  </si>
  <si>
    <t>PGX</t>
  </si>
  <si>
    <t>.PGX201120C15</t>
  </si>
  <si>
    <t>.PGX201120P15</t>
  </si>
  <si>
    <t>PXH</t>
  </si>
  <si>
    <t>.PXH201120C19</t>
  </si>
  <si>
    <t>.PXH201120P19</t>
  </si>
  <si>
    <t>.PXH201120C20</t>
  </si>
  <si>
    <t>.PXH201120P20</t>
  </si>
  <si>
    <t>QLD</t>
  </si>
  <si>
    <t>.QLD201120C96</t>
  </si>
  <si>
    <t>.QLD201120P96</t>
  </si>
  <si>
    <t>.QLD201120C97</t>
  </si>
  <si>
    <t>.QLD201120P97</t>
  </si>
  <si>
    <t>.QLD201120C98</t>
  </si>
  <si>
    <t>.QLD201120P98</t>
  </si>
  <si>
    <t>.QLD201120C99</t>
  </si>
  <si>
    <t>.QLD201120P99</t>
  </si>
  <si>
    <t>.QLD201120C100</t>
  </si>
  <si>
    <t>.QLD201120P100</t>
  </si>
  <si>
    <t>.QLD201120C101</t>
  </si>
  <si>
    <t>.QLD201120P101</t>
  </si>
  <si>
    <t>QQQ</t>
  </si>
  <si>
    <t>.QQQ201120C286</t>
  </si>
  <si>
    <t>.QQQ201120P286</t>
  </si>
  <si>
    <t>.QQQ201120C287</t>
  </si>
  <si>
    <t>.QQQ201120P287</t>
  </si>
  <si>
    <t>.QQQ201120C287.5</t>
  </si>
  <si>
    <t>.QQQ201120P287.5</t>
  </si>
  <si>
    <t>.QQQ201120C288</t>
  </si>
  <si>
    <t>.QQQ201120P288</t>
  </si>
  <si>
    <t>.QQQ201120C289</t>
  </si>
  <si>
    <t>.QQQ201120P289</t>
  </si>
  <si>
    <t>.QQQ201120C290</t>
  </si>
  <si>
    <t>.QQQ201120P290</t>
  </si>
  <si>
    <t>.QQQ201120C291</t>
  </si>
  <si>
    <t>.QQQ201120P291</t>
  </si>
  <si>
    <t>.QQQ201120C292</t>
  </si>
  <si>
    <t>.QQQ201120P292</t>
  </si>
  <si>
    <t>.QQQ201120C292.5</t>
  </si>
  <si>
    <t>.QQQ201120P292.5</t>
  </si>
  <si>
    <t>.QQQ201120C293</t>
  </si>
  <si>
    <t>.QQQ201120P293</t>
  </si>
  <si>
    <t>.QQQ201120C294</t>
  </si>
  <si>
    <t>.QQQ201120P294</t>
  </si>
  <si>
    <t>QUAL</t>
  </si>
  <si>
    <t>.QUAL201120C110</t>
  </si>
  <si>
    <t>.QUAL201120P110</t>
  </si>
  <si>
    <t>.QUAL201120C111</t>
  </si>
  <si>
    <t>.QUAL201120P111</t>
  </si>
  <si>
    <t>.QUAL201120C112</t>
  </si>
  <si>
    <t>.QUAL201120P112</t>
  </si>
  <si>
    <t>RSP</t>
  </si>
  <si>
    <t>.RSP201120C118</t>
  </si>
  <si>
    <t>.RSP201120P118</t>
  </si>
  <si>
    <t>.RSP201120C119</t>
  </si>
  <si>
    <t>.RSP201120P119</t>
  </si>
  <si>
    <t>.RSP201120C120</t>
  </si>
  <si>
    <t>.RSP201120P120</t>
  </si>
  <si>
    <t>RSX</t>
  </si>
  <si>
    <t>.RSX201120C22</t>
  </si>
  <si>
    <t>.RSX201120P22</t>
  </si>
  <si>
    <t>.RSX201120C22.5</t>
  </si>
  <si>
    <t>.RSX201120P22.5</t>
  </si>
  <si>
    <t>RWM</t>
  </si>
  <si>
    <t>.RWM201120C29</t>
  </si>
  <si>
    <t>.RWM201120P29</t>
  </si>
  <si>
    <t>SCHD</t>
  </si>
  <si>
    <t>.SCHD201120C61</t>
  </si>
  <si>
    <t>.SCHD201120P61</t>
  </si>
  <si>
    <t>.SCHD201120C62</t>
  </si>
  <si>
    <t>.SCHD201120P62</t>
  </si>
  <si>
    <t>SCHE</t>
  </si>
  <si>
    <t>.SCHE201120C29</t>
  </si>
  <si>
    <t>.SCHE201120P29</t>
  </si>
  <si>
    <t>SCHF</t>
  </si>
  <si>
    <t>.SCHF201120C34</t>
  </si>
  <si>
    <t>.SCHF201120P34</t>
  </si>
  <si>
    <t>SCHP</t>
  </si>
  <si>
    <t>.SCHP201120C61</t>
  </si>
  <si>
    <t>.SCHP201120P61</t>
  </si>
  <si>
    <t>SCZ</t>
  </si>
  <si>
    <t>.SCZ201120C63</t>
  </si>
  <si>
    <t>.SCZ201120P63</t>
  </si>
  <si>
    <t>SDS</t>
  </si>
  <si>
    <t>.SDS201120C13.5</t>
  </si>
  <si>
    <t>.SDS201120P13.5</t>
  </si>
  <si>
    <t>.SDS201120C14</t>
  </si>
  <si>
    <t>.SDS201120P14</t>
  </si>
  <si>
    <t>SH</t>
  </si>
  <si>
    <t>.SH201120C19</t>
  </si>
  <si>
    <t>.SH201120P19</t>
  </si>
  <si>
    <t>SHY</t>
  </si>
  <si>
    <t>.SHY201120C86.5</t>
  </si>
  <si>
    <t>.SHY201120P86.5</t>
  </si>
  <si>
    <t>SHYG</t>
  </si>
  <si>
    <t>.SHYG201120C45</t>
  </si>
  <si>
    <t>.SHYG201120P45</t>
  </si>
  <si>
    <t>SMH</t>
  </si>
  <si>
    <t>.SMH201120C192.5</t>
  </si>
  <si>
    <t>.SMH201120P192.5</t>
  </si>
  <si>
    <t>.SMH201120C193</t>
  </si>
  <si>
    <t>.SMH201120P193</t>
  </si>
  <si>
    <t>.SMH201120C193.5</t>
  </si>
  <si>
    <t>.SMH201120P193.5</t>
  </si>
  <si>
    <t>.SMH201120C194</t>
  </si>
  <si>
    <t>.SMH201120P194</t>
  </si>
  <si>
    <t>.SMH201120C194.5</t>
  </si>
  <si>
    <t>.SMH201120P194.5</t>
  </si>
  <si>
    <t>.SMH201120C195</t>
  </si>
  <si>
    <t>.SMH201120P195</t>
  </si>
  <si>
    <t>.SMH201120C195.5</t>
  </si>
  <si>
    <t>.SMH201120P195.5</t>
  </si>
  <si>
    <t>.SMH201120C196</t>
  </si>
  <si>
    <t>.SMH201120P196</t>
  </si>
  <si>
    <t>.SMH201120C196.5</t>
  </si>
  <si>
    <t>.SMH201120P196.5</t>
  </si>
  <si>
    <t>.SMH201120C197</t>
  </si>
  <si>
    <t>.SMH201120P197</t>
  </si>
  <si>
    <t>.SMH201120C197.5</t>
  </si>
  <si>
    <t>.SMH201120P197.5</t>
  </si>
  <si>
    <t>.SMH201120C198</t>
  </si>
  <si>
    <t>.SMH201120P198</t>
  </si>
  <si>
    <t>.SMH201120C198.5</t>
  </si>
  <si>
    <t>.SMH201120P198.5</t>
  </si>
  <si>
    <t>SPDW</t>
  </si>
  <si>
    <t>.SPDW201120C32</t>
  </si>
  <si>
    <t>.SPDW201120P32</t>
  </si>
  <si>
    <t>SPHD</t>
  </si>
  <si>
    <t>.SPHD201120C36</t>
  </si>
  <si>
    <t>.SPHD201120P36</t>
  </si>
  <si>
    <t>SPLG</t>
  </si>
  <si>
    <t>.SPLG201120C42</t>
  </si>
  <si>
    <t>.SPLG201120P42</t>
  </si>
  <si>
    <t>SPLV</t>
  </si>
  <si>
    <t>.SPLV201120C55</t>
  </si>
  <si>
    <t>.SPLV201120P55</t>
  </si>
  <si>
    <t>SPY</t>
  </si>
  <si>
    <t>.SPY201118C353</t>
  </si>
  <si>
    <t>.SPY201118P353</t>
  </si>
  <si>
    <t>.SPY201118C354</t>
  </si>
  <si>
    <t>.SPY201118P354</t>
  </si>
  <si>
    <t>.SPY201118C355</t>
  </si>
  <si>
    <t>.SPY201118P355</t>
  </si>
  <si>
    <t>.SPY201118C356</t>
  </si>
  <si>
    <t>.SPY201118P356</t>
  </si>
  <si>
    <t>.SPY201118C357</t>
  </si>
  <si>
    <t>.SPY201118P357</t>
  </si>
  <si>
    <t>.SPY201118C358</t>
  </si>
  <si>
    <t>.SPY201118P358</t>
  </si>
  <si>
    <t>.SPY201118C359</t>
  </si>
  <si>
    <t>.SPY201118P359</t>
  </si>
  <si>
    <t>.SPY201118C360</t>
  </si>
  <si>
    <t>.SPY201118P360</t>
  </si>
  <si>
    <t>.SPY201120C352.5</t>
  </si>
  <si>
    <t>.SPY201120P352.5</t>
  </si>
  <si>
    <t>.SPY201120C353</t>
  </si>
  <si>
    <t>.SPY201120P353</t>
  </si>
  <si>
    <t>.SPY201120C354</t>
  </si>
  <si>
    <t>.SPY201120P354</t>
  </si>
  <si>
    <t>.SPY201120C355</t>
  </si>
  <si>
    <t>.SPY201120P355</t>
  </si>
  <si>
    <t>.SPY201120C356</t>
  </si>
  <si>
    <t>.SPY201120P356</t>
  </si>
  <si>
    <t>.SPY201120C357</t>
  </si>
  <si>
    <t>.SPY201120P357</t>
  </si>
  <si>
    <t>.SPY201120C357.5</t>
  </si>
  <si>
    <t>.SPY201120P357.5</t>
  </si>
  <si>
    <t>.SPY201120C358</t>
  </si>
  <si>
    <t>.SPY201120P358</t>
  </si>
  <si>
    <t>.SPY201120C359</t>
  </si>
  <si>
    <t>.SPY201120P359</t>
  </si>
  <si>
    <t>.SPY201120C360</t>
  </si>
  <si>
    <t>.SPY201120P360</t>
  </si>
  <si>
    <t>.SPY201120C361</t>
  </si>
  <si>
    <t>.SPY201120P361</t>
  </si>
  <si>
    <t>SPYG</t>
  </si>
  <si>
    <t>.SPYG201120C52</t>
  </si>
  <si>
    <t>.SPYG201120P52</t>
  </si>
  <si>
    <t>.SPYG201120C53</t>
  </si>
  <si>
    <t>.SPYG201120P53</t>
  </si>
  <si>
    <t>SPYV</t>
  </si>
  <si>
    <t>.SPYV201120C33</t>
  </si>
  <si>
    <t>.SPYV201120P33</t>
  </si>
  <si>
    <t>SRVR</t>
  </si>
  <si>
    <t>.SRVR201120C35</t>
  </si>
  <si>
    <t>.SRVR201120P35</t>
  </si>
  <si>
    <t>.SRVR201120C36</t>
  </si>
  <si>
    <t>.SRVR201120P36</t>
  </si>
  <si>
    <t>SSO</t>
  </si>
  <si>
    <t>.SSO201120C81</t>
  </si>
  <si>
    <t>.SSO201120P81</t>
  </si>
  <si>
    <t>.SSO201120C81.5</t>
  </si>
  <si>
    <t>.SSO201120P81.5</t>
  </si>
  <si>
    <t>.SSO201120C82</t>
  </si>
  <si>
    <t>.SSO201120P82</t>
  </si>
  <si>
    <t>.SSO201120C82.5</t>
  </si>
  <si>
    <t>.SSO201120P82.5</t>
  </si>
  <si>
    <t>.SSO201120C83</t>
  </si>
  <si>
    <t>.SSO201120P83</t>
  </si>
  <si>
    <t>.SSO201120C83.5</t>
  </si>
  <si>
    <t>.SSO201120P83.5</t>
  </si>
  <si>
    <t>.SSO201120C84</t>
  </si>
  <si>
    <t>.SSO201120P84</t>
  </si>
  <si>
    <t>.SSO201120C84.5</t>
  </si>
  <si>
    <t>.SSO201120P84.5</t>
  </si>
  <si>
    <t>TAN</t>
  </si>
  <si>
    <t>.TAN201120C72.5</t>
  </si>
  <si>
    <t>.TAN201120P72.5</t>
  </si>
  <si>
    <t>.TAN201120C73</t>
  </si>
  <si>
    <t>.TAN201120P73</t>
  </si>
  <si>
    <t>.TAN201120C73.5</t>
  </si>
  <si>
    <t>.TAN201120P73.5</t>
  </si>
  <si>
    <t>.TAN201120C74</t>
  </si>
  <si>
    <t>.TAN201120P74</t>
  </si>
  <si>
    <t>.TAN201120C74.5</t>
  </si>
  <si>
    <t>.TAN201120P74.5</t>
  </si>
  <si>
    <t>.TAN201120C75</t>
  </si>
  <si>
    <t>.TAN201120P75</t>
  </si>
  <si>
    <t>.TAN201120C75.5</t>
  </si>
  <si>
    <t>.TAN201120P75.5</t>
  </si>
  <si>
    <t>.TAN201120C76</t>
  </si>
  <si>
    <t>.TAN201120P76</t>
  </si>
  <si>
    <t>.TAN201120C76.5</t>
  </si>
  <si>
    <t>.TAN201120P76.5</t>
  </si>
  <si>
    <t>.TAN201120C77</t>
  </si>
  <si>
    <t>.TAN201120P77</t>
  </si>
  <si>
    <t>TBF</t>
  </si>
  <si>
    <t>.TBF201120C16</t>
  </si>
  <si>
    <t>.TBF201120P16</t>
  </si>
  <si>
    <t>TBT</t>
  </si>
  <si>
    <t>.TBT201120C17</t>
  </si>
  <si>
    <t>.TBT201120P17</t>
  </si>
  <si>
    <t>TIP</t>
  </si>
  <si>
    <t>.TIP201120C125</t>
  </si>
  <si>
    <t>.TIP201120P125</t>
  </si>
  <si>
    <t>TLT</t>
  </si>
  <si>
    <t>.TLT201120C155</t>
  </si>
  <si>
    <t>.TLT201120P155</t>
  </si>
  <si>
    <t>.TLT201120C155.5</t>
  </si>
  <si>
    <t>.TLT201120P155.5</t>
  </si>
  <si>
    <t>.TLT201120C156</t>
  </si>
  <si>
    <t>.TLT201120P156</t>
  </si>
  <si>
    <t>.TLT201120C156.5</t>
  </si>
  <si>
    <t>.TLT201120P156.5</t>
  </si>
  <si>
    <t>USMV</t>
  </si>
  <si>
    <t>.USMV201120C67</t>
  </si>
  <si>
    <t>.USMV201120P67</t>
  </si>
  <si>
    <t>VCIT</t>
  </si>
  <si>
    <t>.VCIT201120C96</t>
  </si>
  <si>
    <t>.VCIT201120P96</t>
  </si>
  <si>
    <t>VCLT</t>
  </si>
  <si>
    <t>.VCLT201120C107</t>
  </si>
  <si>
    <t>.VCLT201120P107</t>
  </si>
  <si>
    <t>VEA</t>
  </si>
  <si>
    <t>.VEA201120C44</t>
  </si>
  <si>
    <t>.VEA201120P44</t>
  </si>
  <si>
    <t>VEU</t>
  </si>
  <si>
    <t>.VEU201120C55</t>
  </si>
  <si>
    <t>.VEU201120P55</t>
  </si>
  <si>
    <t>VFH</t>
  </si>
  <si>
    <t>.VFH201120C66</t>
  </si>
  <si>
    <t>.VFH201120P66</t>
  </si>
  <si>
    <t>.VFH201120C67</t>
  </si>
  <si>
    <t>.VFH201120P67</t>
  </si>
  <si>
    <t>VGIT</t>
  </si>
  <si>
    <t>.VGIT201120C70</t>
  </si>
  <si>
    <t>.VGIT201120P70</t>
  </si>
  <si>
    <t>VGK</t>
  </si>
  <si>
    <t>.VGK201120C57</t>
  </si>
  <si>
    <t>.VGK201120P57</t>
  </si>
  <si>
    <t>VNQ</t>
  </si>
  <si>
    <t>.VNQ201120C84</t>
  </si>
  <si>
    <t>.VNQ201120P84</t>
  </si>
  <si>
    <t>.VNQ201120C85</t>
  </si>
  <si>
    <t>.VNQ201120P85</t>
  </si>
  <si>
    <t>VOO</t>
  </si>
  <si>
    <t>.VOO201120C325</t>
  </si>
  <si>
    <t>.VOO201120P325</t>
  </si>
  <si>
    <t>.VOO201120C330</t>
  </si>
  <si>
    <t>.VOO201120P330</t>
  </si>
  <si>
    <t>VT</t>
  </si>
  <si>
    <t>.VT201120C86</t>
  </si>
  <si>
    <t>.VT201120P86</t>
  </si>
  <si>
    <t>.VT201120C87</t>
  </si>
  <si>
    <t>.VT201120P87</t>
  </si>
  <si>
    <t>VTI</t>
  </si>
  <si>
    <t>.VTI201120C181</t>
  </si>
  <si>
    <t>.VTI201120P181</t>
  </si>
  <si>
    <t>.VTI201120C182</t>
  </si>
  <si>
    <t>.VTI201120P182</t>
  </si>
  <si>
    <t>.VTI201120C183</t>
  </si>
  <si>
    <t>.VTI201120P183</t>
  </si>
  <si>
    <t>.VTI201120C184</t>
  </si>
  <si>
    <t>.VTI201120P184</t>
  </si>
  <si>
    <t>VWO</t>
  </si>
  <si>
    <t>.VWO201120C46.5</t>
  </si>
  <si>
    <t>.VWO201120P46.5</t>
  </si>
  <si>
    <t>.VWO201120C47</t>
  </si>
  <si>
    <t>.VWO201120P47</t>
  </si>
  <si>
    <t>VXUS</t>
  </si>
  <si>
    <t>.VXUS201120C56</t>
  </si>
  <si>
    <t>.VXUS201120P56</t>
  </si>
  <si>
    <t>.VXUS201120C57</t>
  </si>
  <si>
    <t>.VXUS201120P57</t>
  </si>
  <si>
    <t>VYM</t>
  </si>
  <si>
    <t>.VYM201120C87</t>
  </si>
  <si>
    <t>.VYM201120P87</t>
  </si>
  <si>
    <t>.VYM201120C88</t>
  </si>
  <si>
    <t>.VYM201120P88</t>
  </si>
  <si>
    <t>XBI</t>
  </si>
  <si>
    <t>.XBI201120C122</t>
  </si>
  <si>
    <t>.XBI201120P122</t>
  </si>
  <si>
    <t>.XBI201120C122.5</t>
  </si>
  <si>
    <t>.XBI201120P122.5</t>
  </si>
  <si>
    <t>.XBI201120C123</t>
  </si>
  <si>
    <t>.XBI201120P123</t>
  </si>
  <si>
    <t>.XBI201120C123.5</t>
  </si>
  <si>
    <t>.XBI201120P123.5</t>
  </si>
  <si>
    <t>.XBI201120C124</t>
  </si>
  <si>
    <t>.XBI201120P124</t>
  </si>
  <si>
    <t>.XBI201120C124.5</t>
  </si>
  <si>
    <t>.XBI201120P124.5</t>
  </si>
  <si>
    <t>.XBI201120C125</t>
  </si>
  <si>
    <t>.XBI201120P125</t>
  </si>
  <si>
    <t>.XBI201120C125.5</t>
  </si>
  <si>
    <t>.XBI201120P125.5</t>
  </si>
  <si>
    <t>XHB</t>
  </si>
  <si>
    <t>.XHB201120C55</t>
  </si>
  <si>
    <t>.XHB201120P55</t>
  </si>
  <si>
    <t>.XHB201120C55.5</t>
  </si>
  <si>
    <t>.XHB201120P55.5</t>
  </si>
  <si>
    <t>.XHB201120C56</t>
  </si>
  <si>
    <t>.XHB201120P56</t>
  </si>
  <si>
    <t>XLB</t>
  </si>
  <si>
    <t>.XLB201120C68.5</t>
  </si>
  <si>
    <t>.XLB201120P68.5</t>
  </si>
  <si>
    <t>.XLB201120C69</t>
  </si>
  <si>
    <t>.XLB201120P69</t>
  </si>
  <si>
    <t>.XLB201120C69.5</t>
  </si>
  <si>
    <t>.XLB201120P69.5</t>
  </si>
  <si>
    <t>.XLB201120C70</t>
  </si>
  <si>
    <t>.XLB201120P70</t>
  </si>
  <si>
    <t>XLC</t>
  </si>
  <si>
    <t>.XLC201120C63</t>
  </si>
  <si>
    <t>.XLC201120P63</t>
  </si>
  <si>
    <t>.XLC201120C63.5</t>
  </si>
  <si>
    <t>.XLC201120P63.5</t>
  </si>
  <si>
    <t>.XLC201120C64</t>
  </si>
  <si>
    <t>.XLC201120P64</t>
  </si>
  <si>
    <t>XLE</t>
  </si>
  <si>
    <t>.XLE201120C33.5</t>
  </si>
  <si>
    <t>.XLE201120P33.5</t>
  </si>
  <si>
    <t>.XLE201120C34</t>
  </si>
  <si>
    <t>.XLE201120P34</t>
  </si>
  <si>
    <t>.XLE201120C34.5</t>
  </si>
  <si>
    <t>.XLE201120P34.5</t>
  </si>
  <si>
    <t>XLF</t>
  </si>
  <si>
    <t>.XLF201120C27</t>
  </si>
  <si>
    <t>.XLF201120P27</t>
  </si>
  <si>
    <t>XLI</t>
  </si>
  <si>
    <t>.XLI201120C84</t>
  </si>
  <si>
    <t>.XLI201120P84</t>
  </si>
  <si>
    <t>.XLI201120C84.5</t>
  </si>
  <si>
    <t>.XLI201120P84.5</t>
  </si>
  <si>
    <t>.XLI201120C85</t>
  </si>
  <si>
    <t>.XLI201120P85</t>
  </si>
  <si>
    <t>.XLI201120C85.5</t>
  </si>
  <si>
    <t>.XLI201120P85.5</t>
  </si>
  <si>
    <t>.XLI201120C86</t>
  </si>
  <si>
    <t>.XLI201120P86</t>
  </si>
  <si>
    <t>XLK</t>
  </si>
  <si>
    <t>.XLK201120C119.5</t>
  </si>
  <si>
    <t>.XLK201120P119.5</t>
  </si>
  <si>
    <t>.XLK201120C120</t>
  </si>
  <si>
    <t>.XLK201120P120</t>
  </si>
  <si>
    <t>.XLK201120C120.5</t>
  </si>
  <si>
    <t>.XLK201120P120.5</t>
  </si>
  <si>
    <t>.XLK201120C121</t>
  </si>
  <si>
    <t>.XLK201120P121</t>
  </si>
  <si>
    <t>.XLK201120C121.5</t>
  </si>
  <si>
    <t>.XLK201120P121.5</t>
  </si>
  <si>
    <t>.XLK201120C122</t>
  </si>
  <si>
    <t>.XLK201120P122</t>
  </si>
  <si>
    <t>.XLK201120C122.5</t>
  </si>
  <si>
    <t>.XLK201120P122.5</t>
  </si>
  <si>
    <t>.XLK201120C123</t>
  </si>
  <si>
    <t>.XLK201120P123</t>
  </si>
  <si>
    <t>XLP</t>
  </si>
  <si>
    <t>.XLP201120C66.5</t>
  </si>
  <si>
    <t>.XLP201120P66.5</t>
  </si>
  <si>
    <t>.XLP201120C67</t>
  </si>
  <si>
    <t>.XLP201120P67</t>
  </si>
  <si>
    <t>XLRE</t>
  </si>
  <si>
    <t>.XLRE201120C37</t>
  </si>
  <si>
    <t>.XLRE201120P37</t>
  </si>
  <si>
    <t>XLU</t>
  </si>
  <si>
    <t>.XLU201120C66</t>
  </si>
  <si>
    <t>.XLU201120P66</t>
  </si>
  <si>
    <t>.XLU201120C66.5</t>
  </si>
  <si>
    <t>.XLU201120P66.5</t>
  </si>
  <si>
    <t>.XLU201120C67</t>
  </si>
  <si>
    <t>.XLU201120P67</t>
  </si>
  <si>
    <t>XLV</t>
  </si>
  <si>
    <t>.XLV201120C110</t>
  </si>
  <si>
    <t>.XLV201120P110</t>
  </si>
  <si>
    <t>.XLV201120C110.5</t>
  </si>
  <si>
    <t>.XLV201120P110.5</t>
  </si>
  <si>
    <t>.XLV201120C111</t>
  </si>
  <si>
    <t>.XLV201120P111</t>
  </si>
  <si>
    <t>.XLV201120C111.5</t>
  </si>
  <si>
    <t>.XLV201120P111.5</t>
  </si>
  <si>
    <t>.XLV201120C112</t>
  </si>
  <si>
    <t>.XLV201120P112</t>
  </si>
  <si>
    <t>XLY</t>
  </si>
  <si>
    <t>.XLY201120C151.5</t>
  </si>
  <si>
    <t>.XLY201120P151.5</t>
  </si>
  <si>
    <t>.XLY201120C152</t>
  </si>
  <si>
    <t>.XLY201120P152</t>
  </si>
  <si>
    <t>.XLY201120C152.5</t>
  </si>
  <si>
    <t>.XLY201120P152.5</t>
  </si>
  <si>
    <t>.XLY201120C153</t>
  </si>
  <si>
    <t>.XLY201120P153</t>
  </si>
  <si>
    <t>.XLY201120C153.5</t>
  </si>
  <si>
    <t>.XLY201120P153.5</t>
  </si>
  <si>
    <t>.XLY201120C154</t>
  </si>
  <si>
    <t>.XLY201120P154</t>
  </si>
  <si>
    <t>.XLY201120C154.5</t>
  </si>
  <si>
    <t>.XLY201120P154.5</t>
  </si>
  <si>
    <t>.XLY201120C155</t>
  </si>
  <si>
    <t>.XLY201120P155</t>
  </si>
  <si>
    <t>XME</t>
  </si>
  <si>
    <t>.XME201120C26.5</t>
  </si>
  <si>
    <t>.XME201120P26.5</t>
  </si>
  <si>
    <t>.XME201120C27</t>
  </si>
  <si>
    <t>.XME201120P27</t>
  </si>
  <si>
    <t>XOP</t>
  </si>
  <si>
    <t>.XOP201120C47</t>
  </si>
  <si>
    <t>.XOP201120P47</t>
  </si>
  <si>
    <t>.XOP201120C47.5</t>
  </si>
  <si>
    <t>.XOP201120P47.5</t>
  </si>
  <si>
    <t>.XOP201120C48</t>
  </si>
  <si>
    <t>.XOP201120P48</t>
  </si>
  <si>
    <t>.XOP201120C48.5</t>
  </si>
  <si>
    <t>.XOP201120P48.5</t>
  </si>
  <si>
    <t>.XOP201120C49</t>
  </si>
  <si>
    <t>.XOP201120P49</t>
  </si>
  <si>
    <t>.XOP201120C49.5</t>
  </si>
  <si>
    <t>.XOP201120P49.5</t>
  </si>
  <si>
    <t>XRT</t>
  </si>
  <si>
    <t>.XRT201120C54</t>
  </si>
  <si>
    <t>.XRT201120P54</t>
  </si>
  <si>
    <t>.XRT201120C54.5</t>
  </si>
  <si>
    <t>.XRT201120P54.5</t>
  </si>
  <si>
    <t>.XRT201120C55</t>
  </si>
  <si>
    <t>.XRT201120P55</t>
  </si>
  <si>
    <t>.XRT201120C55.5</t>
  </si>
  <si>
    <t>.XRT201120P55.5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</si>
</sst>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s">
        <v>N/A</v>
        <stp/>
        <stp>DESCRIPTION</stp>
        <stp>DVY</stp>
        <tr r="B84" s="1"/>
      </tp>
      <tp>
        <v>0</v>
        <stp/>
        <stp>RHO</stp>
        <stp>IYE</stp>
        <tr r="Q363" s="1"/>
      </tp>
      <tp>
        <v>0</v>
        <stp/>
        <stp>RHO</stp>
        <stp>IYR</stp>
        <tr r="Q366" s="1"/>
      </tp>
      <tp>
        <v>0</v>
        <stp/>
        <stp>RHO</stp>
        <stp>IWF</stp>
        <tr r="Q340" s="1"/>
      </tp>
      <tp>
        <v>0</v>
        <stp/>
        <stp>RHO</stp>
        <stp>IWD</stp>
        <tr r="Q333" s="1"/>
      </tp>
      <tp>
        <v>0</v>
        <stp/>
        <stp>RHO</stp>
        <stp>IWM</stp>
        <tr r="Q345" s="1"/>
      </tp>
      <tp>
        <v>0</v>
        <stp/>
        <stp>RHO</stp>
        <stp>IVE</stp>
        <tr r="Q302" s="1"/>
      </tp>
      <tp>
        <v>0</v>
        <stp/>
        <stp>RHO</stp>
        <stp>IVV</stp>
        <tr r="Q309" s="1"/>
      </tp>
      <tp>
        <v>0</v>
        <stp/>
        <stp>RHO</stp>
        <stp>IVW</stp>
        <tr r="Q330" s="1"/>
      </tp>
      <tp>
        <v>0</v>
        <stp/>
        <stp>RHO</stp>
        <stp>ITB</stp>
        <tr r="Q288" s="1"/>
      </tp>
      <tp t="s">
        <v>N/A</v>
        <stp/>
        <stp>DESCRIPTION</stp>
        <stp>DXD</stp>
        <tr r="B91" s="1"/>
      </tp>
      <tp>
        <v>0</v>
        <stp/>
        <stp>RHO</stp>
        <stp>ILF</stp>
        <tr r="Q277" s="1"/>
      </tp>
      <tp>
        <v>0</v>
        <stp/>
        <stp>RHO</stp>
        <stp>IJH</stp>
        <tr r="Q271" s="1"/>
      </tp>
      <tp>
        <v>0</v>
        <stp/>
        <stp>RHO</stp>
        <stp>IJR</stp>
        <tr r="Q274" s="1"/>
      </tp>
      <tp>
        <v>0</v>
        <stp/>
        <stp>RHO</stp>
        <stp>IGV</stp>
        <tr r="Q264" s="1"/>
      </tp>
      <tp>
        <v>0</v>
        <stp/>
        <stp>RHO</stp>
        <stp>IEF</stp>
        <tr r="Q248" s="1"/>
      </tp>
      <tp>
        <v>0</v>
        <stp/>
        <stp>RHO</stp>
        <stp>IBB</stp>
        <tr r="Q228" s="1"/>
      </tp>
      <tp t="s">
        <v>SPDR DOW JONES IND UT SER 1 ETF</v>
        <stp/>
        <stp>DESCRIPTION</stp>
        <stp>DIA</stp>
        <tr r="B62" s="1"/>
      </tp>
      <tp>
        <v>14.5</v>
        <stp/>
        <stp>ASK</stp>
        <stp>PDBC</stp>
        <tr r="I451" s="1"/>
      </tp>
      <tp>
        <v>86.35</v>
        <stp/>
        <stp>LAST</stp>
        <stp>VYM</stp>
        <tr r="E758" s="1"/>
      </tp>
      <tp t="s">
        <v>N/A</v>
        <stp/>
        <stp>DELTA</stp>
        <stp>.ARKK201120C100</stp>
        <tr r="M32" s="1"/>
      </tp>
      <tp t="s">
        <v>N/A</v>
        <stp/>
        <stp>DELTA</stp>
        <stp>.ARKK201120P100</stp>
        <tr r="M33" s="1"/>
      </tp>
      <tp>
        <v>37.5</v>
        <stp/>
        <stp>OPEN</stp>
        <stp>GDX</stp>
        <tr r="L195" s="1"/>
      </tp>
      <tp t="s">
        <v>N/A</v>
        <stp/>
        <stp>DESCRIPTION</stp>
        <stp>ITOT</stp>
        <tr r="B297" s="1"/>
      </tp>
      <tp>
        <v>55.685000000000002</v>
        <stp/>
        <stp>LOW</stp>
        <stp>VXUS</stp>
        <tr r="K753" s="1"/>
      </tp>
      <tp>
        <v>62.234999999999999</v>
        <stp/>
        <stp>LOW</stp>
        <stp>IXUS</stp>
        <tr r="K360" s="1"/>
      </tp>
      <tp>
        <v>46.54</v>
        <stp/>
        <stp>LAST</stp>
        <stp>VWO</stp>
        <tr r="E748" s="1"/>
      </tp>
      <tp>
        <v>180.76</v>
        <stp/>
        <stp>LAST</stp>
        <stp>VTI</stp>
        <tr r="E739" s="1"/>
      </tp>
      <tp t="s">
        <v>N/A</v>
        <stp/>
        <stp>DESCRIPTION</stp>
        <stp>MTUM</stp>
        <tr r="B426" s="1"/>
      </tp>
      <tp>
        <v>83.16</v>
        <stp/>
        <stp>LAST</stp>
        <stp>VNQ</stp>
        <tr r="E724" s="1"/>
      </tp>
      <tp>
        <v>324.60000000000002</v>
        <stp/>
        <stp>LAST</stp>
        <stp>VOO</stp>
        <tr r="E729" s="1"/>
      </tp>
      <tp>
        <v>0</v>
        <stp/>
        <stp>VEGA</stp>
        <stp>RWM</stp>
        <tr r="P517" s="1"/>
      </tp>
      <tp>
        <v>54.1</v>
        <stp/>
        <stp>ASK</stp>
        <stp>GDXJ</stp>
        <tr r="I202" s="1"/>
      </tp>
      <tp>
        <v>65.56</v>
        <stp/>
        <stp>LAST</stp>
        <stp>VFH</stp>
        <tr r="E713" s="1"/>
      </tp>
      <tp>
        <v>0</v>
        <stp/>
        <stp>VEGA</stp>
        <stp>RSP</stp>
        <tr r="P505" s="1"/>
      </tp>
      <tp>
        <v>0</v>
        <stp/>
        <stp>VEGA</stp>
        <stp>RSX</stp>
        <tr r="P512" s="1"/>
      </tp>
      <tp>
        <v>56.08</v>
        <stp/>
        <stp>LAST</stp>
        <stp>VGK</stp>
        <tr r="E721" s="1"/>
      </tp>
      <tp>
        <v>54.13</v>
        <stp/>
        <stp>LAST</stp>
        <stp>VEU</stp>
        <tr r="E710" s="1"/>
      </tp>
      <tp>
        <v>43.67</v>
        <stp/>
        <stp>LAST</stp>
        <stp>VEA</stp>
        <tr r="E707" s="1"/>
      </tp>
      <tp>
        <v>2.34</v>
        <stp/>
        <stp>OPEN</stp>
        <stp>.XBI201120P124.5</stp>
        <tr r="L775" s="1"/>
      </tp>
      <tp t="s">
        <v>N/A</v>
        <stp/>
        <stp>STRIKE</stp>
        <stp>IBB</stp>
        <tr r="W228" s="1"/>
      </tp>
      <tp t="s">
        <v>N/A</v>
        <stp/>
        <stp>PROB_OF_EXPIRING</stp>
        <stp>.TAN201120C75.5</stp>
        <tr r="T672" s="1"/>
      </tp>
      <tp t="s">
        <v>N/A</v>
        <stp/>
        <stp>PROB_OF_EXPIRING</stp>
        <stp>.TAN201120P75.5</stp>
        <tr r="T673" s="1"/>
      </tp>
      <tp t="s">
        <v>N/A</v>
        <stp/>
        <stp>STRIKE</stp>
        <stp>IGV</stp>
        <tr r="W264" s="1"/>
      </tp>
      <tp t="s">
        <v>N/A</v>
        <stp/>
        <stp>STRIKE</stp>
        <stp>IEF</stp>
        <tr r="W248" s="1"/>
      </tp>
      <tp t="s">
        <v>N/A</v>
        <stp/>
        <stp>PROB_OF_EXPIRING</stp>
        <stp>.XRT201120P55.5</stp>
        <tr r="T910" s="1"/>
      </tp>
      <tp t="s">
        <v>N/A</v>
        <stp/>
        <stp>PROB_OF_EXPIRING</stp>
        <stp>.XHB201120C55.5</stp>
        <tr r="T783" s="1"/>
      </tp>
      <tp t="s">
        <v>N/A</v>
        <stp/>
        <stp>PROB_OF_EXPIRING</stp>
        <stp>.XLI201120C85.5</stp>
        <tr r="T820" s="1"/>
      </tp>
      <tp t="s">
        <v>N/A</v>
        <stp/>
        <stp>PROB_OF_EXPIRING</stp>
        <stp>.XRT201120C55.5</stp>
        <tr r="T909" s="1"/>
      </tp>
      <tp t="s">
        <v>N/A</v>
        <stp/>
        <stp>PROB_OF_EXPIRING</stp>
        <stp>.XHB201120P55.5</stp>
        <tr r="T784" s="1"/>
      </tp>
      <tp t="s">
        <v>N/A</v>
        <stp/>
        <stp>PROB_OF_EXPIRING</stp>
        <stp>.XLI201120P85.5</stp>
        <tr r="T821" s="1"/>
      </tp>
      <tp t="s">
        <v>N/A</v>
        <stp/>
        <stp>PROB_OTM</stp>
        <stp>.SH201120P19</stp>
        <tr r="U544" s="1"/>
      </tp>
      <tp t="s">
        <v>N/A</v>
        <stp/>
        <stp>STRIKE</stp>
        <stp>IJH</stp>
        <tr r="W271" s="1"/>
      </tp>
      <tp t="s">
        <v>N/A</v>
        <stp/>
        <stp>STRIKE</stp>
        <stp>IJR</stp>
        <tr r="W274" s="1"/>
      </tp>
      <tp>
        <v>0</v>
        <stp/>
        <stp>THETA</stp>
        <stp>KWEB</stp>
        <tr r="O397" s="1"/>
      </tp>
      <tp>
        <v>1.47</v>
        <stp/>
        <stp>LAST</stp>
        <stp>.XLY201120C152</stp>
        <tr r="E870" s="1"/>
      </tp>
      <tp t="s">
        <v>N/A</v>
        <stp/>
        <stp>LAST</stp>
        <stp>.XLY201120P152</stp>
        <tr r="E871" s="1"/>
      </tp>
      <tp>
        <v>0</v>
        <stp/>
        <stp>LAST</stp>
        <stp>.XLY201120C153</stp>
        <tr r="E874" s="1"/>
      </tp>
      <tp t="s">
        <v>N/A</v>
        <stp/>
        <stp>LAST</stp>
        <stp>.XLY201120P153</stp>
        <tr r="E875" s="1"/>
      </tp>
      <tp>
        <v>1.1399999999999999</v>
        <stp/>
        <stp>LAST</stp>
        <stp>.XLY201120C154</stp>
        <tr r="E878" s="1"/>
      </tp>
      <tp t="s">
        <v>N/A</v>
        <stp/>
        <stp>LAST</stp>
        <stp>.XLY201120P154</stp>
        <tr r="E879" s="1"/>
      </tp>
      <tp>
        <v>0.68</v>
        <stp/>
        <stp>LAST</stp>
        <stp>.XLY201120C155</stp>
        <tr r="E882" s="1"/>
      </tp>
      <tp t="s">
        <v>N/A</v>
        <stp/>
        <stp>LAST</stp>
        <stp>.XLY201120P155</stp>
        <tr r="E883" s="1"/>
      </tp>
      <tp t="s">
        <v>N/A</v>
        <stp/>
        <stp>LAST</stp>
        <stp>.MDY201120C387.5</stp>
        <tr r="E421" s="1"/>
      </tp>
      <tp t="s">
        <v>N/A</v>
        <stp/>
        <stp>OPEN</stp>
        <stp>.XLY201120P154.5</stp>
        <tr r="L881" s="1"/>
      </tp>
      <tp t="s">
        <v>N/A</v>
        <stp/>
        <stp>STRIKE</stp>
        <stp>ILF</stp>
        <tr r="W277" s="1"/>
      </tp>
      <tp>
        <v>2.87</v>
        <stp/>
        <stp>OPEN</stp>
        <stp>.XBI201120C124.5</stp>
        <tr r="L774" s="1"/>
      </tp>
      <tp t="s">
        <v>N/A</v>
        <stp/>
        <stp>STRIKE</stp>
        <stp>IWF</stp>
        <tr r="W340" s="1"/>
      </tp>
      <tp t="s">
        <v>N/A</v>
        <stp/>
        <stp>STRIKE</stp>
        <stp>IWD</stp>
        <tr r="W333" s="1"/>
      </tp>
      <tp t="s">
        <v>N/A</v>
        <stp/>
        <stp>STRIKE</stp>
        <stp>IWM</stp>
        <tr r="W345" s="1"/>
      </tp>
      <tp t="s">
        <v>N/A</v>
        <stp/>
        <stp>STRIKE</stp>
        <stp>IVE</stp>
        <tr r="W302" s="1"/>
      </tp>
      <tp t="s">
        <v>N/A</v>
        <stp/>
        <stp>STRIKE</stp>
        <stp>IVV</stp>
        <tr r="W309" s="1"/>
      </tp>
      <tp t="s">
        <v>N/A</v>
        <stp/>
        <stp>STRIKE</stp>
        <stp>IVW</stp>
        <tr r="W330" s="1"/>
      </tp>
      <tp t="s">
        <v>N/A</v>
        <stp/>
        <stp>STRIKE</stp>
        <stp>ITB</stp>
        <tr r="W288" s="1"/>
      </tp>
      <tp t="s">
        <v>N/A</v>
        <stp/>
        <stp>PROB_OF_EXPIRING</stp>
        <stp>.HYG201120P85.5</stp>
        <tr r="T222" s="1"/>
      </tp>
      <tp t="s">
        <v>N/A</v>
        <stp/>
        <stp>PROB_OF_EXPIRING</stp>
        <stp>.HYG201120C85.5</stp>
        <tr r="T221" s="1"/>
      </tp>
      <tp t="s">
        <v>N/A</v>
        <stp/>
        <stp>PROB_OF_EXPIRING</stp>
        <stp>.ITB201120P55.5</stp>
        <tr r="T294" s="1"/>
      </tp>
      <tp t="s">
        <v>N/A</v>
        <stp/>
        <stp>PROB_OF_EXPIRING</stp>
        <stp>.IYR201120P85.5</stp>
        <tr r="T374" s="1"/>
      </tp>
      <tp>
        <v>0</v>
        <stp/>
        <stp>GAMMA</stp>
        <stp>INDY</stp>
        <tr r="N285" s="1"/>
      </tp>
      <tp>
        <v>0</v>
        <stp/>
        <stp>GAMMA</stp>
        <stp>INDA</stp>
        <tr r="N280" s="1"/>
      </tp>
      <tp t="s">
        <v>N/A</v>
        <stp/>
        <stp>PROB_OF_EXPIRING</stp>
        <stp>.ITB201120C55.5</stp>
        <tr r="T293" s="1"/>
      </tp>
      <tp t="s">
        <v>N/A</v>
        <stp/>
        <stp>PROB_OF_EXPIRING</stp>
        <stp>.IYR201120C85.5</stp>
        <tr r="T373" s="1"/>
      </tp>
      <tp t="s">
        <v>N/A</v>
        <stp/>
        <stp>STRIKE</stp>
        <stp>IYE</stp>
        <tr r="W363" s="1"/>
      </tp>
      <tp t="s">
        <v>N/A</v>
        <stp/>
        <stp>STRIKE</stp>
        <stp>IYR</stp>
        <tr r="W366" s="1"/>
      </tp>
      <tp>
        <v>1</v>
        <stp/>
        <stp>DELTA</stp>
        <stp>KWEB</stp>
        <tr r="M397" s="1"/>
      </tp>
      <tp t="s">
        <v>N/A</v>
        <stp/>
        <stp>OPEN</stp>
        <stp>.XLY201120C154.5</stp>
        <tr r="L880" s="1"/>
      </tp>
      <tp t="s">
        <v>N/A</v>
        <stp/>
        <stp>LAST</stp>
        <stp>.MDY201120P387.5</stp>
        <tr r="E422" s="1"/>
      </tp>
      <tp>
        <v>85.7</v>
        <stp/>
        <stp>LOW</stp>
        <stp>VYM</stp>
        <tr r="K758" s="1"/>
      </tp>
      <tp t="s">
        <v>N/A</v>
        <stp/>
        <stp>DESCRIPTION</stp>
        <stp>EWG</stp>
        <tr r="B126" s="1"/>
      </tp>
      <tp t="s">
        <v>N/A</v>
        <stp/>
        <stp>DESCRIPTION</stp>
        <stp>EWA</stp>
        <tr r="B120" s="1"/>
      </tp>
      <tp t="s">
        <v>N/A</v>
        <stp/>
        <stp>DESCRIPTION</stp>
        <stp>EWC</stp>
        <tr r="B123" s="1"/>
      </tp>
      <tp t="s">
        <v>N/A</v>
        <stp/>
        <stp>DESCRIPTION</stp>
        <stp>EWL</stp>
        <tr r="B142" s="1"/>
      </tp>
      <tp t="s">
        <v>N/A</v>
        <stp/>
        <stp>DESCRIPTION</stp>
        <stp>EWH</stp>
        <tr r="B129" s="1"/>
      </tp>
      <tp t="s">
        <v>N/A</v>
        <stp/>
        <stp>DESCRIPTION</stp>
        <stp>EWI</stp>
        <tr r="B132" s="1"/>
      </tp>
      <tp t="s">
        <v>ISHARES INC MSCI JPN ETF NEW</v>
        <stp/>
        <stp>DESCRIPTION</stp>
        <stp>EWJ</stp>
        <tr r="B135" s="1"/>
      </tp>
      <tp t="s">
        <v>N/A</v>
        <stp/>
        <stp>DESCRIPTION</stp>
        <stp>EWT</stp>
        <tr r="B148" s="1"/>
      </tp>
      <tp t="s">
        <v>N/A</v>
        <stp/>
        <stp>DESCRIPTION</stp>
        <stp>EWU</stp>
        <tr r="B151" s="1"/>
      </tp>
      <tp t="s">
        <v>N/A</v>
        <stp/>
        <stp>DESCRIPTION</stp>
        <stp>EWW</stp>
        <tr r="B154" s="1"/>
      </tp>
      <tp t="s">
        <v>N/A</v>
        <stp/>
        <stp>DESCRIPTION</stp>
        <stp>EWP</stp>
        <tr r="B145" s="1"/>
      </tp>
      <tp t="s">
        <v>N/A</v>
        <stp/>
        <stp>DESCRIPTION</stp>
        <stp>EWY</stp>
        <tr r="B161" s="1"/>
      </tp>
      <tp t="s">
        <v>N/A</v>
        <stp/>
        <stp>DESCRIPTION</stp>
        <stp>EWZ</stp>
        <tr r="B172" s="1"/>
      </tp>
      <tp>
        <v>0</v>
        <stp/>
        <stp>RHO</stp>
        <stp>HYG</stp>
        <tr r="Q220" s="1"/>
      </tp>
      <tp>
        <v>179.7</v>
        <stp/>
        <stp>LOW</stp>
        <stp>VTI</stp>
        <tr r="K739" s="1"/>
      </tp>
      <tp>
        <v>53.17</v>
        <stp/>
        <stp>BID</stp>
        <stp>XRT</stp>
        <tr r="H902" s="1"/>
      </tp>
      <tp t="s">
        <v>N/A</v>
        <stp/>
        <stp>DESCRIPTION</stp>
        <stp>EZU</stp>
        <tr r="B177" s="1"/>
      </tp>
      <tp>
        <v>46.43</v>
        <stp/>
        <stp>LOW</stp>
        <stp>VWO</stp>
        <tr r="K748" s="1"/>
      </tp>
      <tp t="s">
        <v>ISHARES TRUST MSCI EMG MKT ETF</v>
        <stp/>
        <stp>DESCRIPTION</stp>
        <stp>EEM</stp>
        <tr r="B94" s="1"/>
      </tp>
      <tp>
        <v>46.2</v>
        <stp/>
        <stp>BID</stp>
        <stp>XOP</stp>
        <tr r="H889" s="1"/>
      </tp>
      <tp>
        <v>83.31</v>
        <stp/>
        <stp>BID</stp>
        <stp>XLI</stp>
        <tr r="H813" s="1"/>
      </tp>
      <tp t="s">
        <v>ISHARES TRUST MSCI EAFE ETF</v>
        <stp/>
        <stp>DESCRIPTION</stp>
        <stp>EFA</stp>
        <tr r="B101" s="1"/>
      </tp>
      <tp>
        <v>119.22</v>
        <stp/>
        <stp>BID</stp>
        <stp>XLK</stp>
        <tr r="H824" s="1"/>
      </tp>
      <tp>
        <v>32.25</v>
        <stp/>
        <stp>BID</stp>
        <stp>XLE</stp>
        <tr r="H803" s="1"/>
      </tp>
      <tp>
        <v>26.32</v>
        <stp/>
        <stp>BID</stp>
        <stp>XLF</stp>
        <tr r="H810" s="1"/>
      </tp>
      <tp>
        <v>63.19</v>
        <stp/>
        <stp>BID</stp>
        <stp>XLC</stp>
        <tr r="H796" s="1"/>
      </tp>
      <tp>
        <v>67.45</v>
        <stp/>
        <stp>BID</stp>
        <stp>XLB</stp>
        <tr r="H787" s="1"/>
      </tp>
      <tp t="s">
        <v>N/A</v>
        <stp/>
        <stp>DESCRIPTION</stp>
        <stp>EFV</stp>
        <tr r="B108" s="1"/>
      </tp>
      <tp>
        <v>150</v>
        <stp/>
        <stp>BID</stp>
        <stp>XLY</stp>
        <tr r="H867" s="1"/>
      </tp>
      <tp>
        <v>65.13</v>
        <stp/>
        <stp>BID</stp>
        <stp>XLU</stp>
        <tr r="H849" s="1"/>
      </tp>
      <tp>
        <v>109.81</v>
        <stp/>
        <stp>BID</stp>
        <stp>XLV</stp>
        <tr r="H856" s="1"/>
      </tp>
      <tp>
        <v>66.19</v>
        <stp/>
        <stp>BID</stp>
        <stp>XLP</stp>
        <tr r="H841" s="1"/>
      </tp>
      <tp>
        <v>26.38</v>
        <stp/>
        <stp>BID</stp>
        <stp>XME</stp>
        <tr r="H884" s="1"/>
      </tp>
      <tp>
        <v>53.75</v>
        <stp/>
        <stp>BID</stp>
        <stp>XHB</stp>
        <tr r="H780" s="1"/>
      </tp>
      <tp>
        <v>82.59</v>
        <stp/>
        <stp>LOW</stp>
        <stp>VNQ</stp>
        <tr r="K724" s="1"/>
      </tp>
      <tp>
        <v>322.73</v>
        <stp/>
        <stp>LOW</stp>
        <stp>VOO</stp>
        <tr r="K729" s="1"/>
      </tp>
      <tp t="s">
        <v>N/A</v>
        <stp/>
        <stp>DESCRIPTION</stp>
        <stp>EMB</stp>
        <tr r="B111" s="1"/>
      </tp>
      <tp>
        <v>122.78</v>
        <stp/>
        <stp>BID</stp>
        <stp>XBI</stp>
        <tr r="H763" s="1"/>
      </tp>
      <tp>
        <v>54.02</v>
        <stp/>
        <stp>LOW</stp>
        <stp>VEU</stp>
        <tr r="K710" s="1"/>
      </tp>
      <tp>
        <v>43.563400000000001</v>
        <stp/>
        <stp>LOW</stp>
        <stp>VEA</stp>
        <tr r="K707" s="1"/>
      </tp>
      <tp>
        <v>64.98</v>
        <stp/>
        <stp>LOW</stp>
        <stp>VFH</stp>
        <tr r="K713" s="1"/>
      </tp>
      <tp>
        <v>55.94</v>
        <stp/>
        <stp>LOW</stp>
        <stp>VGK</stp>
        <tr r="K721" s="1"/>
      </tp>
      <tp t="s">
        <v>N/A</v>
        <stp/>
        <stp>DESCRIPTION</stp>
        <stp>EUFN</stp>
        <tr r="B117" s="1"/>
      </tp>
      <tp>
        <v>0</v>
        <stp/>
        <stp>VEGA</stp>
        <stp>SMH</stp>
        <tr r="P551" s="1"/>
      </tp>
      <tp>
        <v>64.88</v>
        <stp/>
        <stp>ASK</stp>
        <stp>IEFA</stp>
        <tr r="I251" s="1"/>
      </tp>
      <tp t="s">
        <v>N/A</v>
        <stp/>
        <stp>DESCRIPTION</stp>
        <stp>QUAL</stp>
        <tr r="B498" s="1"/>
      </tp>
      <tp>
        <v>0</v>
        <stp/>
        <stp>VEGA</stp>
        <stp>SHY</stp>
        <tr r="P545" s="1"/>
      </tp>
      <tp>
        <v>39.28</v>
        <stp/>
        <stp>OPEN</stp>
        <stp>FEZ</stp>
        <tr r="L180" s="1"/>
      </tp>
      <tp>
        <v>0</v>
        <stp/>
        <stp>VEGA</stp>
        <stp>SDS</stp>
        <tr r="P537" s="1"/>
      </tp>
      <tp>
        <v>0</v>
        <stp/>
        <stp>VEGA</stp>
        <stp>SCZ</stp>
        <tr r="P534" s="1"/>
      </tp>
      <tp>
        <v>58</v>
        <stp/>
        <stp>ASK</stp>
        <stp>IEMG</stp>
        <tr r="I256" s="1"/>
      </tp>
      <tp>
        <v>48.83</v>
        <stp/>
        <stp>LOW</stp>
        <stp>HYLB</stp>
        <tr r="K225" s="1"/>
      </tp>
      <tp>
        <v>47.42</v>
        <stp/>
        <stp>OPEN</stp>
        <stp>FXI</stp>
        <tr r="L188" s="1"/>
      </tp>
      <tp>
        <v>19.23</v>
        <stp/>
        <stp>ASK</stp>
        <stp>JETS</stp>
        <tr r="I375" s="1"/>
      </tp>
      <tp t="s">
        <v>N/A</v>
        <stp/>
        <stp>DESCRIPTION</stp>
        <stp>GUSH</stp>
        <tr r="B213" s="1"/>
      </tp>
      <tp>
        <v>34.5</v>
        <stp/>
        <stp>OPEN</stp>
        <stp>FVD</stp>
        <tr r="L185" s="1"/>
      </tp>
      <tp>
        <v>0</v>
        <stp/>
        <stp>VEGA</stp>
        <stp>SSO</stp>
        <tr r="P642" s="1"/>
      </tp>
      <tp>
        <v>0</v>
        <stp/>
        <stp>VEGA</stp>
        <stp>SPY</stp>
        <tr r="P590" s="1"/>
      </tp>
      <tp t="s">
        <v>N/A</v>
        <stp/>
        <stp>GAMMA</stp>
        <stp>.ARKK201120C100</stp>
        <tr r="N32" s="1"/>
      </tp>
      <tp t="s">
        <v>N/A</v>
        <stp/>
        <stp>GAMMA</stp>
        <stp>.ARKK201120P100</stp>
        <tr r="N33" s="1"/>
      </tp>
      <tp>
        <v>3.1</v>
        <stp/>
        <stp>OPEN</stp>
        <stp>.XBI201120P125.5</stp>
        <tr r="L779" s="1"/>
      </tp>
      <tp>
        <v>1627808</v>
        <stp/>
        <stp>VOLUME</stp>
        <stp>TAN</stp>
        <tr r="F659" s="1"/>
      </tp>
      <tp>
        <v>2965894</v>
        <stp/>
        <stp>VOLUME</stp>
        <stp>TBT</stp>
        <tr r="F683" s="1"/>
      </tp>
      <tp>
        <v>1662767</v>
        <stp/>
        <stp>VOLUME</stp>
        <stp>TBF</stp>
        <tr r="F680" s="1"/>
      </tp>
      <tp t="s">
        <v>N/A</v>
        <stp/>
        <stp>PROB_OF_EXPIRING</stp>
        <stp>.SSO201120P84.5</stp>
        <tr r="T658" s="1"/>
      </tp>
      <tp t="s">
        <v>N/A</v>
        <stp/>
        <stp>PROB_OF_EXPIRING</stp>
        <stp>.SSO201120C84.5</stp>
        <tr r="T657" s="1"/>
      </tp>
      <tp t="s">
        <v>N/A</v>
        <stp/>
        <stp>PROB_OF_EXPIRING</stp>
        <stp>.TAN201120C74.5</stp>
        <tr r="T668" s="1"/>
      </tp>
      <tp t="s">
        <v>N/A</v>
        <stp/>
        <stp>PROB_OF_EXPIRING</stp>
        <stp>.TAN201120P74.5</stp>
        <tr r="T669" s="1"/>
      </tp>
      <tp t="s">
        <v>N/A</v>
        <stp/>
        <stp>VEGA</stp>
        <stp>.DIA201120P292</stp>
        <tr r="P66" s="1"/>
      </tp>
      <tp t="s">
        <v>N/A</v>
        <stp/>
        <stp>VEGA</stp>
        <stp>.DIA201120C292</stp>
        <tr r="P65" s="1"/>
      </tp>
      <tp t="s">
        <v>N/A</v>
        <stp/>
        <stp>VEGA</stp>
        <stp>.DIA201120P293</stp>
        <tr r="P70" s="1"/>
      </tp>
      <tp t="s">
        <v>N/A</v>
        <stp/>
        <stp>VEGA</stp>
        <stp>.DIA201120C293</stp>
        <tr r="P69" s="1"/>
      </tp>
      <tp t="s">
        <v>N/A</v>
        <stp/>
        <stp>VEGA</stp>
        <stp>.DIA201120P291</stp>
        <tr r="P64" s="1"/>
      </tp>
      <tp t="s">
        <v>N/A</v>
        <stp/>
        <stp>VEGA</stp>
        <stp>.DIA201120C291</stp>
        <tr r="P63" s="1"/>
      </tp>
      <tp t="s">
        <v>N/A</v>
        <stp/>
        <stp>VEGA</stp>
        <stp>.DIA201120P296</stp>
        <tr r="P76" s="1"/>
      </tp>
      <tp t="s">
        <v>N/A</v>
        <stp/>
        <stp>VEGA</stp>
        <stp>.DIA201120C296</stp>
        <tr r="P75" s="1"/>
      </tp>
      <tp t="s">
        <v>N/A</v>
        <stp/>
        <stp>VEGA</stp>
        <stp>.DIA201120P297</stp>
        <tr r="P78" s="1"/>
      </tp>
      <tp t="s">
        <v>N/A</v>
        <stp/>
        <stp>VEGA</stp>
        <stp>.DIA201120C297</stp>
        <tr r="P77" s="1"/>
      </tp>
      <tp t="s">
        <v>N/A</v>
        <stp/>
        <stp>VEGA</stp>
        <stp>.DIA201120P294</stp>
        <tr r="P72" s="1"/>
      </tp>
      <tp t="s">
        <v>N/A</v>
        <stp/>
        <stp>VEGA</stp>
        <stp>.DIA201120C294</stp>
        <tr r="P71" s="1"/>
      </tp>
      <tp t="s">
        <v>N/A</v>
        <stp/>
        <stp>VEGA</stp>
        <stp>.DIA201120P295</stp>
        <tr r="P74" s="1"/>
      </tp>
      <tp t="s">
        <v>N/A</v>
        <stp/>
        <stp>VEGA</stp>
        <stp>.DIA201120C295</stp>
        <tr r="P73" s="1"/>
      </tp>
      <tp t="s">
        <v>N/A</v>
        <stp/>
        <stp>PROB_OF_EXPIRING</stp>
        <stp>.XRT201120P54.5</stp>
        <tr r="T906" s="1"/>
      </tp>
      <tp t="s">
        <v>N/A</v>
        <stp/>
        <stp>PROB_OF_EXPIRING</stp>
        <stp>.XLE201120C34.5</stp>
        <tr r="T808" s="1"/>
      </tp>
      <tp t="s">
        <v>N/A</v>
        <stp/>
        <stp>PROB_OF_EXPIRING</stp>
        <stp>.XLI201120C84.5</stp>
        <tr r="T816" s="1"/>
      </tp>
      <tp t="s">
        <v>N/A</v>
        <stp/>
        <stp>PROB_OF_EXPIRING</stp>
        <stp>.XRT201120C54.5</stp>
        <tr r="T905" s="1"/>
      </tp>
      <tp t="s">
        <v>N/A</v>
        <stp/>
        <stp>VEGA</stp>
        <stp>.IBB201120P141</stp>
        <tr r="P242" s="1"/>
      </tp>
      <tp t="s">
        <v>N/A</v>
        <stp/>
        <stp>VEGA</stp>
        <stp>.IBB201120C141</stp>
        <tr r="P241" s="1"/>
      </tp>
      <tp t="s">
        <v>N/A</v>
        <stp/>
        <stp>VEGA</stp>
        <stp>.IBB201120P140</stp>
        <tr r="P238" s="1"/>
      </tp>
      <tp t="s">
        <v>N/A</v>
        <stp/>
        <stp>VEGA</stp>
        <stp>.IBB201120C140</stp>
        <tr r="P237" s="1"/>
      </tp>
      <tp t="s">
        <v>N/A</v>
        <stp/>
        <stp>PROB_OF_EXPIRING</stp>
        <stp>.XLE201120P34.5</stp>
        <tr r="T809" s="1"/>
      </tp>
      <tp t="s">
        <v>N/A</v>
        <stp/>
        <stp>PROB_OF_EXPIRING</stp>
        <stp>.XLI201120P84.5</stp>
        <tr r="T817" s="1"/>
      </tp>
      <tp t="s">
        <v>N/A</v>
        <stp/>
        <stp>PROB_OF_EXPIRING</stp>
        <stp>SH</stp>
        <tr r="T542" s="1"/>
      </tp>
      <tp>
        <v>1726606</v>
        <stp/>
        <stp>VOLUME</stp>
        <stp>TIP</stp>
        <tr r="F686" s="1"/>
      </tp>
      <tp>
        <v>16001553</v>
        <stp/>
        <stp>VOLUME</stp>
        <stp>TLT</stp>
        <tr r="F689" s="1"/>
      </tp>
      <tp t="s">
        <v>N/A</v>
        <stp/>
        <stp>VEGA</stp>
        <stp>.MUB201120C116</stp>
        <tr r="P436" s="1"/>
      </tp>
      <tp t="s">
        <v>N/A</v>
        <stp/>
        <stp>VEGA</stp>
        <stp>.MUB201120P116</stp>
        <tr r="P437" s="1"/>
      </tp>
      <tp t="s">
        <v>N/A</v>
        <stp/>
        <stp>VEGA</stp>
        <stp>.EMB201120P114</stp>
        <tr r="P113" s="1"/>
      </tp>
      <tp t="s">
        <v>N/A</v>
        <stp/>
        <stp>VEGA</stp>
        <stp>.EMB201120C114</stp>
        <tr r="P112" s="1"/>
      </tp>
      <tp t="s">
        <v>N/A</v>
        <stp/>
        <stp>PROB_OF_EXPIRING</stp>
        <stp>VT</stp>
        <tr r="T734" s="1"/>
      </tp>
      <tp>
        <v>4.8899999999999997</v>
        <stp/>
        <stp>LAST</stp>
        <stp>.IWM201120P172.5</stp>
        <tr r="E353" s="1"/>
      </tp>
      <tp t="s">
        <v>N/A</v>
        <stp/>
        <stp>VEGA</stp>
        <stp>.IBB201120P139</stp>
        <tr r="P234" s="1"/>
      </tp>
      <tp t="s">
        <v>N/A</v>
        <stp/>
        <stp>VEGA</stp>
        <stp>.IBB201120C139</stp>
        <tr r="P233" s="1"/>
      </tp>
      <tp t="s">
        <v>N/A</v>
        <stp/>
        <stp>VEGA</stp>
        <stp>.IBB201120P138</stp>
        <tr r="P230" s="1"/>
      </tp>
      <tp t="s">
        <v>N/A</v>
        <stp/>
        <stp>VEGA</stp>
        <stp>.IBB201120C138</stp>
        <tr r="P229" s="1"/>
      </tp>
      <tp t="s">
        <v>N/A</v>
        <stp/>
        <stp>PROB_OF_EXPIRING</stp>
        <stp>.MJ201120C13</stp>
        <tr r="T424" s="1"/>
      </tp>
      <tp t="s">
        <v>N/A</v>
        <stp/>
        <stp>OPEN</stp>
        <stp>.MDY201120P380</stp>
        <tr r="L416" s="1"/>
      </tp>
      <tp t="s">
        <v>N/A</v>
        <stp/>
        <stp>OPEN</stp>
        <stp>.MDY201120C380</stp>
        <tr r="L415" s="1"/>
      </tp>
      <tp>
        <v>0</v>
        <stp/>
        <stp>OPEN</stp>
        <stp>.MDY201120P385</stp>
        <tr r="L420" s="1"/>
      </tp>
      <tp t="s">
        <v>N/A</v>
        <stp/>
        <stp>OPEN</stp>
        <stp>.MDY201120C385</stp>
        <tr r="L419" s="1"/>
      </tp>
      <tp>
        <v>1.7</v>
        <stp/>
        <stp>OPEN</stp>
        <stp>.XBI201120C125.5</stp>
        <tr r="L778" s="1"/>
      </tp>
      <tp t="s">
        <v>N/A</v>
        <stp/>
        <stp>IMPL_VOL</stp>
        <stp>.VT201120P87</stp>
        <tr r="D738" s="1"/>
      </tp>
      <tp t="s">
        <v>N/A</v>
        <stp/>
        <stp>IMPL_VOL</stp>
        <stp>.VT201120P86</stp>
        <tr r="D736" s="1"/>
      </tp>
      <tp t="s">
        <v>N/A</v>
        <stp/>
        <stp>PROB_OF_EXPIRING</stp>
        <stp>MJ</stp>
        <tr r="T423" s="1"/>
      </tp>
      <tp t="s">
        <v>N/A</v>
        <stp/>
        <stp>PROB_OF_EXPIRING</stp>
        <stp>.ITB201120P54.5</stp>
        <tr r="T290" s="1"/>
      </tp>
      <tp t="s">
        <v>N/A</v>
        <stp/>
        <stp>PROB_OF_EXPIRING</stp>
        <stp>.IYR201120P84.5</stp>
        <tr r="T370" s="1"/>
      </tp>
      <tp t="s">
        <v>N/A</v>
        <stp/>
        <stp>PROB_OF_EXPIRING</stp>
        <stp>.ITB201120C54.5</stp>
        <tr r="T289" s="1"/>
      </tp>
      <tp t="s">
        <v>N/A</v>
        <stp/>
        <stp>PROB_OF_EXPIRING</stp>
        <stp>.IYR201120C84.5</stp>
        <tr r="T369" s="1"/>
      </tp>
      <tp t="s">
        <v>N/A</v>
        <stp/>
        <stp>STRIKE</stp>
        <stp>HYG</stp>
        <tr r="W220" s="1"/>
      </tp>
      <tp>
        <v>2.56</v>
        <stp/>
        <stp>OPEN</stp>
        <stp>.SPY201120C359</stp>
        <tr r="L623" s="1"/>
      </tp>
      <tp>
        <v>5.87</v>
        <stp/>
        <stp>OPEN</stp>
        <stp>.SPY201120P359</stp>
        <tr r="L624" s="1"/>
      </tp>
      <tp>
        <v>1.53</v>
        <stp/>
        <stp>OPEN</stp>
        <stp>.SPY201118C360</stp>
        <tr r="L605" s="1"/>
      </tp>
      <tp>
        <v>3</v>
        <stp/>
        <stp>OPEN</stp>
        <stp>.SPY201120C358</stp>
        <tr r="L621" s="1"/>
      </tp>
      <tp>
        <v>6.37</v>
        <stp/>
        <stp>OPEN</stp>
        <stp>.SPY201118P360</stp>
        <tr r="L606" s="1"/>
      </tp>
      <tp>
        <v>5.4</v>
        <stp/>
        <stp>OPEN</stp>
        <stp>.SPY201120P358</stp>
        <tr r="L622" s="1"/>
      </tp>
      <tp>
        <v>3.52</v>
        <stp/>
        <stp>OPEN</stp>
        <stp>.SPY201120C357</stp>
        <tr r="L617" s="1"/>
      </tp>
      <tp>
        <v>4.83</v>
        <stp/>
        <stp>OPEN</stp>
        <stp>.SPY201120P357</stp>
        <tr r="L618" s="1"/>
      </tp>
      <tp>
        <v>4.04</v>
        <stp/>
        <stp>OPEN</stp>
        <stp>.SPY201120C356</stp>
        <tr r="L615" s="1"/>
      </tp>
      <tp>
        <v>4.33</v>
        <stp/>
        <stp>OPEN</stp>
        <stp>.SPY201120P356</stp>
        <tr r="L616" s="1"/>
      </tp>
      <tp>
        <v>4.6399999999999997</v>
        <stp/>
        <stp>OPEN</stp>
        <stp>.SPY201120C355</stp>
        <tr r="L613" s="1"/>
      </tp>
      <tp>
        <v>3.98</v>
        <stp/>
        <stp>OPEN</stp>
        <stp>.SPY201120P355</stp>
        <tr r="L614" s="1"/>
      </tp>
      <tp>
        <v>5.25</v>
        <stp/>
        <stp>OPEN</stp>
        <stp>.SPY201120C354</stp>
        <tr r="L611" s="1"/>
      </tp>
      <tp>
        <v>3.53</v>
        <stp/>
        <stp>OPEN</stp>
        <stp>.SPY201120P354</stp>
        <tr r="L612" s="1"/>
      </tp>
      <tp>
        <v>5.75</v>
        <stp/>
        <stp>OPEN</stp>
        <stp>.SPY201120C353</stp>
        <tr r="L609" s="1"/>
      </tp>
      <tp>
        <v>3.2</v>
        <stp/>
        <stp>OPEN</stp>
        <stp>.SPY201120P353</stp>
        <tr r="L610" s="1"/>
      </tp>
      <tp>
        <v>1.9</v>
        <stp/>
        <stp>LAST</stp>
        <stp>.IWM201120C172.5</stp>
        <tr r="E352" s="1"/>
      </tp>
      <tp>
        <v>2.74</v>
        <stp/>
        <stp>OPEN</stp>
        <stp>.SPY201118C357</stp>
        <tr r="L599" s="1"/>
      </tp>
      <tp>
        <v>4.07</v>
        <stp/>
        <stp>OPEN</stp>
        <stp>.SPY201118P357</stp>
        <tr r="L600" s="1"/>
      </tp>
      <tp>
        <v>3.33</v>
        <stp/>
        <stp>OPEN</stp>
        <stp>.SPY201118C356</stp>
        <tr r="L597" s="1"/>
      </tp>
      <tp>
        <v>3.71</v>
        <stp/>
        <stp>OPEN</stp>
        <stp>.SPY201118P356</stp>
        <tr r="L598" s="1"/>
      </tp>
      <tp>
        <v>3.88</v>
        <stp/>
        <stp>OPEN</stp>
        <stp>.SPY201118C355</stp>
        <tr r="L595" s="1"/>
      </tp>
      <tp>
        <v>3.23</v>
        <stp/>
        <stp>OPEN</stp>
        <stp>.SPY201118P355</stp>
        <tr r="L596" s="1"/>
      </tp>
      <tp>
        <v>4.2</v>
        <stp/>
        <stp>OPEN</stp>
        <stp>.SPY201118C354</stp>
        <tr r="L593" s="1"/>
      </tp>
      <tp>
        <v>2.88</v>
        <stp/>
        <stp>OPEN</stp>
        <stp>.SPY201118P354</stp>
        <tr r="L594" s="1"/>
      </tp>
      <tp>
        <v>4.72</v>
        <stp/>
        <stp>OPEN</stp>
        <stp>.SPY201118C353</stp>
        <tr r="L591" s="1"/>
      </tp>
      <tp>
        <v>2.5299999999999998</v>
        <stp/>
        <stp>OPEN</stp>
        <stp>.SPY201118P353</stp>
        <tr r="L592" s="1"/>
      </tp>
      <tp>
        <v>1.66</v>
        <stp/>
        <stp>OPEN</stp>
        <stp>.SPY201118C359</stp>
        <tr r="L603" s="1"/>
      </tp>
      <tp>
        <v>1.8</v>
        <stp/>
        <stp>OPEN</stp>
        <stp>.SPY201120C361</stp>
        <tr r="L627" s="1"/>
      </tp>
      <tp>
        <v>5.38</v>
        <stp/>
        <stp>OPEN</stp>
        <stp>.SPY201118P359</stp>
        <tr r="L604" s="1"/>
      </tp>
      <tp>
        <v>7.5</v>
        <stp/>
        <stp>OPEN</stp>
        <stp>.SPY201120P361</stp>
        <tr r="L628" s="1"/>
      </tp>
      <tp>
        <v>2.34</v>
        <stp/>
        <stp>OPEN</stp>
        <stp>.SPY201118C358</stp>
        <tr r="L601" s="1"/>
      </tp>
      <tp>
        <v>2.12</v>
        <stp/>
        <stp>OPEN</stp>
        <stp>.SPY201120C360</stp>
        <tr r="L625" s="1"/>
      </tp>
      <tp>
        <v>4.9800000000000004</v>
        <stp/>
        <stp>OPEN</stp>
        <stp>.SPY201118P358</stp>
        <tr r="L602" s="1"/>
      </tp>
      <tp>
        <v>6.41</v>
        <stp/>
        <stp>OPEN</stp>
        <stp>.SPY201120P360</stp>
        <tr r="L626" s="1"/>
      </tp>
      <tp t="s">
        <v>N/A</v>
        <stp/>
        <stp>THETA</stp>
        <stp>.RSP201120C120</stp>
        <tr r="O510" s="1"/>
      </tp>
      <tp t="s">
        <v>N/A</v>
        <stp/>
        <stp>THETA</stp>
        <stp>.RSP201120P120</stp>
        <tr r="O511" s="1"/>
      </tp>
      <tp t="s">
        <v>N/A</v>
        <stp/>
        <stp>THETA</stp>
        <stp>.TIP201120P125</stp>
        <tr r="O688" s="1"/>
      </tp>
      <tp t="s">
        <v>N/A</v>
        <stp/>
        <stp>THETA</stp>
        <stp>.TIP201120C125</stp>
        <tr r="O687" s="1"/>
      </tp>
      <tp t="s">
        <v>N/A</v>
        <stp/>
        <stp>THETA</stp>
        <stp>.RSP201120C119</stp>
        <tr r="O508" s="1"/>
      </tp>
      <tp t="s">
        <v>N/A</v>
        <stp/>
        <stp>THETA</stp>
        <stp>.RSP201120P119</stp>
        <tr r="O509" s="1"/>
      </tp>
      <tp t="s">
        <v>N/A</v>
        <stp/>
        <stp>THETA</stp>
        <stp>.RSP201120C118</stp>
        <tr r="O506" s="1"/>
      </tp>
      <tp t="s">
        <v>N/A</v>
        <stp/>
        <stp>THETA</stp>
        <stp>.RSP201120P118</stp>
        <tr r="O507" s="1"/>
      </tp>
      <tp t="s">
        <v>N/A</v>
        <stp/>
        <stp>GAMMA</stp>
        <stp>.XLY201120C154</stp>
        <tr r="N878" s="1"/>
      </tp>
      <tp t="s">
        <v>N/A</v>
        <stp/>
        <stp>GAMMA</stp>
        <stp>.XLY201120P154</stp>
        <tr r="N879" s="1"/>
      </tp>
      <tp t="s">
        <v>N/A</v>
        <stp/>
        <stp>GAMMA</stp>
        <stp>.XLY201120C155</stp>
        <tr r="N882" s="1"/>
      </tp>
      <tp t="s">
        <v>N/A</v>
        <stp/>
        <stp>GAMMA</stp>
        <stp>.XLY201120P155</stp>
        <tr r="N883" s="1"/>
      </tp>
      <tp t="s">
        <v>N/A</v>
        <stp/>
        <stp>GAMMA</stp>
        <stp>.XLY201120C152</stp>
        <tr r="N870" s="1"/>
      </tp>
      <tp t="s">
        <v>N/A</v>
        <stp/>
        <stp>GAMMA</stp>
        <stp>.XLY201120P152</stp>
        <tr r="N871" s="1"/>
      </tp>
      <tp t="s">
        <v>N/A</v>
        <stp/>
        <stp>GAMMA</stp>
        <stp>.XLY201120C153</stp>
        <tr r="N874" s="1"/>
      </tp>
      <tp t="s">
        <v>N/A</v>
        <stp/>
        <stp>GAMMA</stp>
        <stp>.XLY201120P153</stp>
        <tr r="N875" s="1"/>
      </tp>
      <tp t="s">
        <v>N/A</v>
        <stp/>
        <stp>DESCRIPTION</stp>
        <stp>FVD</stp>
        <tr r="B185" s="1"/>
      </tp>
      <tp>
        <v>123.73</v>
        <stp/>
        <stp>ASK</stp>
        <stp>XBI</stp>
        <tr r="I763" s="1"/>
      </tp>
      <tp>
        <v>67.900000000000006</v>
        <stp/>
        <stp>ASK</stp>
        <stp>XLB</stp>
        <tr r="I787" s="1"/>
      </tp>
      <tp>
        <v>63.45</v>
        <stp/>
        <stp>ASK</stp>
        <stp>XLC</stp>
        <tr r="I796" s="1"/>
      </tp>
      <tp>
        <v>26.93</v>
        <stp/>
        <stp>ASK</stp>
        <stp>XLF</stp>
        <tr r="I810" s="1"/>
      </tp>
      <tp>
        <v>32.49</v>
        <stp/>
        <stp>ASK</stp>
        <stp>XLE</stp>
        <tr r="I803" s="1"/>
      </tp>
      <tp>
        <v>121.02</v>
        <stp/>
        <stp>ASK</stp>
        <stp>XLK</stp>
        <tr r="I824" s="1"/>
      </tp>
      <tp>
        <v>84.05</v>
        <stp/>
        <stp>ASK</stp>
        <stp>XLI</stp>
        <tr r="I813" s="1"/>
      </tp>
      <tp>
        <v>66.78</v>
        <stp/>
        <stp>ASK</stp>
        <stp>XLP</stp>
        <tr r="I841" s="1"/>
      </tp>
      <tp>
        <v>110.64</v>
        <stp/>
        <stp>ASK</stp>
        <stp>XLV</stp>
        <tr r="I856" s="1"/>
      </tp>
      <tp>
        <v>65.64</v>
        <stp/>
        <stp>ASK</stp>
        <stp>XLU</stp>
        <tr r="I849" s="1"/>
      </tp>
      <tp>
        <v>151.91999999999999</v>
        <stp/>
        <stp>ASK</stp>
        <stp>XLY</stp>
        <tr r="I867" s="1"/>
      </tp>
      <tp>
        <v>26.59</v>
        <stp/>
        <stp>ASK</stp>
        <stp>XME</stp>
        <tr r="I884" s="1"/>
      </tp>
      <tp>
        <v>46.44</v>
        <stp/>
        <stp>ASK</stp>
        <stp>XOP</stp>
        <tr r="I889" s="1"/>
      </tp>
      <tp>
        <v>55</v>
        <stp/>
        <stp>ASK</stp>
        <stp>XHB</stp>
        <tr r="I780" s="1"/>
      </tp>
      <tp t="s">
        <v>N/A</v>
        <stp/>
        <stp>DESCRIPTION</stp>
        <stp>FXI</stp>
        <tr r="B188" s="1"/>
      </tp>
      <tp>
        <v>0</v>
        <stp/>
        <stp>RHO</stp>
        <stp>KRE</stp>
        <tr r="Q388" s="1"/>
      </tp>
      <tp t="s">
        <v>SPDR INDEX SHARES FUNDS EURO STOXX 50 ETF</v>
        <stp/>
        <stp>DESCRIPTION</stp>
        <stp>FEZ</stp>
        <tr r="B180" s="1"/>
      </tp>
      <tp>
        <v>53.78</v>
        <stp/>
        <stp>ASK</stp>
        <stp>XRT</stp>
        <tr r="I902" s="1"/>
      </tp>
      <tp>
        <v>0</v>
        <stp/>
        <stp>RHO</stp>
        <stp>KBE</stp>
        <tr r="Q385" s="1"/>
      </tp>
      <tp>
        <v>113.89</v>
        <stp/>
        <stp>OPEN</stp>
        <stp>EMB</stp>
        <tr r="L111" s="1"/>
      </tp>
      <tp>
        <v>13.1</v>
        <stp/>
        <stp>ASK</stp>
        <stp>DFEN</stp>
        <tr r="I54" s="1"/>
      </tp>
      <tp>
        <v>48.14</v>
        <stp/>
        <stp>OPEN</stp>
        <stp>EEM</stp>
        <tr r="L94" s="1"/>
      </tp>
      <tp>
        <v>0</v>
        <stp/>
        <stp>VEGA</stp>
        <stp>PGX</stp>
        <tr r="P454" s="1"/>
      </tp>
      <tp>
        <v>68.75</v>
        <stp/>
        <stp>OPEN</stp>
        <stp>EFA</stp>
        <tr r="L101" s="1"/>
      </tp>
      <tp>
        <v>44.23</v>
        <stp/>
        <stp>OPEN</stp>
        <stp>EFV</stp>
        <tr r="L108" s="1"/>
      </tp>
      <tp>
        <v>125.34</v>
        <stp/>
        <stp>LAST</stp>
        <stp>TIP</stp>
        <tr r="E686" s="1"/>
      </tp>
      <tp>
        <v>158.37</v>
        <stp/>
        <stp>LAST</stp>
        <stp>TLT</stp>
        <tr r="E689" s="1"/>
      </tp>
      <tp>
        <v>0</v>
        <stp/>
        <stp>VEGA</stp>
        <stp>PXH</stp>
        <tr r="P457" s="1"/>
      </tp>
      <tp>
        <v>41.5</v>
        <stp/>
        <stp>OPEN</stp>
        <stp>EZU</stp>
        <tr r="L177" s="1"/>
      </tp>
      <tp>
        <v>16.46</v>
        <stp/>
        <stp>LAST</stp>
        <stp>TBT</stp>
        <tr r="E683" s="1"/>
      </tp>
      <tp>
        <v>15.75</v>
        <stp/>
        <stp>LAST</stp>
        <stp>TBF</stp>
        <tr r="E680" s="1"/>
      </tp>
      <tp>
        <v>42.65</v>
        <stp/>
        <stp>OPEN</stp>
        <stp>EWL</stp>
        <tr r="L142" s="1"/>
      </tp>
      <tp>
        <v>23.7</v>
        <stp/>
        <stp>OPEN</stp>
        <stp>EWH</stp>
        <tr r="L129" s="1"/>
      </tp>
      <tp>
        <v>26.85</v>
        <stp/>
        <stp>OPEN</stp>
        <stp>EWI</stp>
        <tr r="L132" s="1"/>
      </tp>
      <tp>
        <v>62.67</v>
        <stp/>
        <stp>OPEN</stp>
        <stp>EWJ</stp>
        <tr r="L135" s="1"/>
      </tp>
      <tp>
        <v>29.62</v>
        <stp/>
        <stp>OPEN</stp>
        <stp>EWG</stp>
        <tr r="L126" s="1"/>
      </tp>
      <tp>
        <v>22.13</v>
        <stp/>
        <stp>OPEN</stp>
        <stp>EWA</stp>
        <tr r="L120" s="1"/>
      </tp>
      <tp>
        <v>29.03</v>
        <stp/>
        <stp>OPEN</stp>
        <stp>EWC</stp>
        <tr r="L123" s="1"/>
      </tp>
      <tp>
        <v>72.31</v>
        <stp/>
        <stp>OPEN</stp>
        <stp>EWY</stp>
        <tr r="L161" s="1"/>
      </tp>
      <tp>
        <v>31.54</v>
        <stp/>
        <stp>OPEN</stp>
        <stp>EWZ</stp>
        <tr r="L172" s="1"/>
      </tp>
      <tp>
        <v>73.680000000000007</v>
        <stp/>
        <stp>LAST</stp>
        <stp>TAN</stp>
        <tr r="E659" s="1"/>
      </tp>
      <tp>
        <v>48.12</v>
        <stp/>
        <stp>OPEN</stp>
        <stp>EWT</stp>
        <tr r="L148" s="1"/>
      </tp>
      <tp>
        <v>28.06</v>
        <stp/>
        <stp>OPEN</stp>
        <stp>EWU</stp>
        <tr r="L151" s="1"/>
      </tp>
      <tp>
        <v>38.96</v>
        <stp/>
        <stp>OPEN</stp>
        <stp>EWW</stp>
        <tr r="L154" s="1"/>
      </tp>
      <tp>
        <v>25.49</v>
        <stp/>
        <stp>OPEN</stp>
        <stp>EWP</stp>
        <tr r="L145" s="1"/>
      </tp>
      <tp t="s">
        <v>N/A</v>
        <stp/>
        <stp>LAST</stp>
        <stp>.MDY201120C385</stp>
        <tr r="E419" s="1"/>
      </tp>
      <tp>
        <v>0</v>
        <stp/>
        <stp>LAST</stp>
        <stp>.MDY201120P385</stp>
        <tr r="E420" s="1"/>
      </tp>
      <tp t="s">
        <v>N/A</v>
        <stp/>
        <stp>LAST</stp>
        <stp>.MDY201120C380</stp>
        <tr r="E415" s="1"/>
      </tp>
      <tp t="s">
        <v>N/A</v>
        <stp/>
        <stp>LAST</stp>
        <stp>.MDY201120P380</stp>
        <tr r="E416" s="1"/>
      </tp>
      <tp t="s">
        <v>N/A</v>
        <stp/>
        <stp>VEGA</stp>
        <stp>.XLY201120P154.5</stp>
        <tr r="P881" s="1"/>
      </tp>
      <tp t="s">
        <v>N/A</v>
        <stp/>
        <stp>STRIKE</stp>
        <stp>KBE</stp>
        <tr r="W385" s="1"/>
      </tp>
      <tp>
        <v>2.99</v>
        <stp/>
        <stp>HIGH</stp>
        <stp>.XBI201120P124.5</stp>
        <tr r="J775" s="1"/>
      </tp>
      <tp t="s">
        <v>N/A</v>
        <stp/>
        <stp>PROB_OF_EXPIRING</stp>
        <stp>.XOP201120C47.5</stp>
        <tr r="T892" s="1"/>
      </tp>
      <tp>
        <v>0</v>
        <stp/>
        <stp>THETA</stp>
        <stp>EUFN</stp>
        <tr r="O117" s="1"/>
      </tp>
      <tp t="s">
        <v>N/A</v>
        <stp/>
        <stp>PROB_OF_EXPIRING</stp>
        <stp>.XOP201120P47.5</stp>
        <tr r="T893" s="1"/>
      </tp>
      <tp t="s">
        <v>N/A</v>
        <stp/>
        <stp>LAST</stp>
        <stp>.IBB201120C141.5</stp>
        <tr r="E243" s="1"/>
      </tp>
      <tp t="s">
        <v>N/A</v>
        <stp/>
        <stp>LAST</stp>
        <stp>.LQD201120P134.5</stp>
        <tr r="E406" s="1"/>
      </tp>
      <tp t="s">
        <v>N/A</v>
        <stp/>
        <stp>HIGH</stp>
        <stp>.XLY201120P154.5</stp>
        <tr r="J881" s="1"/>
      </tp>
      <tp>
        <v>7</v>
        <stp/>
        <stp>PUT_CALL_RATIO</stp>
        <stp>MUB</stp>
        <tr r="C435" s="1"/>
      </tp>
      <tp>
        <v>6.82</v>
        <stp/>
        <stp>LAST</stp>
        <stp>.SPY201120P359</stp>
        <tr r="E624" s="1"/>
      </tp>
      <tp>
        <v>1.91</v>
        <stp/>
        <stp>LAST</stp>
        <stp>.SPY201120C359</stp>
        <tr r="E623" s="1"/>
      </tp>
      <tp>
        <v>8.01</v>
        <stp/>
        <stp>LAST</stp>
        <stp>.SPY201118P360</stp>
        <tr r="E606" s="1"/>
      </tp>
      <tp>
        <v>6.3</v>
        <stp/>
        <stp>LAST</stp>
        <stp>.SPY201120P358</stp>
        <tr r="E622" s="1"/>
      </tp>
      <tp>
        <v>0.97</v>
        <stp/>
        <stp>LAST</stp>
        <stp>.SPY201118C360</stp>
        <tr r="E605" s="1"/>
      </tp>
      <tp>
        <v>2.3199999999999998</v>
        <stp/>
        <stp>LAST</stp>
        <stp>.SPY201120C358</stp>
        <tr r="E621" s="1"/>
      </tp>
      <tp>
        <v>3.99</v>
        <stp/>
        <stp>LAST</stp>
        <stp>.SPY201120P353</stp>
        <tr r="E610" s="1"/>
      </tp>
      <tp>
        <v>4.93</v>
        <stp/>
        <stp>LAST</stp>
        <stp>.SPY201120C353</stp>
        <tr r="E609" s="1"/>
      </tp>
      <tp>
        <v>4.8899999999999997</v>
        <stp/>
        <stp>LAST</stp>
        <stp>.SPY201120P355</stp>
        <tr r="E614" s="1"/>
      </tp>
      <tp>
        <v>3.7</v>
        <stp/>
        <stp>LAST</stp>
        <stp>.SPY201120C355</stp>
        <tr r="E613" s="1"/>
      </tp>
      <tp>
        <v>4.4400000000000004</v>
        <stp/>
        <stp>LAST</stp>
        <stp>.SPY201120P354</stp>
        <tr r="E612" s="1"/>
      </tp>
      <tp>
        <v>4.3</v>
        <stp/>
        <stp>LAST</stp>
        <stp>.SPY201120C354</stp>
        <tr r="E611" s="1"/>
      </tp>
      <tp>
        <v>1</v>
        <stp/>
        <stp>DELTA</stp>
        <stp>GUSH</stp>
        <tr r="M213" s="1"/>
      </tp>
      <tp>
        <v>5.9</v>
        <stp/>
        <stp>LAST</stp>
        <stp>.SPY201120P357</stp>
        <tr r="E618" s="1"/>
      </tp>
      <tp>
        <v>2.72</v>
        <stp/>
        <stp>LAST</stp>
        <stp>.SPY201120C357</stp>
        <tr r="E617" s="1"/>
      </tp>
      <tp>
        <v>5.19</v>
        <stp/>
        <stp>LAST</stp>
        <stp>.SPY201120P356</stp>
        <tr r="E616" s="1"/>
      </tp>
      <tp>
        <v>3.28</v>
        <stp/>
        <stp>LAST</stp>
        <stp>.SPY201120C356</stp>
        <tr r="E615" s="1"/>
      </tp>
      <tp>
        <v>3.22</v>
        <stp/>
        <stp>LAST</stp>
        <stp>.SPY201118P353</stp>
        <tr r="E592" s="1"/>
      </tp>
      <tp>
        <v>4.12</v>
        <stp/>
        <stp>LAST</stp>
        <stp>.SPY201118C353</stp>
        <tr r="E591" s="1"/>
      </tp>
      <tp>
        <v>3.85</v>
        <stp/>
        <stp>LAST</stp>
        <stp>.SPY201118P355</stp>
        <tr r="E596" s="1"/>
      </tp>
      <tp>
        <v>2.95</v>
        <stp/>
        <stp>LAST</stp>
        <stp>.SPY201118C355</stp>
        <tr r="E595" s="1"/>
      </tp>
      <tp>
        <v>3.5</v>
        <stp/>
        <stp>LAST</stp>
        <stp>.SPY201118P354</stp>
        <tr r="E594" s="1"/>
      </tp>
      <tp>
        <v>3.62</v>
        <stp/>
        <stp>LAST</stp>
        <stp>.SPY201118C354</stp>
        <tr r="E593" s="1"/>
      </tp>
      <tp>
        <v>5.0199999999999996</v>
        <stp/>
        <stp>LAST</stp>
        <stp>.SPY201118P357</stp>
        <tr r="E600" s="1"/>
      </tp>
      <tp>
        <v>1.96</v>
        <stp/>
        <stp>LAST</stp>
        <stp>.SPY201118C357</stp>
        <tr r="E599" s="1"/>
      </tp>
      <tp>
        <v>4.55</v>
        <stp/>
        <stp>LAST</stp>
        <stp>.SPY201118P356</stp>
        <tr r="E598" s="1"/>
      </tp>
      <tp>
        <v>2.4</v>
        <stp/>
        <stp>LAST</stp>
        <stp>.SPY201118C356</stp>
        <tr r="E597" s="1"/>
      </tp>
      <tp>
        <v>7.08</v>
        <stp/>
        <stp>LAST</stp>
        <stp>.SPY201118P359</stp>
        <tr r="E604" s="1"/>
      </tp>
      <tp>
        <v>8.9</v>
        <stp/>
        <stp>LAST</stp>
        <stp>.SPY201120P361</stp>
        <tr r="E628" s="1"/>
      </tp>
      <tp>
        <v>1.26</v>
        <stp/>
        <stp>LAST</stp>
        <stp>.SPY201118C359</stp>
        <tr r="E603" s="1"/>
      </tp>
      <tp>
        <v>1.28</v>
        <stp/>
        <stp>LAST</stp>
        <stp>.SPY201120C361</stp>
        <tr r="E627" s="1"/>
      </tp>
      <tp>
        <v>7.68</v>
        <stp/>
        <stp>LAST</stp>
        <stp>.SPY201118P358</stp>
        <tr r="E602" s="1"/>
      </tp>
      <tp>
        <v>7.5</v>
        <stp/>
        <stp>LAST</stp>
        <stp>.SPY201120P360</stp>
        <tr r="E626" s="1"/>
      </tp>
      <tp>
        <v>1.65</v>
        <stp/>
        <stp>LAST</stp>
        <stp>.SPY201118C358</stp>
        <tr r="E601" s="1"/>
      </tp>
      <tp>
        <v>1.59</v>
        <stp/>
        <stp>LAST</stp>
        <stp>.SPY201120C360</stp>
        <tr r="E625" s="1"/>
      </tp>
      <tp t="s">
        <v>N/A</v>
        <stp/>
        <stp>VEGA</stp>
        <stp>.XBI201120P124.5</stp>
        <tr r="P775" s="1"/>
      </tp>
      <tp>
        <v>0</v>
        <stp/>
        <stp>GAMMA</stp>
        <stp>XLRE</stp>
        <tr r="N846" s="1"/>
      </tp>
      <tp>
        <v>0</v>
        <stp/>
        <stp>THETA</stp>
        <stp>QUAL</stp>
        <tr r="O498" s="1"/>
      </tp>
      <tp t="s">
        <v>N/A</v>
        <stp/>
        <stp>STRIKE</stp>
        <stp>KRE</stp>
        <tr r="W388" s="1"/>
      </tp>
      <tp t="s">
        <v>N/A</v>
        <stp/>
        <stp>VEGA</stp>
        <stp>.XLY201120C154.5</stp>
        <tr r="P880" s="1"/>
      </tp>
      <tp>
        <v>2.87</v>
        <stp/>
        <stp>HIGH</stp>
        <stp>.XBI201120C124.5</stp>
        <tr r="J774" s="1"/>
      </tp>
      <tp t="s">
        <v>N/A</v>
        <stp/>
        <stp>PROB_OF_EXPIRING</stp>
        <stp>.EEM201120C47.5</stp>
        <tr r="T95" s="1"/>
      </tp>
      <tp t="s">
        <v>N/A</v>
        <stp/>
        <stp>PROB_OF_EXPIRING</stp>
        <stp>.EEM201120P47.5</stp>
        <tr r="T96" s="1"/>
      </tp>
      <tp t="s">
        <v>N/A</v>
        <stp/>
        <stp>PROB_OF_EXPIRING</stp>
        <stp>.FXI201120P47.5</stp>
        <tr r="T192" s="1"/>
      </tp>
      <tp t="s">
        <v>N/A</v>
        <stp/>
        <stp>PROB_OF_EXPIRING</stp>
        <stp>.FXI201120C47.5</stp>
        <tr r="T191" s="1"/>
      </tp>
      <tp t="s">
        <v>N/A</v>
        <stp/>
        <stp>PROB_OF_EXPIRING</stp>
        <stp>.GDX201120C37.5</stp>
        <tr r="T200" s="1"/>
      </tp>
      <tp t="s">
        <v>N/A</v>
        <stp/>
        <stp>PROB_OF_EXPIRING</stp>
        <stp>.GDX201120P37.5</stp>
        <tr r="T201" s="1"/>
      </tp>
      <tp>
        <v>1</v>
        <stp/>
        <stp>DELTA</stp>
        <stp>EUFN</stp>
        <tr r="M117" s="1"/>
      </tp>
      <tp t="s">
        <v>N/A</v>
        <stp/>
        <stp>HIGH</stp>
        <stp>.XLY201120C154.5</stp>
        <tr r="J880" s="1"/>
      </tp>
      <tp>
        <v>0.16800000000000001</v>
        <stp/>
        <stp>PUT_CALL_RATIO</stp>
        <stp>MDY</stp>
        <tr r="C414" s="1"/>
      </tp>
      <tp t="s">
        <v>N/A</v>
        <stp/>
        <stp>PROB_OF_EXPIRING</stp>
        <stp>.KRE201120P47.5</stp>
        <tr r="T396" s="1"/>
      </tp>
      <tp t="s">
        <v>N/A</v>
        <stp/>
        <stp>PROB_OF_EXPIRING</stp>
        <stp>.KRE201120C47.5</stp>
        <tr r="T395" s="1"/>
      </tp>
      <tp>
        <v>3.55</v>
        <stp/>
        <stp>LAST</stp>
        <stp>.IBB201120P141.5</stp>
        <tr r="E244" s="1"/>
      </tp>
      <tp t="s">
        <v>N/A</v>
        <stp/>
        <stp>LAST</stp>
        <stp>.LQD201120C134.5</stp>
        <tr r="E405" s="1"/>
      </tp>
      <tp>
        <v>0</v>
        <stp/>
        <stp>THETA</stp>
        <stp>GUSH</stp>
        <tr r="O213" s="1"/>
      </tp>
      <tp t="s">
        <v>N/A</v>
        <stp/>
        <stp>VEGA</stp>
        <stp>.XBI201120C124.5</stp>
        <tr r="P774" s="1"/>
      </tp>
      <tp>
        <v>1</v>
        <stp/>
        <stp>DELTA</stp>
        <stp>QUAL</stp>
        <tr r="M498" s="1"/>
      </tp>
      <tp t="s">
        <v>VANECK VECTORS ETF TRUST GOLD MINERS ETF</v>
        <stp/>
        <stp>DESCRIPTION</stp>
        <stp>GDX</stp>
        <tr r="B195" s="1"/>
      </tp>
      <tp>
        <v>0</v>
        <stp/>
        <stp>RHO</stp>
        <stp>JNK</stp>
        <tr r="Q380" s="1"/>
      </tp>
      <tp>
        <v>125.12</v>
        <stp/>
        <stp>LOW</stp>
        <stp>TIP</stp>
        <tr r="K686" s="1"/>
      </tp>
      <tp>
        <v>156.71</v>
        <stp/>
        <stp>LOW</stp>
        <stp>TLT</stp>
        <tr r="K689" s="1"/>
      </tp>
      <tp>
        <v>73.19</v>
        <stp/>
        <stp>LOW</stp>
        <stp>TAN</stp>
        <tr r="K659" s="1"/>
      </tp>
      <tp>
        <v>16.45</v>
        <stp/>
        <stp>LOW</stp>
        <stp>TBT</stp>
        <tr r="K683" s="1"/>
      </tp>
      <tp>
        <v>15.75</v>
        <stp/>
        <stp>LOW</stp>
        <stp>TBF</stp>
        <tr r="K680" s="1"/>
      </tp>
      <tp t="s">
        <v>N/A</v>
        <stp/>
        <stp>DESCRIPTION</stp>
        <stp>KWEB</stp>
        <tr r="B397" s="1"/>
      </tp>
      <tp>
        <v>0</v>
        <stp/>
        <stp>VEGA</stp>
        <stp>QLD</stp>
        <tr r="P462" s="1"/>
      </tp>
      <tp>
        <v>292.22000000000003</v>
        <stp/>
        <stp>OPEN</stp>
        <stp>DIA</stp>
        <tr r="L62" s="1"/>
      </tp>
      <tp>
        <v>70.66</v>
        <stp/>
        <stp>ASK</stp>
        <stp>IGIB</stp>
        <tr r="I261" s="1"/>
      </tp>
      <tp>
        <v>70.3</v>
        <stp/>
        <stp>ASK</stp>
        <stp>VGIT</stp>
        <tr r="I718" s="1"/>
      </tp>
      <tp>
        <v>42.81</v>
        <stp/>
        <stp>ASK</stp>
        <stp>DGRO</stp>
        <tr r="I59" s="1"/>
      </tp>
      <tp>
        <v>13.86</v>
        <stp/>
        <stp>OPEN</stp>
        <stp>DXD</stp>
        <tr r="L91" s="1"/>
      </tp>
      <tp>
        <v>90.75</v>
        <stp/>
        <stp>OPEN</stp>
        <stp>DVY</stp>
        <tr r="L84" s="1"/>
      </tp>
      <tp>
        <v>0</v>
        <stp/>
        <stp>VEGA</stp>
        <stp>QQQ</stp>
        <tr r="P475" s="1"/>
      </tp>
      <tp>
        <v>0</v>
        <stp/>
        <stp>THETA</stp>
        <stp>ITOT</stp>
        <tr r="O297" s="1"/>
      </tp>
      <tp t="s">
        <v>N/A</v>
        <stp/>
        <stp>PROB_OF_EXPIRING</stp>
        <stp>.SHY201120C86.5</stp>
        <tr r="T546" s="1"/>
      </tp>
      <tp t="s">
        <v>N/A</v>
        <stp/>
        <stp>PROB_OF_EXPIRING</stp>
        <stp>.SHY201120P86.5</stp>
        <tr r="T547" s="1"/>
      </tp>
      <tp t="s">
        <v>N/A</v>
        <stp/>
        <stp>PROB_OF_EXPIRING</stp>
        <stp>.TAN201120C76.5</stp>
        <tr r="T676" s="1"/>
      </tp>
      <tp t="s">
        <v>N/A</v>
        <stp/>
        <stp>PROB_OF_EXPIRING</stp>
        <stp>.TAN201120P76.5</stp>
        <tr r="T677" s="1"/>
      </tp>
      <tp>
        <v>2299684</v>
        <stp/>
        <stp>VOLUME</stp>
        <stp>VEU</stp>
        <tr r="F710" s="1"/>
      </tp>
      <tp>
        <v>7226642</v>
        <stp/>
        <stp>VOLUME</stp>
        <stp>VEA</stp>
        <tr r="F707" s="1"/>
      </tp>
      <tp t="s">
        <v>N/A</v>
        <stp/>
        <stp>PROB_OF_EXPIRING</stp>
        <stp>.VWO201120P46.5</stp>
        <tr r="T750" s="1"/>
      </tp>
      <tp t="s">
        <v>N/A</v>
        <stp/>
        <stp>PROB_OF_EXPIRING</stp>
        <stp>.VWO201120C46.5</stp>
        <tr r="T749" s="1"/>
      </tp>
      <tp>
        <v>1782576</v>
        <stp/>
        <stp>VOLUME</stp>
        <stp>VFH</stp>
        <tr r="F713" s="1"/>
      </tp>
      <tp>
        <v>3.1</v>
        <stp/>
        <stp>HIGH</stp>
        <stp>.XBI201120P125.5</stp>
        <tr r="J779" s="1"/>
      </tp>
      <tp>
        <v>4682103</v>
        <stp/>
        <stp>VOLUME</stp>
        <stp>VGK</stp>
        <tr r="F721" s="1"/>
      </tp>
      <tp t="s">
        <v>N/A</v>
        <stp/>
        <stp>PROB_OF_EXPIRING</stp>
        <stp>.XLP201120C66.5</stp>
        <tr r="T842" s="1"/>
      </tp>
      <tp t="s">
        <v>N/A</v>
        <stp/>
        <stp>PROB_OF_EXPIRING</stp>
        <stp>.XLU201120C66.5</stp>
        <tr r="T852" s="1"/>
      </tp>
      <tp t="s">
        <v>N/A</v>
        <stp/>
        <stp>PROB_OF_EXPIRING</stp>
        <stp>.XME201120C26.5</stp>
        <tr r="T885" s="1"/>
      </tp>
      <tp t="s">
        <v>N/A</v>
        <stp/>
        <stp>PROB_OF_EXPIRING</stp>
        <stp>.XME201120P26.5</stp>
        <tr r="T886" s="1"/>
      </tp>
      <tp t="s">
        <v>N/A</v>
        <stp/>
        <stp>PROB_OF_EXPIRING</stp>
        <stp>.XLP201120P66.5</stp>
        <tr r="T843" s="1"/>
      </tp>
      <tp t="s">
        <v>N/A</v>
        <stp/>
        <stp>PROB_OF_EXPIRING</stp>
        <stp>.XLU201120P66.5</stp>
        <tr r="T853" s="1"/>
      </tp>
      <tp t="s">
        <v>N/A</v>
        <stp/>
        <stp>LAST</stp>
        <stp>.IBB201120C140.5</stp>
        <tr r="E239" s="1"/>
      </tp>
      <tp t="s">
        <v>N/A</v>
        <stp/>
        <stp>LAST</stp>
        <stp>.LQD201120P135.5</stp>
        <tr r="E410" s="1"/>
      </tp>
      <tp>
        <v>1</v>
        <stp/>
        <stp>DELTA</stp>
        <stp>MTUM</stp>
        <tr r="M426" s="1"/>
      </tp>
      <tp t="s">
        <v>N/A</v>
        <stp/>
        <stp>STRIKE</stp>
        <stp>JNK</stp>
        <tr r="W380" s="1"/>
      </tp>
      <tp t="s">
        <v>N/A</v>
        <stp/>
        <stp>VEGA</stp>
        <stp>.XBI201120P125.5</stp>
        <tr r="P779" s="1"/>
      </tp>
      <tp>
        <v>3939500</v>
        <stp/>
        <stp>VOLUME</stp>
        <stp>VNQ</stp>
        <tr r="F724" s="1"/>
      </tp>
      <tp>
        <v>2539783</v>
        <stp/>
        <stp>VOLUME</stp>
        <stp>VOO</stp>
        <tr r="F729" s="1"/>
      </tp>
      <tp>
        <v>4.4740000000000002</v>
        <stp/>
        <stp>PUT_CALL_RATIO</stp>
        <stp>LQD</stp>
        <tr r="C404" s="1"/>
      </tp>
      <tp>
        <v>0</v>
        <stp/>
        <stp>GAMMA</stp>
        <stp>AMLP</stp>
        <tr r="N18" s="1"/>
      </tp>
      <tp>
        <v>1</v>
        <stp/>
        <stp>DELTA</stp>
        <stp>ITOT</stp>
        <tr r="M297" s="1"/>
      </tp>
      <tp>
        <v>0</v>
        <stp/>
        <stp>GAMMA</stp>
        <stp>EMLC</stp>
        <tr r="N114" s="1"/>
      </tp>
      <tp>
        <v>2.2400000000000002</v>
        <stp/>
        <stp>HIGH</stp>
        <stp>.XBI201120C125.5</stp>
        <tr r="J778" s="1"/>
      </tp>
      <tp>
        <v>3325799</v>
        <stp/>
        <stp>VOLUME</stp>
        <stp>VTI</stp>
        <tr r="F739" s="1"/>
      </tp>
      <tp t="s">
        <v>N/A</v>
        <stp/>
        <stp>PROB_OF_EXPIRING</stp>
        <stp>.GDX201120C36.5</stp>
        <tr r="T196" s="1"/>
      </tp>
      <tp t="s">
        <v>N/A</v>
        <stp/>
        <stp>PROB_OF_EXPIRING</stp>
        <stp>.GDX201120P36.5</stp>
        <tr r="T197" s="1"/>
      </tp>
      <tp>
        <v>9333416</v>
        <stp/>
        <stp>VOLUME</stp>
        <stp>VWO</stp>
        <tr r="F748" s="1"/>
      </tp>
      <tp>
        <v>2780083</v>
        <stp/>
        <stp>VOLUME</stp>
        <stp>VYM</stp>
        <tr r="F758" s="1"/>
      </tp>
      <tp t="s">
        <v>N/A</v>
        <stp/>
        <stp>PROB_OF_EXPIRING</stp>
        <stp>.KRE201120P46.5</stp>
        <tr r="T392" s="1"/>
      </tp>
      <tp t="s">
        <v>N/A</v>
        <stp/>
        <stp>PROB_OF_EXPIRING</stp>
        <stp>.KRE201120C46.5</stp>
        <tr r="T391" s="1"/>
      </tp>
      <tp>
        <v>0</v>
        <stp/>
        <stp>THETA</stp>
        <stp>MTUM</stp>
        <tr r="O426" s="1"/>
      </tp>
      <tp>
        <v>4.2</v>
        <stp/>
        <stp>LAST</stp>
        <stp>.IBB201120P140.5</stp>
        <tr r="E240" s="1"/>
      </tp>
      <tp>
        <v>0.6</v>
        <stp/>
        <stp>LAST</stp>
        <stp>.LQD201120C135.5</stp>
        <tr r="E409" s="1"/>
      </tp>
      <tp t="s">
        <v>N/A</v>
        <stp/>
        <stp>OPEN</stp>
        <stp>.XLY201120P154</stp>
        <tr r="L879" s="1"/>
      </tp>
      <tp>
        <v>1.25</v>
        <stp/>
        <stp>OPEN</stp>
        <stp>.XLY201120C154</stp>
        <tr r="L878" s="1"/>
      </tp>
      <tp t="s">
        <v>N/A</v>
        <stp/>
        <stp>OPEN</stp>
        <stp>.XLY201120P155</stp>
        <tr r="L883" s="1"/>
      </tp>
      <tp>
        <v>1.25</v>
        <stp/>
        <stp>OPEN</stp>
        <stp>.XLY201120C155</stp>
        <tr r="L882" s="1"/>
      </tp>
      <tp t="s">
        <v>N/A</v>
        <stp/>
        <stp>OPEN</stp>
        <stp>.XLY201120P152</stp>
        <tr r="L871" s="1"/>
      </tp>
      <tp>
        <v>2.13</v>
        <stp/>
        <stp>OPEN</stp>
        <stp>.XLY201120C152</stp>
        <tr r="L870" s="1"/>
      </tp>
      <tp t="s">
        <v>N/A</v>
        <stp/>
        <stp>OPEN</stp>
        <stp>.XLY201120P153</stp>
        <tr r="L875" s="1"/>
      </tp>
      <tp t="s">
        <v>N/A</v>
        <stp/>
        <stp>OPEN</stp>
        <stp>.XLY201120C153</stp>
        <tr r="L874" s="1"/>
      </tp>
      <tp>
        <v>4208</v>
        <stp/>
        <stp>OPEN_INT</stp>
        <stp>.SH201120C19</stp>
        <tr r="G543" s="1"/>
      </tp>
      <tp t="s">
        <v>N/A</v>
        <stp/>
        <stp>VEGA</stp>
        <stp>.XBI201120C125.5</stp>
        <tr r="P778" s="1"/>
      </tp>
      <tp t="s">
        <v>N/A</v>
        <stp/>
        <stp>EXTRINSIC</stp>
        <stp>MJ</stp>
        <tr r="S423" s="1"/>
      </tp>
      <tp t="s">
        <v>N/A</v>
        <stp/>
        <stp>GAMMA</stp>
        <stp>.MDY201120C380</stp>
        <tr r="N415" s="1"/>
      </tp>
      <tp t="s">
        <v>N/A</v>
        <stp/>
        <stp>GAMMA</stp>
        <stp>.MDY201120P380</stp>
        <tr r="N416" s="1"/>
      </tp>
      <tp t="s">
        <v>N/A</v>
        <stp/>
        <stp>GAMMA</stp>
        <stp>.MDY201120C385</stp>
        <tr r="N419" s="1"/>
      </tp>
      <tp t="s">
        <v>N/A</v>
        <stp/>
        <stp>GAMMA</stp>
        <stp>.MDY201120P385</stp>
        <tr r="N420" s="1"/>
      </tp>
      <tp t="s">
        <v>N/A</v>
        <stp/>
        <stp>EXTRINSIC</stp>
        <stp>VT</stp>
        <tr r="S734" s="1"/>
      </tp>
      <tp t="s">
        <v>N/A</v>
        <stp/>
        <stp>THETA</stp>
        <stp>.QQQ201120C286</stp>
        <tr r="O476" s="1"/>
      </tp>
      <tp t="s">
        <v>N/A</v>
        <stp/>
        <stp>THETA</stp>
        <stp>.QQQ201120P286</stp>
        <tr r="O477" s="1"/>
      </tp>
      <tp t="s">
        <v>N/A</v>
        <stp/>
        <stp>THETA</stp>
        <stp>.QQQ201120C287</stp>
        <tr r="O478" s="1"/>
      </tp>
      <tp t="s">
        <v>N/A</v>
        <stp/>
        <stp>THETA</stp>
        <stp>.QQQ201120P287</stp>
        <tr r="O479" s="1"/>
      </tp>
      <tp t="s">
        <v>N/A</v>
        <stp/>
        <stp>THETA</stp>
        <stp>.QQQ201120C288</stp>
        <tr r="O482" s="1"/>
      </tp>
      <tp t="s">
        <v>N/A</v>
        <stp/>
        <stp>THETA</stp>
        <stp>.QQQ201120P288</stp>
        <tr r="O483" s="1"/>
      </tp>
      <tp t="s">
        <v>N/A</v>
        <stp/>
        <stp>THETA</stp>
        <stp>.QQQ201120C289</stp>
        <tr r="O484" s="1"/>
      </tp>
      <tp t="s">
        <v>N/A</v>
        <stp/>
        <stp>THETA</stp>
        <stp>.QQQ201120P289</stp>
        <tr r="O485" s="1"/>
      </tp>
      <tp t="s">
        <v>N/A</v>
        <stp/>
        <stp>THETA</stp>
        <stp>.QQQ201120C294</stp>
        <tr r="O496" s="1"/>
      </tp>
      <tp t="s">
        <v>N/A</v>
        <stp/>
        <stp>THETA</stp>
        <stp>.QQQ201120P294</stp>
        <tr r="O497" s="1"/>
      </tp>
      <tp t="s">
        <v>N/A</v>
        <stp/>
        <stp>THETA</stp>
        <stp>.QQQ201120C292</stp>
        <tr r="O490" s="1"/>
      </tp>
      <tp t="s">
        <v>N/A</v>
        <stp/>
        <stp>THETA</stp>
        <stp>.QQQ201120P292</stp>
        <tr r="O491" s="1"/>
      </tp>
      <tp t="s">
        <v>N/A</v>
        <stp/>
        <stp>THETA</stp>
        <stp>.QQQ201120C293</stp>
        <tr r="O494" s="1"/>
      </tp>
      <tp t="s">
        <v>N/A</v>
        <stp/>
        <stp>THETA</stp>
        <stp>.QQQ201120P293</stp>
        <tr r="O495" s="1"/>
      </tp>
      <tp t="s">
        <v>N/A</v>
        <stp/>
        <stp>THETA</stp>
        <stp>.QQQ201120C290</stp>
        <tr r="O486" s="1"/>
      </tp>
      <tp t="s">
        <v>N/A</v>
        <stp/>
        <stp>THETA</stp>
        <stp>.QQQ201120P290</stp>
        <tr r="O487" s="1"/>
      </tp>
      <tp t="s">
        <v>N/A</v>
        <stp/>
        <stp>THETA</stp>
        <stp>.QQQ201120C291</stp>
        <tr r="O488" s="1"/>
      </tp>
      <tp t="s">
        <v>N/A</v>
        <stp/>
        <stp>THETA</stp>
        <stp>.QQQ201120P291</stp>
        <tr r="O489" s="1"/>
      </tp>
      <tp>
        <v>0.05</v>
        <stp/>
        <stp>GAMMA</stp>
        <stp>.SPY201118P355</stp>
        <tr r="N596" s="1"/>
      </tp>
      <tp>
        <v>0.04</v>
        <stp/>
        <stp>GAMMA</stp>
        <stp>.SPY201118C355</stp>
        <tr r="N595" s="1"/>
      </tp>
      <tp>
        <v>0.05</v>
        <stp/>
        <stp>GAMMA</stp>
        <stp>.SPY201118P354</stp>
        <tr r="N594" s="1"/>
      </tp>
      <tp>
        <v>0.04</v>
        <stp/>
        <stp>GAMMA</stp>
        <stp>.SPY201118C354</stp>
        <tr r="N593" s="1"/>
      </tp>
      <tp>
        <v>0.05</v>
        <stp/>
        <stp>GAMMA</stp>
        <stp>.SPY201118P357</stp>
        <tr r="N600" s="1"/>
      </tp>
      <tp>
        <v>0.04</v>
        <stp/>
        <stp>GAMMA</stp>
        <stp>.SPY201118C357</stp>
        <tr r="N599" s="1"/>
      </tp>
      <tp>
        <v>0.05</v>
        <stp/>
        <stp>GAMMA</stp>
        <stp>.SPY201118P356</stp>
        <tr r="N598" s="1"/>
      </tp>
      <tp>
        <v>0.04</v>
        <stp/>
        <stp>GAMMA</stp>
        <stp>.SPY201118C356</stp>
        <tr r="N597" s="1"/>
      </tp>
      <tp>
        <v>0.05</v>
        <stp/>
        <stp>GAMMA</stp>
        <stp>.SPY201118P353</stp>
        <tr r="N592" s="1"/>
      </tp>
      <tp>
        <v>0.04</v>
        <stp/>
        <stp>GAMMA</stp>
        <stp>.SPY201118C353</stp>
        <tr r="N591" s="1"/>
      </tp>
      <tp>
        <v>0.04</v>
        <stp/>
        <stp>GAMMA</stp>
        <stp>.SPY201118P359</stp>
        <tr r="N604" s="1"/>
      </tp>
      <tp>
        <v>0.03</v>
        <stp/>
        <stp>GAMMA</stp>
        <stp>.SPY201120P361</stp>
        <tr r="N628" s="1"/>
      </tp>
      <tp>
        <v>0.04</v>
        <stp/>
        <stp>GAMMA</stp>
        <stp>.SPY201118C359</stp>
        <tr r="N603" s="1"/>
      </tp>
      <tp>
        <v>0.03</v>
        <stp/>
        <stp>GAMMA</stp>
        <stp>.SPY201120C361</stp>
        <tr r="N627" s="1"/>
      </tp>
      <tp>
        <v>0.05</v>
        <stp/>
        <stp>GAMMA</stp>
        <stp>.SPY201118P358</stp>
        <tr r="N602" s="1"/>
      </tp>
      <tp>
        <v>0.04</v>
        <stp/>
        <stp>GAMMA</stp>
        <stp>.SPY201120P360</stp>
        <tr r="N626" s="1"/>
      </tp>
      <tp>
        <v>0.04</v>
        <stp/>
        <stp>GAMMA</stp>
        <stp>.SPY201118C358</stp>
        <tr r="N601" s="1"/>
      </tp>
      <tp>
        <v>0.03</v>
        <stp/>
        <stp>GAMMA</stp>
        <stp>.SPY201120C360</stp>
        <tr r="N625" s="1"/>
      </tp>
      <tp t="s">
        <v>N/A</v>
        <stp/>
        <stp>EXTRINSIC</stp>
        <stp>SH</stp>
        <tr r="S542" s="1"/>
      </tp>
      <tp>
        <v>0.04</v>
        <stp/>
        <stp>GAMMA</stp>
        <stp>.SPY201120P359</stp>
        <tr r="N624" s="1"/>
      </tp>
      <tp>
        <v>0.03</v>
        <stp/>
        <stp>GAMMA</stp>
        <stp>.SPY201120C359</stp>
        <tr r="N623" s="1"/>
      </tp>
      <tp>
        <v>0.04</v>
        <stp/>
        <stp>GAMMA</stp>
        <stp>.SPY201118P360</stp>
        <tr r="N606" s="1"/>
      </tp>
      <tp>
        <v>0.04</v>
        <stp/>
        <stp>GAMMA</stp>
        <stp>.SPY201120P358</stp>
        <tr r="N622" s="1"/>
      </tp>
      <tp>
        <v>0.04</v>
        <stp/>
        <stp>GAMMA</stp>
        <stp>.SPY201118C360</stp>
        <tr r="N605" s="1"/>
      </tp>
      <tp>
        <v>0.04</v>
        <stp/>
        <stp>GAMMA</stp>
        <stp>.SPY201120C358</stp>
        <tr r="N621" s="1"/>
      </tp>
      <tp>
        <v>0.04</v>
        <stp/>
        <stp>GAMMA</stp>
        <stp>.SPY201120P355</stp>
        <tr r="N614" s="1"/>
      </tp>
      <tp>
        <v>0.04</v>
        <stp/>
        <stp>GAMMA</stp>
        <stp>.SPY201120C355</stp>
        <tr r="N613" s="1"/>
      </tp>
      <tp>
        <v>0.04</v>
        <stp/>
        <stp>GAMMA</stp>
        <stp>.SPY201120P354</stp>
        <tr r="N612" s="1"/>
      </tp>
      <tp>
        <v>0.03</v>
        <stp/>
        <stp>GAMMA</stp>
        <stp>.SPY201120C354</stp>
        <tr r="N611" s="1"/>
      </tp>
      <tp>
        <v>0.04</v>
        <stp/>
        <stp>GAMMA</stp>
        <stp>.SPY201120P357</stp>
        <tr r="N618" s="1"/>
      </tp>
      <tp>
        <v>0.04</v>
        <stp/>
        <stp>GAMMA</stp>
        <stp>.SPY201120C357</stp>
        <tr r="N617" s="1"/>
      </tp>
      <tp>
        <v>0.04</v>
        <stp/>
        <stp>GAMMA</stp>
        <stp>.SPY201120P356</stp>
        <tr r="N616" s="1"/>
      </tp>
      <tp>
        <v>0.04</v>
        <stp/>
        <stp>GAMMA</stp>
        <stp>.SPY201120C356</stp>
        <tr r="N615" s="1"/>
      </tp>
      <tp>
        <v>0.04</v>
        <stp/>
        <stp>GAMMA</stp>
        <stp>.SPY201120P353</stp>
        <tr r="N610" s="1"/>
      </tp>
      <tp>
        <v>0.03</v>
        <stp/>
        <stp>GAMMA</stp>
        <stp>.SPY201120C353</stp>
        <tr r="N609" s="1"/>
      </tp>
      <tp>
        <v>351.26</v>
        <stp/>
        <stp>LOW</stp>
        <stp>SPY</stp>
        <tr r="K590" s="1"/>
      </tp>
      <tp>
        <v>0</v>
        <stp/>
        <stp>RHO</stp>
        <stp>MUB</stp>
        <tr r="Q435" s="1"/>
      </tp>
      <tp>
        <v>80.290000000000006</v>
        <stp/>
        <stp>LOW</stp>
        <stp>SSO</stp>
        <tr r="K642" s="1"/>
      </tp>
      <tp>
        <v>86.33</v>
        <stp/>
        <stp>LOW</stp>
        <stp>SHY</stp>
        <tr r="K545" s="1"/>
      </tp>
      <tp>
        <v>192.47</v>
        <stp/>
        <stp>LOW</stp>
        <stp>SMH</stp>
        <tr r="K551" s="1"/>
      </tp>
      <tp>
        <v>61.84</v>
        <stp/>
        <stp>LOW</stp>
        <stp>SCZ</stp>
        <tr r="K534" s="1"/>
      </tp>
      <tp>
        <v>0</v>
        <stp/>
        <stp>RHO</stp>
        <stp>MDY</stp>
        <tr r="Q414" s="1"/>
      </tp>
      <tp>
        <v>13.845000000000001</v>
        <stp/>
        <stp>LOW</stp>
        <stp>SDS</stp>
        <tr r="K537" s="1"/>
      </tp>
      <tp>
        <v>0</v>
        <stp/>
        <stp>VEGA</stp>
        <stp>VNQ</stp>
        <tr r="P724" s="1"/>
      </tp>
      <tp t="s">
        <v>N/A</v>
        <stp/>
        <stp>DESCRIPTION</stp>
        <stp>SPDW</stp>
        <tr r="B578" s="1"/>
      </tp>
      <tp>
        <v>0</v>
        <stp/>
        <stp>VEGA</stp>
        <stp>VOO</stp>
        <tr r="P729" s="1"/>
      </tp>
      <tp>
        <v>0</v>
        <stp/>
        <stp>VEGA</stp>
        <stp>VFH</stp>
        <tr r="P713" s="1"/>
      </tp>
      <tp t="s">
        <v>N/A</v>
        <stp/>
        <stp>DESCRIPTION</stp>
        <stp>SPLV</stp>
        <tr r="B587" s="1"/>
      </tp>
      <tp t="s">
        <v>SPDR SERIES TRUST PORTFOLIO S&amp;P 500 ETF</v>
        <stp/>
        <stp>DESCRIPTION</stp>
        <stp>SPLG</stp>
        <tr r="B584" s="1"/>
      </tp>
      <tp>
        <v>117.46</v>
        <stp/>
        <stp>LAST</stp>
        <stp>RSP</stp>
        <tr r="E505" s="1"/>
      </tp>
      <tp>
        <v>0</v>
        <stp/>
        <stp>VEGA</stp>
        <stp>VGK</stp>
        <tr r="P721" s="1"/>
      </tp>
      <tp>
        <v>22.1</v>
        <stp/>
        <stp>LAST</stp>
        <stp>RSX</stp>
        <tr r="E512" s="1"/>
      </tp>
      <tp>
        <v>0</v>
        <stp/>
        <stp>VEGA</stp>
        <stp>VEA</stp>
        <tr r="P707" s="1"/>
      </tp>
      <tp>
        <v>0</v>
        <stp/>
        <stp>VEGA</stp>
        <stp>VEU</stp>
        <tr r="P710" s="1"/>
      </tp>
      <tp t="s">
        <v>N/A</v>
        <stp/>
        <stp>DESCRIPTION</stp>
        <stp>SPHD</stp>
        <tr r="B581" s="1"/>
      </tp>
      <tp>
        <v>29.61</v>
        <stp/>
        <stp>LAST</stp>
        <stp>RWM</stp>
        <tr r="E517" s="1"/>
      </tp>
      <tp>
        <v>0</v>
        <stp/>
        <stp>VEGA</stp>
        <stp>VYM</stp>
        <tr r="P758" s="1"/>
      </tp>
      <tp>
        <v>0</v>
        <stp/>
        <stp>VEGA</stp>
        <stp>VWO</stp>
        <tr r="P748" s="1"/>
      </tp>
      <tp>
        <v>0</v>
        <stp/>
        <stp>VEGA</stp>
        <stp>VTI</stp>
        <tr r="P739" s="1"/>
      </tp>
      <tp t="s">
        <v>SPDR SERIES TRUST PRTFLO S&amp;P500 VL ETF</v>
        <stp/>
        <stp>DESCRIPTION</stp>
        <stp>SPYV</stp>
        <tr r="B634" s="1"/>
      </tp>
      <tp t="s">
        <v>SPDR SERIES TRUST PRTFLO S&amp;P500 GW ETF</v>
        <stp/>
        <stp>DESCRIPTION</stp>
        <stp>SPYG</stp>
        <tr r="B629" s="1"/>
      </tp>
      <tp t="s">
        <v>N/A</v>
        <stp/>
        <stp>VEGA</stp>
        <stp>.XLK201120P122.5</stp>
        <tr r="P838" s="1"/>
      </tp>
      <tp t="s">
        <v>N/A</v>
        <stp/>
        <stp>VEGA</stp>
        <stp>.XLY201120P152.5</stp>
        <tr r="P873" s="1"/>
      </tp>
      <tp t="s">
        <v>N/A</v>
        <stp/>
        <stp>PROB_OF_EXPIRING</stp>
        <stp>.SSO201120P81.5</stp>
        <tr r="T646" s="1"/>
      </tp>
      <tp>
        <v>0</v>
        <stp/>
        <stp>THETA</stp>
        <stp>USMV</stp>
        <tr r="O698" s="1"/>
      </tp>
      <tp t="s">
        <v>N/A</v>
        <stp/>
        <stp>PROB_OF_EXPIRING</stp>
        <stp>.SSO201120C81.5</stp>
        <tr r="T645" s="1"/>
      </tp>
      <tp t="s">
        <v>N/A</v>
        <stp/>
        <stp>HIGH</stp>
        <stp>.XLY201120P154</stp>
        <tr r="J879" s="1"/>
      </tp>
      <tp>
        <v>1.25</v>
        <stp/>
        <stp>HIGH</stp>
        <stp>.XLY201120C154</stp>
        <tr r="J878" s="1"/>
      </tp>
      <tp t="s">
        <v>N/A</v>
        <stp/>
        <stp>HIGH</stp>
        <stp>.XLY201120P155</stp>
        <tr r="J883" s="1"/>
      </tp>
      <tp>
        <v>1.25</v>
        <stp/>
        <stp>HIGH</stp>
        <stp>.XLY201120C155</stp>
        <tr r="J882" s="1"/>
      </tp>
      <tp t="s">
        <v>N/A</v>
        <stp/>
        <stp>HIGH</stp>
        <stp>.XLY201120P152</stp>
        <tr r="J871" s="1"/>
      </tp>
      <tp>
        <v>2.13</v>
        <stp/>
        <stp>HIGH</stp>
        <stp>.XLY201120C152</stp>
        <tr r="J870" s="1"/>
      </tp>
      <tp t="s">
        <v>N/A</v>
        <stp/>
        <stp>HIGH</stp>
        <stp>.XLY201120P153</stp>
        <tr r="J875" s="1"/>
      </tp>
      <tp t="s">
        <v>N/A</v>
        <stp/>
        <stp>HIGH</stp>
        <stp>.XLY201120C153</stp>
        <tr r="J874" s="1"/>
      </tp>
      <tp t="s">
        <v>N/A</v>
        <stp/>
        <stp>PROB_OF_TOUCHING</stp>
        <stp>.MJ201120C13</stp>
        <tr r="V424" s="1"/>
      </tp>
      <tp>
        <v>0</v>
        <stp/>
        <stp>THETA</stp>
        <stp>ASHR</stp>
        <tr r="O43" s="1"/>
      </tp>
      <tp t="s">
        <v>N/A</v>
        <stp/>
        <stp>IMPL_VOL</stp>
        <stp>.SH201120P19</stp>
        <tr r="D544" s="1"/>
      </tp>
      <tp>
        <v>2.16</v>
        <stp/>
        <stp>HIGH</stp>
        <stp>.XBI201120P122.5</stp>
        <tr r="J767" s="1"/>
      </tp>
      <tp t="s">
        <v>N/A</v>
        <stp/>
        <stp>STRIKE</stp>
        <stp>MDY</stp>
        <tr r="W414" s="1"/>
      </tp>
      <tp t="s">
        <v>N/A</v>
        <stp/>
        <stp>HIGH</stp>
        <stp>.XLY201120P152.5</stp>
        <tr r="J873" s="1"/>
      </tp>
      <tp>
        <v>3.49</v>
        <stp/>
        <stp>HIGH</stp>
        <stp>.XLK201120P122.5</stp>
        <tr r="J838" s="1"/>
      </tp>
      <tp>
        <v>1582066</v>
        <stp/>
        <stp>VOLUME</stp>
        <stp>QLD</stp>
        <tr r="F462" s="1"/>
      </tp>
      <tp>
        <v>0.98799999999999999</v>
        <stp/>
        <stp>PUT_CALL_RATIO</stp>
        <stp>KRE</stp>
        <tr r="C388" s="1"/>
      </tp>
      <tp t="s">
        <v>N/A</v>
        <stp/>
        <stp>VEGA</stp>
        <stp>.AGG201120P117</stp>
        <tr r="P17" s="1"/>
      </tp>
      <tp t="s">
        <v>N/A</v>
        <stp/>
        <stp>VEGA</stp>
        <stp>.AGG201120C117</stp>
        <tr r="P16" s="1"/>
      </tp>
      <tp t="s">
        <v>N/A</v>
        <stp/>
        <stp>VEGA</stp>
        <stp>.XBI201120P122.5</stp>
        <tr r="P767" s="1"/>
      </tp>
      <tp>
        <v>10.9</v>
        <stp/>
        <stp>LAST</stp>
        <stp>.IWF201120P227.5</stp>
        <tr r="E344" s="1"/>
      </tp>
      <tp>
        <v>3.55</v>
        <stp/>
        <stp>LAST</stp>
        <stp>.IVV201120P357.5</stp>
        <tr r="E319" s="1"/>
      </tp>
      <tp>
        <v>1.1499999999999999</v>
        <stp/>
        <stp>OPEN</stp>
        <stp>.XLV201120P110.5</stp>
        <tr r="L860" s="1"/>
      </tp>
      <tp>
        <v>1.56</v>
        <stp/>
        <stp>OPEN</stp>
        <stp>.XLK201120P120.5</stp>
        <tr r="L830" s="1"/>
      </tp>
      <tp>
        <v>34516826</v>
        <stp/>
        <stp>VOLUME</stp>
        <stp>QQQ</stp>
        <tr r="F475" s="1"/>
      </tp>
      <tp>
        <v>1</v>
        <stp/>
        <stp>DELTA</stp>
        <stp>USMV</stp>
        <tr r="M698" s="1"/>
      </tp>
      <tp t="s">
        <v>N/A</v>
        <stp/>
        <stp>VEGA</stp>
        <stp>.XLK201120C122.5</stp>
        <tr r="P837" s="1"/>
      </tp>
      <tp t="s">
        <v>N/A</v>
        <stp/>
        <stp>VEGA</stp>
        <stp>.XLY201120C152.5</stp>
        <tr r="P872" s="1"/>
      </tp>
      <tp>
        <v>3.8</v>
        <stp/>
        <stp>HIGH</stp>
        <stp>.XBI201120C122.5</stp>
        <tr r="J766" s="1"/>
      </tp>
      <tp t="s">
        <v>N/A</v>
        <stp/>
        <stp>PROB_OF_EXPIRING</stp>
        <stp>.EWY201120P71.5</stp>
        <tr r="T163" s="1"/>
      </tp>
      <tp t="s">
        <v>N/A</v>
        <stp/>
        <stp>PROB_OF_EXPIRING</stp>
        <stp>.EWZ201120P31.5</stp>
        <tr r="T174" s="1"/>
      </tp>
      <tp t="s">
        <v>N/A</v>
        <stp/>
        <stp>PROB_OF_EXPIRING</stp>
        <stp>.EWY201120C71.5</stp>
        <tr r="T162" s="1"/>
      </tp>
      <tp t="s">
        <v>N/A</v>
        <stp/>
        <stp>PROB_OF_EXPIRING</stp>
        <stp>.EWZ201120C31.5</stp>
        <tr r="T173" s="1"/>
      </tp>
      <tp>
        <v>1</v>
        <stp/>
        <stp>DELTA</stp>
        <stp>ASHR</stp>
        <tr r="M43" s="1"/>
      </tp>
      <tp t="s">
        <v>N/A</v>
        <stp/>
        <stp>STRIKE</stp>
        <stp>MUB</stp>
        <tr r="W435" s="1"/>
      </tp>
      <tp t="s">
        <v>N/A</v>
        <stp/>
        <stp>HIGH</stp>
        <stp>.XLY201120C152.5</stp>
        <tr r="J872" s="1"/>
      </tp>
      <tp>
        <v>1.52</v>
        <stp/>
        <stp>HIGH</stp>
        <stp>.XLK201120C122.5</stp>
        <tr r="J837" s="1"/>
      </tp>
      <tp>
        <v>4.5</v>
        <stp/>
        <stp>LAST</stp>
        <stp>.IVV201120C357.5</stp>
        <tr r="E318" s="1"/>
      </tp>
      <tp>
        <v>1.21</v>
        <stp/>
        <stp>OPEN</stp>
        <stp>.XLV201120C110.5</stp>
        <tr r="L859" s="1"/>
      </tp>
      <tp>
        <v>2.41</v>
        <stp/>
        <stp>OPEN</stp>
        <stp>.XLK201120C120.5</stp>
        <tr r="L829" s="1"/>
      </tp>
      <tp>
        <v>0.33400000000000002</v>
        <stp/>
        <stp>PUT_CALL_RATIO</stp>
        <stp>KBE</stp>
        <tr r="C385" s="1"/>
      </tp>
      <tp t="s">
        <v>N/A</v>
        <stp/>
        <stp>VEGA</stp>
        <stp>.XBI201120C122.5</stp>
        <tr r="P766" s="1"/>
      </tp>
      <tp t="s">
        <v>N/A</v>
        <stp/>
        <stp>LAST</stp>
        <stp>.IWF201120C227.5</stp>
        <tr r="E343" s="1"/>
      </tp>
      <tp>
        <v>22.055</v>
        <stp/>
        <stp>LOW</stp>
        <stp>RSX</stp>
        <tr r="K512" s="1"/>
      </tp>
      <tp>
        <v>116.5</v>
        <stp/>
        <stp>LOW</stp>
        <stp>RSP</stp>
        <tr r="K505" s="1"/>
      </tp>
      <tp>
        <v>0</v>
        <stp/>
        <stp>RHO</stp>
        <stp>LQD</stp>
        <tr r="Q404" s="1"/>
      </tp>
      <tp>
        <v>29.285</v>
        <stp/>
        <stp>LOW</stp>
        <stp>RWM</stp>
        <tr r="K517" s="1"/>
      </tp>
      <tp t="s">
        <v>N/A</v>
        <stp/>
        <stp>DESCRIPTION</stp>
        <stp>AGG</stp>
        <tr r="B15" s="1"/>
      </tp>
      <tp>
        <v>81.22</v>
        <stp/>
        <stp>LAST</stp>
        <stp>SSO</stp>
        <tr r="E642" s="1"/>
      </tp>
      <tp>
        <v>353.21</v>
        <stp/>
        <stp>LAST</stp>
        <stp>SPY</stp>
        <tr r="E590" s="1"/>
      </tp>
      <tp>
        <v>44.14</v>
        <stp/>
        <stp>ASK</stp>
        <stp>NAIL</stp>
        <tr r="I438" s="1"/>
      </tp>
      <tp>
        <v>86.33</v>
        <stp/>
        <stp>LAST</stp>
        <stp>SHY</stp>
        <tr r="E545" s="1"/>
      </tp>
      <tp>
        <v>12.64</v>
        <stp/>
        <stp>OPEN</stp>
        <stp>BZQ</stp>
        <tr r="L51" s="1"/>
      </tp>
      <tp t="s">
        <v>N/A</v>
        <stp/>
        <stp>LAST</stp>
        <stp>.INDA201120C36.5</stp>
        <tr r="E283" s="1"/>
      </tp>
      <tp>
        <v>0</v>
        <stp/>
        <stp>LAST</stp>
        <stp>.INDA201120P36.5</stp>
        <tr r="E284" s="1"/>
      </tp>
      <tp>
        <v>193.35</v>
        <stp/>
        <stp>LAST</stp>
        <stp>SMH</stp>
        <tr r="E551" s="1"/>
      </tp>
      <tp>
        <v>61.98</v>
        <stp/>
        <stp>LAST</stp>
        <stp>SCZ</stp>
        <tr r="E534" s="1"/>
      </tp>
      <tp>
        <v>95</v>
        <stp/>
        <stp>ASK</stp>
        <stp>AAXJ</stp>
        <tr r="I2" s="1"/>
      </tp>
      <tp>
        <v>14.09</v>
        <stp/>
        <stp>LAST</stp>
        <stp>SDS</stp>
        <tr r="E537" s="1"/>
      </tp>
      <tp t="s">
        <v>N/A</v>
        <stp/>
        <stp>VEGA</stp>
        <stp>.XLY201120P153.5</stp>
        <tr r="P877" s="1"/>
      </tp>
      <tp t="s">
        <v>N/A</v>
        <stp/>
        <stp>VEGA</stp>
        <stp>.SMH201120P198.5</stp>
        <tr r="P577" s="1"/>
      </tp>
      <tp>
        <v>0</v>
        <stp/>
        <stp>THETA</stp>
        <stp>ARKW</stp>
        <tr r="O34" s="1"/>
      </tp>
      <tp>
        <v>0</v>
        <stp/>
        <stp>THETA</stp>
        <stp>ARKK</stp>
        <tr r="O25" s="1"/>
      </tp>
      <tp>
        <v>0</v>
        <stp/>
        <stp>THETA</stp>
        <stp>DRIP</stp>
        <tr r="O81" s="1"/>
      </tp>
      <tp>
        <v>2.38</v>
        <stp/>
        <stp>HIGH</stp>
        <stp>.XBI201120P123.5</stp>
        <tr r="J771" s="1"/>
      </tp>
      <tp>
        <v>2509129</v>
        <stp/>
        <stp>VOLUME</stp>
        <stp>PGX</stp>
        <tr r="F454" s="1"/>
      </tp>
      <tp>
        <v>1</v>
        <stp/>
        <stp>DELTA</stp>
        <stp>SRVR</stp>
        <tr r="M637" s="1"/>
      </tp>
      <tp>
        <v>0</v>
        <stp/>
        <stp>HIGH</stp>
        <stp>.SMH201120P198.5</stp>
        <tr r="J577" s="1"/>
      </tp>
      <tp t="s">
        <v>N/A</v>
        <stp/>
        <stp>HIGH</stp>
        <stp>.XLY201120P153.5</stp>
        <tr r="J877" s="1"/>
      </tp>
      <tp t="s">
        <v>N/A</v>
        <stp/>
        <stp>VEGA</stp>
        <stp>.XBI201120P123.5</stp>
        <tr r="P771" s="1"/>
      </tp>
      <tp t="s">
        <v>N/A</v>
        <stp/>
        <stp>LAST</stp>
        <stp>.MDY201120C382.5</stp>
        <tr r="E417" s="1"/>
      </tp>
      <tp>
        <v>0</v>
        <stp/>
        <stp>OPEN</stp>
        <stp>.XLV201120P111.5</stp>
        <tr r="L864" s="1"/>
      </tp>
      <tp t="s">
        <v>N/A</v>
        <stp/>
        <stp>OPEN</stp>
        <stp>.XLY201120P151.5</stp>
        <tr r="L869" s="1"/>
      </tp>
      <tp>
        <v>1.97</v>
        <stp/>
        <stp>OPEN</stp>
        <stp>.XLK201120P121.5</stp>
        <tr r="L834" s="1"/>
      </tp>
      <tp>
        <v>4.4690000000000003</v>
        <stp/>
        <stp>PUT_CALL_RATIO</stp>
        <stp>JNK</stp>
        <tr r="C380" s="1"/>
      </tp>
      <tp>
        <v>0</v>
        <stp/>
        <stp>GAMMA</stp>
        <stp>BKLN</stp>
        <tr r="N48" s="1"/>
      </tp>
      <tp t="s">
        <v>N/A</v>
        <stp/>
        <stp>VEGA</stp>
        <stp>.SMH201120C198.5</stp>
        <tr r="P576" s="1"/>
      </tp>
      <tp t="s">
        <v>N/A</v>
        <stp/>
        <stp>STRIKE</stp>
        <stp>LQD</stp>
        <tr r="W404" s="1"/>
      </tp>
      <tp t="s">
        <v>N/A</v>
        <stp/>
        <stp>VEGA</stp>
        <stp>.XLY201120C153.5</stp>
        <tr r="P876" s="1"/>
      </tp>
      <tp>
        <v>3.15</v>
        <stp/>
        <stp>HIGH</stp>
        <stp>.XBI201120C123.5</stp>
        <tr r="J770" s="1"/>
      </tp>
      <tp>
        <v>1</v>
        <stp/>
        <stp>DELTA</stp>
        <stp>ARKW</stp>
        <tr r="M34" s="1"/>
      </tp>
      <tp>
        <v>1</v>
        <stp/>
        <stp>DELTA</stp>
        <stp>ARKK</stp>
        <tr r="M25" s="1"/>
      </tp>
      <tp>
        <v>1</v>
        <stp/>
        <stp>DELTA</stp>
        <stp>DRIP</stp>
        <tr r="M81" s="1"/>
      </tp>
      <tp>
        <v>0</v>
        <stp/>
        <stp>THETA</stp>
        <stp>SRVR</stp>
        <tr r="O637" s="1"/>
      </tp>
      <tp>
        <v>2445768</v>
        <stp/>
        <stp>VOLUME</stp>
        <stp>PXH</stp>
        <tr r="F457" s="1"/>
      </tp>
      <tp t="s">
        <v>N/A</v>
        <stp/>
        <stp>HIGH</stp>
        <stp>.XLY201120C153.5</stp>
        <tr r="J876" s="1"/>
      </tp>
      <tp>
        <v>2.0099999999999998</v>
        <stp/>
        <stp>HIGH</stp>
        <stp>.SMH201120C198.5</stp>
        <tr r="J576" s="1"/>
      </tp>
      <tp>
        <v>0.82</v>
        <stp/>
        <stp>OPEN</stp>
        <stp>.XLV201120C111.5</stp>
        <tr r="L863" s="1"/>
      </tp>
      <tp>
        <v>2.25</v>
        <stp/>
        <stp>OPEN</stp>
        <stp>.XLY201120C151.5</stp>
        <tr r="L868" s="1"/>
      </tp>
      <tp t="s">
        <v>N/A</v>
        <stp/>
        <stp>PROB_OTM</stp>
        <stp>.VT201120P86</stp>
        <tr r="U736" s="1"/>
      </tp>
      <tp t="s">
        <v>N/A</v>
        <stp/>
        <stp>PROB_OTM</stp>
        <stp>.VT201120P87</stp>
        <tr r="U738" s="1"/>
      </tp>
      <tp>
        <v>1.68</v>
        <stp/>
        <stp>OPEN</stp>
        <stp>.XLK201120C121.5</stp>
        <tr r="L833" s="1"/>
      </tp>
      <tp t="s">
        <v>N/A</v>
        <stp/>
        <stp>VEGA</stp>
        <stp>.XBI201120C123.5</stp>
        <tr r="P770" s="1"/>
      </tp>
      <tp t="s">
        <v>N/A</v>
        <stp/>
        <stp>LAST</stp>
        <stp>.MDY201120P382.5</stp>
        <tr r="E418" s="1"/>
      </tp>
      <tp t="s">
        <v>N/A</v>
        <stp/>
        <stp>THETA</stp>
        <stp>.IGV201120P325</stp>
        <tr r="O270" s="1"/>
      </tp>
      <tp t="s">
        <v>N/A</v>
        <stp/>
        <stp>THETA</stp>
        <stp>.IGV201120C325</stp>
        <tr r="O269" s="1"/>
      </tp>
      <tp t="s">
        <v>N/A</v>
        <stp/>
        <stp>THETA</stp>
        <stp>.IGV201120P320</stp>
        <tr r="O268" s="1"/>
      </tp>
      <tp t="s">
        <v>N/A</v>
        <stp/>
        <stp>THETA</stp>
        <stp>.IGV201120C320</stp>
        <tr r="O267" s="1"/>
      </tp>
      <tp t="s">
        <v>N/A</v>
        <stp/>
        <stp>THETA</stp>
        <stp>.IGV201120P315</stp>
        <tr r="O266" s="1"/>
      </tp>
      <tp t="s">
        <v>N/A</v>
        <stp/>
        <stp>THETA</stp>
        <stp>.IGV201120C315</stp>
        <tr r="O265" s="1"/>
      </tp>
      <tp t="s">
        <v>N/A</v>
        <stp/>
        <stp>THETA</stp>
        <stp>.IVV201120C362</stp>
        <tr r="O328" s="1"/>
      </tp>
      <tp t="s">
        <v>N/A</v>
        <stp/>
        <stp>THETA</stp>
        <stp>.IVV201120P362</stp>
        <tr r="O329" s="1"/>
      </tp>
      <tp t="s">
        <v>N/A</v>
        <stp/>
        <stp>THETA</stp>
        <stp>.IVV201120C360</stp>
        <tr r="O324" s="1"/>
      </tp>
      <tp t="s">
        <v>N/A</v>
        <stp/>
        <stp>THETA</stp>
        <stp>.IVV201120P360</stp>
        <tr r="O325" s="1"/>
      </tp>
      <tp t="s">
        <v>N/A</v>
        <stp/>
        <stp>THETA</stp>
        <stp>.IVV201120C361</stp>
        <tr r="O326" s="1"/>
      </tp>
      <tp t="s">
        <v>N/A</v>
        <stp/>
        <stp>THETA</stp>
        <stp>.IVV201120P361</stp>
        <tr r="O327" s="1"/>
      </tp>
      <tp t="s">
        <v>N/A</v>
        <stp/>
        <stp>THETA</stp>
        <stp>.IVV201120C358</stp>
        <tr r="O320" s="1"/>
      </tp>
      <tp t="s">
        <v>N/A</v>
        <stp/>
        <stp>THETA</stp>
        <stp>.IVV201120P358</stp>
        <tr r="O321" s="1"/>
      </tp>
      <tp t="s">
        <v>N/A</v>
        <stp/>
        <stp>THETA</stp>
        <stp>.IVV201120C359</stp>
        <tr r="O322" s="1"/>
      </tp>
      <tp t="s">
        <v>N/A</v>
        <stp/>
        <stp>THETA</stp>
        <stp>.IVV201120P359</stp>
        <tr r="O323" s="1"/>
      </tp>
      <tp t="s">
        <v>N/A</v>
        <stp/>
        <stp>THETA</stp>
        <stp>.IVV201120C356</stp>
        <tr r="O314" s="1"/>
      </tp>
      <tp t="s">
        <v>N/A</v>
        <stp/>
        <stp>THETA</stp>
        <stp>.IVV201120P356</stp>
        <tr r="O315" s="1"/>
      </tp>
      <tp t="s">
        <v>N/A</v>
        <stp/>
        <stp>THETA</stp>
        <stp>.IVV201120C357</stp>
        <tr r="O316" s="1"/>
      </tp>
      <tp t="s">
        <v>N/A</v>
        <stp/>
        <stp>THETA</stp>
        <stp>.IVV201120P357</stp>
        <tr r="O317" s="1"/>
      </tp>
      <tp t="s">
        <v>N/A</v>
        <stp/>
        <stp>THETA</stp>
        <stp>.IVV201120C354</stp>
        <tr r="O310" s="1"/>
      </tp>
      <tp t="s">
        <v>N/A</v>
        <stp/>
        <stp>THETA</stp>
        <stp>.IVV201120P354</stp>
        <tr r="O311" s="1"/>
      </tp>
      <tp t="s">
        <v>N/A</v>
        <stp/>
        <stp>THETA</stp>
        <stp>.IVV201120C355</stp>
        <tr r="O312" s="1"/>
      </tp>
      <tp t="s">
        <v>N/A</v>
        <stp/>
        <stp>THETA</stp>
        <stp>.IVV201120P355</stp>
        <tr r="O313" s="1"/>
      </tp>
      <tp t="s">
        <v>N/A</v>
        <stp/>
        <stp>THETA</stp>
        <stp>.TLT201120P156</stp>
        <tr r="O695" s="1"/>
      </tp>
      <tp t="s">
        <v>N/A</v>
        <stp/>
        <stp>THETA</stp>
        <stp>.TLT201120C156</stp>
        <tr r="O694" s="1"/>
      </tp>
      <tp t="s">
        <v>N/A</v>
        <stp/>
        <stp>THETA</stp>
        <stp>.TLT201120P155</stp>
        <tr r="O691" s="1"/>
      </tp>
      <tp t="s">
        <v>N/A</v>
        <stp/>
        <stp>THETA</stp>
        <stp>.TLT201120C155</stp>
        <tr r="O690" s="1"/>
      </tp>
      <tp t="s">
        <v>N/A</v>
        <stp/>
        <stp>DELTA</stp>
        <stp>.XLY201120C155</stp>
        <tr r="M882" s="1"/>
      </tp>
      <tp t="s">
        <v>N/A</v>
        <stp/>
        <stp>DELTA</stp>
        <stp>.XLY201120P155</stp>
        <tr r="M883" s="1"/>
      </tp>
      <tp t="s">
        <v>N/A</v>
        <stp/>
        <stp>DELTA</stp>
        <stp>.XLY201120C154</stp>
        <tr r="M878" s="1"/>
      </tp>
      <tp t="s">
        <v>N/A</v>
        <stp/>
        <stp>DELTA</stp>
        <stp>.XLY201120P154</stp>
        <tr r="M879" s="1"/>
      </tp>
      <tp t="s">
        <v>N/A</v>
        <stp/>
        <stp>DELTA</stp>
        <stp>.XLY201120C153</stp>
        <tr r="M874" s="1"/>
      </tp>
      <tp t="s">
        <v>N/A</v>
        <stp/>
        <stp>DELTA</stp>
        <stp>.XLY201120P153</stp>
        <tr r="M875" s="1"/>
      </tp>
      <tp t="s">
        <v>N/A</v>
        <stp/>
        <stp>DELTA</stp>
        <stp>.XLY201120C152</stp>
        <tr r="M870" s="1"/>
      </tp>
      <tp t="s">
        <v>N/A</v>
        <stp/>
        <stp>DELTA</stp>
        <stp>.XLY201120P152</stp>
        <tr r="M871" s="1"/>
      </tp>
      <tp>
        <v>287.25</v>
        <stp/>
        <stp>LOW</stp>
        <stp>QQQ</stp>
        <tr r="K475" s="1"/>
      </tp>
      <tp t="s">
        <v>N/A</v>
        <stp/>
        <stp>DESCRIPTION</stp>
        <stp>BZQ</stp>
        <tr r="B51" s="1"/>
      </tp>
      <tp>
        <v>96.56</v>
        <stp/>
        <stp>LOW</stp>
        <stp>QLD</stp>
        <tr r="K462" s="1"/>
      </tp>
      <tp>
        <v>48.38</v>
        <stp/>
        <stp>HIGH</stp>
        <stp>XOP</stp>
        <tr r="J889" s="1"/>
      </tp>
      <tp>
        <v>121.86</v>
        <stp/>
        <stp>HIGH</stp>
        <stp>XLK</stp>
        <tr r="J824" s="1"/>
      </tp>
      <tp>
        <v>84.805000000000007</v>
        <stp/>
        <stp>HIGH</stp>
        <stp>XLI</stp>
        <tr r="J813" s="1"/>
      </tp>
      <tp>
        <v>69.040000000000006</v>
        <stp/>
        <stp>HIGH</stp>
        <stp>XLB</stp>
        <tr r="J787" s="1"/>
      </tp>
      <tp>
        <v>63.84</v>
        <stp/>
        <stp>HIGH</stp>
        <stp>XLC</stp>
        <tr r="J796" s="1"/>
      </tp>
      <tp>
        <v>26.765000000000001</v>
        <stp/>
        <stp>HIGH</stp>
        <stp>XLF</stp>
        <tr r="J810" s="1"/>
      </tp>
      <tp>
        <v>33.659999999999997</v>
        <stp/>
        <stp>HIGH</stp>
        <stp>XLE</stp>
        <tr r="J803" s="1"/>
      </tp>
      <tp>
        <v>153.065</v>
        <stp/>
        <stp>HIGH</stp>
        <stp>XLY</stp>
        <tr r="J867" s="1"/>
      </tp>
      <tp>
        <v>0</v>
        <stp/>
        <stp>VEGA</stp>
        <stp>TLT</stp>
        <tr r="P689" s="1"/>
      </tp>
      <tp>
        <v>66.790000000000006</v>
        <stp/>
        <stp>HIGH</stp>
        <stp>XLP</stp>
        <tr r="J841" s="1"/>
      </tp>
      <tp>
        <v>111.36</v>
        <stp/>
        <stp>HIGH</stp>
        <stp>XLV</stp>
        <tr r="J856" s="1"/>
      </tp>
      <tp>
        <v>19.23</v>
        <stp/>
        <stp>LAST</stp>
        <stp>PXH</stp>
        <tr r="E457" s="1"/>
      </tp>
      <tp>
        <v>66.27</v>
        <stp/>
        <stp>HIGH</stp>
        <stp>XLU</stp>
        <tr r="J849" s="1"/>
      </tp>
      <tp>
        <v>27.04</v>
        <stp/>
        <stp>HIGH</stp>
        <stp>XME</stp>
        <tr r="J884" s="1"/>
      </tp>
      <tp>
        <v>55.96</v>
        <stp/>
        <stp>HIGH</stp>
        <stp>XHB</stp>
        <tr r="J780" s="1"/>
      </tp>
      <tp>
        <v>0</v>
        <stp/>
        <stp>VEGA</stp>
        <stp>TIP</stp>
        <tr r="P686" s="1"/>
      </tp>
      <tp>
        <v>0</v>
        <stp/>
        <stp>RHO</stp>
        <stp>HYLB</stp>
        <tr r="Q225" s="1"/>
      </tp>
      <tp>
        <v>117.37</v>
        <stp/>
        <stp>OPEN</stp>
        <stp>AGG</stp>
        <tr r="L15" s="1"/>
      </tp>
      <tp>
        <v>125.52</v>
        <stp/>
        <stp>HIGH</stp>
        <stp>XBI</stp>
        <tr r="J763" s="1"/>
      </tp>
      <tp>
        <v>0</v>
        <stp/>
        <stp>VEGA</stp>
        <stp>TBF</stp>
        <tr r="P680" s="1"/>
      </tp>
      <tp>
        <v>0</v>
        <stp/>
        <stp>VEGA</stp>
        <stp>TBT</stp>
        <tr r="P683" s="1"/>
      </tp>
      <tp t="s">
        <v>N/A</v>
        <stp/>
        <stp>DESCRIPTION</stp>
        <stp>DRIP</stp>
        <tr r="B81" s="1"/>
      </tp>
      <tp t="s">
        <v>N/A</v>
        <stp/>
        <stp>DELTA</stp>
        <stp>.MTUM201120P149</stp>
        <tr r="M428" s="1"/>
      </tp>
      <tp t="s">
        <v>N/A</v>
        <stp/>
        <stp>DELTA</stp>
        <stp>.MTUM201120C149</stp>
        <tr r="M427" s="1"/>
      </tp>
      <tp t="s">
        <v>N/A</v>
        <stp/>
        <stp>GAMMA</stp>
        <stp>.QUAL201120C110</stp>
        <tr r="N499" s="1"/>
      </tp>
      <tp t="s">
        <v>N/A</v>
        <stp/>
        <stp>GAMMA</stp>
        <stp>.QUAL201120P110</stp>
        <tr r="N500" s="1"/>
      </tp>
      <tp t="s">
        <v>N/A</v>
        <stp/>
        <stp>GAMMA</stp>
        <stp>.QUAL201120C111</stp>
        <tr r="N501" s="1"/>
      </tp>
      <tp t="s">
        <v>N/A</v>
        <stp/>
        <stp>GAMMA</stp>
        <stp>.QUAL201120P111</stp>
        <tr r="N502" s="1"/>
      </tp>
      <tp t="s">
        <v>N/A</v>
        <stp/>
        <stp>GAMMA</stp>
        <stp>.QUAL201120C112</stp>
        <tr r="N503" s="1"/>
      </tp>
      <tp t="s">
        <v>N/A</v>
        <stp/>
        <stp>GAMMA</stp>
        <stp>.QUAL201120P112</stp>
        <tr r="N504" s="1"/>
      </tp>
      <tp>
        <v>0</v>
        <stp/>
        <stp>VEGA</stp>
        <stp>TAN</stp>
        <tr r="P659" s="1"/>
      </tp>
      <tp t="s">
        <v>N/A</v>
        <stp/>
        <stp>DESCRIPTION</stp>
        <stp>ARKW</stp>
        <tr r="B34" s="1"/>
      </tp>
      <tp t="s">
        <v>N/A</v>
        <stp/>
        <stp>DESCRIPTION</stp>
        <stp>ARKK</stp>
        <tr r="B25" s="1"/>
      </tp>
      <tp t="s">
        <v>N/A</v>
        <stp/>
        <stp>DELTA</stp>
        <stp>.MTUM201120P152</stp>
        <tr r="M434" s="1"/>
      </tp>
      <tp t="s">
        <v>N/A</v>
        <stp/>
        <stp>DELTA</stp>
        <stp>.MTUM201120C152</stp>
        <tr r="M433" s="1"/>
      </tp>
      <tp t="s">
        <v>N/A</v>
        <stp/>
        <stp>DELTA</stp>
        <stp>.MTUM201120P150</stp>
        <tr r="M430" s="1"/>
      </tp>
      <tp t="s">
        <v>N/A</v>
        <stp/>
        <stp>DELTA</stp>
        <stp>.MTUM201120C150</stp>
        <tr r="M429" s="1"/>
      </tp>
      <tp t="s">
        <v>N/A</v>
        <stp/>
        <stp>DELTA</stp>
        <stp>.MTUM201120P151</stp>
        <tr r="M432" s="1"/>
      </tp>
      <tp t="s">
        <v>N/A</v>
        <stp/>
        <stp>DELTA</stp>
        <stp>.MTUM201120C151</stp>
        <tr r="M431" s="1"/>
      </tp>
      <tp t="s">
        <v>N/A</v>
        <stp/>
        <stp>DESCRIPTION</stp>
        <stp>SRVR</stp>
        <tr r="B637" s="1"/>
      </tp>
      <tp>
        <v>55.5</v>
        <stp/>
        <stp>BID</stp>
        <stp>VXUS</stp>
        <tr r="H753" s="1"/>
      </tp>
      <tp>
        <v>62</v>
        <stp/>
        <stp>BID</stp>
        <stp>IXUS</stp>
        <tr r="H360" s="1"/>
      </tp>
      <tp>
        <v>54.61</v>
        <stp/>
        <stp>HIGH</stp>
        <stp>XRT</stp>
        <tr r="J902" s="1"/>
      </tp>
      <tp>
        <v>14.96</v>
        <stp/>
        <stp>LAST</stp>
        <stp>PGX</stp>
        <tr r="E454" s="1"/>
      </tp>
      <tp t="s">
        <v>N/A</v>
        <stp/>
        <stp>VEGA</stp>
        <stp>.XLK201120P120.5</stp>
        <tr r="P830" s="1"/>
      </tp>
      <tp t="s">
        <v>N/A</v>
        <stp/>
        <stp>VEGA</stp>
        <stp>.XLV201120P110.5</stp>
        <tr r="P860" s="1"/>
      </tp>
      <tp>
        <v>1.55</v>
        <stp/>
        <stp>OPEN</stp>
        <stp>.XBI201120P122.5</stp>
        <tr r="L767" s="1"/>
      </tp>
      <tp t="s">
        <v>N/A</v>
        <stp/>
        <stp>PROB_OF_EXPIRING</stp>
        <stp>.SSO201120P83.5</stp>
        <tr r="T654" s="1"/>
      </tp>
      <tp t="s">
        <v>N/A</v>
        <stp/>
        <stp>PROB_OF_EXPIRING</stp>
        <stp>.SDS201120C13.5</stp>
        <tr r="T538" s="1"/>
      </tp>
      <tp t="s">
        <v>N/A</v>
        <stp/>
        <stp>PROB_OF_EXPIRING</stp>
        <stp>.SSO201120C83.5</stp>
        <tr r="T653" s="1"/>
      </tp>
      <tp t="s">
        <v>N/A</v>
        <stp/>
        <stp>PROB_OF_EXPIRING</stp>
        <stp>.SDS201120P13.5</stp>
        <tr r="T539" s="1"/>
      </tp>
      <tp>
        <v>1514057</v>
        <stp/>
        <stp>VOLUME</stp>
        <stp>SCZ</stp>
        <tr r="F534" s="1"/>
      </tp>
      <tp t="s">
        <v>N/A</v>
        <stp/>
        <stp>PROB_OF_EXPIRING</stp>
        <stp>.TAN201120C73.5</stp>
        <tr r="T664" s="1"/>
      </tp>
      <tp t="s">
        <v>N/A</v>
        <stp/>
        <stp>PROB_OF_EXPIRING</stp>
        <stp>.TAN201120P73.5</stp>
        <tr r="T665" s="1"/>
      </tp>
      <tp>
        <v>0</v>
        <stp/>
        <stp>GAMMA</stp>
        <stp>SHYG</stp>
        <tr r="N548" s="1"/>
      </tp>
      <tp t="s">
        <v>N/A</v>
        <stp/>
        <stp>LAST</stp>
        <stp>.JNK201120C106.5</stp>
        <tr r="E381" s="1"/>
      </tp>
      <tp>
        <v>15543604</v>
        <stp/>
        <stp>VOLUME</stp>
        <stp>SDS</stp>
        <tr r="F537" s="1"/>
      </tp>
      <tp>
        <v>2.71</v>
        <stp/>
        <stp>HIGH</stp>
        <stp>.SPY201120C359</stp>
        <tr r="J623" s="1"/>
      </tp>
      <tp>
        <v>9.07</v>
        <stp/>
        <stp>HIGH</stp>
        <stp>.SPY201120P359</stp>
        <tr r="J624" s="1"/>
      </tp>
      <tp>
        <v>1.62</v>
        <stp/>
        <stp>HIGH</stp>
        <stp>.SPY201118C360</stp>
        <tr r="J605" s="1"/>
      </tp>
      <tp>
        <v>3.18</v>
        <stp/>
        <stp>HIGH</stp>
        <stp>.SPY201120C358</stp>
        <tr r="J621" s="1"/>
      </tp>
      <tp>
        <v>9.27</v>
        <stp/>
        <stp>HIGH</stp>
        <stp>.SPY201118P360</stp>
        <tr r="J606" s="1"/>
      </tp>
      <tp>
        <v>8.42</v>
        <stp/>
        <stp>HIGH</stp>
        <stp>.SPY201120P358</stp>
        <tr r="J622" s="1"/>
      </tp>
      <tp>
        <v>4.88</v>
        <stp/>
        <stp>HIGH</stp>
        <stp>.SPY201120C355</stp>
        <tr r="J613" s="1"/>
      </tp>
      <tp>
        <v>6.76</v>
        <stp/>
        <stp>HIGH</stp>
        <stp>.SPY201120P355</stp>
        <tr r="J614" s="1"/>
      </tp>
      <tp>
        <v>5.53</v>
        <stp/>
        <stp>HIGH</stp>
        <stp>.SPY201120C354</stp>
        <tr r="J611" s="1"/>
      </tp>
      <tp>
        <v>6.15</v>
        <stp/>
        <stp>HIGH</stp>
        <stp>.SPY201120P354</stp>
        <tr r="J612" s="1"/>
      </tp>
      <tp>
        <v>3.71</v>
        <stp/>
        <stp>HIGH</stp>
        <stp>.SPY201120C357</stp>
        <tr r="J617" s="1"/>
      </tp>
      <tp>
        <v>7.76</v>
        <stp/>
        <stp>HIGH</stp>
        <stp>.SPY201120P357</stp>
        <tr r="J618" s="1"/>
      </tp>
      <tp>
        <v>4.28</v>
        <stp/>
        <stp>HIGH</stp>
        <stp>.SPY201120C356</stp>
        <tr r="J615" s="1"/>
      </tp>
      <tp>
        <v>7.12</v>
        <stp/>
        <stp>HIGH</stp>
        <stp>.SPY201120P356</stp>
        <tr r="J616" s="1"/>
      </tp>
      <tp>
        <v>6.1</v>
        <stp/>
        <stp>HIGH</stp>
        <stp>.SPY201120C353</stp>
        <tr r="J609" s="1"/>
      </tp>
      <tp>
        <v>5.68</v>
        <stp/>
        <stp>HIGH</stp>
        <stp>.SPY201120P353</stp>
        <tr r="J610" s="1"/>
      </tp>
      <tp>
        <v>4.12</v>
        <stp/>
        <stp>HIGH</stp>
        <stp>.SPY201118C355</stp>
        <tr r="J595" s="1"/>
      </tp>
      <tp>
        <v>5.85</v>
        <stp/>
        <stp>HIGH</stp>
        <stp>.SPY201118P355</stp>
        <tr r="J596" s="1"/>
      </tp>
      <tp>
        <v>4.7300000000000004</v>
        <stp/>
        <stp>HIGH</stp>
        <stp>.SPY201118C354</stp>
        <tr r="J593" s="1"/>
      </tp>
      <tp>
        <v>5.41</v>
        <stp/>
        <stp>HIGH</stp>
        <stp>.SPY201118P354</stp>
        <tr r="J594" s="1"/>
      </tp>
      <tp>
        <v>2.95</v>
        <stp/>
        <stp>HIGH</stp>
        <stp>.SPY201118C357</stp>
        <tr r="J599" s="1"/>
      </tp>
      <tp>
        <v>7</v>
        <stp/>
        <stp>HIGH</stp>
        <stp>.SPY201118P357</stp>
        <tr r="J600" s="1"/>
      </tp>
      <tp>
        <v>3.51</v>
        <stp/>
        <stp>HIGH</stp>
        <stp>.SPY201118C356</stp>
        <tr r="J597" s="1"/>
      </tp>
      <tp>
        <v>6.58</v>
        <stp/>
        <stp>HIGH</stp>
        <stp>.SPY201118P356</stp>
        <tr r="J598" s="1"/>
      </tp>
      <tp>
        <v>5.44</v>
        <stp/>
        <stp>HIGH</stp>
        <stp>.SPY201118C353</stp>
        <tr r="J591" s="1"/>
      </tp>
      <tp>
        <v>4.8</v>
        <stp/>
        <stp>HIGH</stp>
        <stp>.SPY201118P353</stp>
        <tr r="J592" s="1"/>
      </tp>
      <tp>
        <v>1.99</v>
        <stp/>
        <stp>HIGH</stp>
        <stp>.SPY201118C359</stp>
        <tr r="J603" s="1"/>
      </tp>
      <tp>
        <v>1.87</v>
        <stp/>
        <stp>HIGH</stp>
        <stp>.SPY201120C361</stp>
        <tr r="J627" s="1"/>
      </tp>
      <tp>
        <v>8.2100000000000009</v>
        <stp/>
        <stp>HIGH</stp>
        <stp>.SPY201118P359</stp>
        <tr r="J604" s="1"/>
      </tp>
      <tp>
        <v>10.54</v>
        <stp/>
        <stp>HIGH</stp>
        <stp>.SPY201120P361</stp>
        <tr r="J628" s="1"/>
      </tp>
      <tp>
        <v>2.4500000000000002</v>
        <stp/>
        <stp>HIGH</stp>
        <stp>.SPY201118C358</stp>
        <tr r="J601" s="1"/>
      </tp>
      <tp>
        <v>2.2799999999999998</v>
        <stp/>
        <stp>HIGH</stp>
        <stp>.SPY201120C360</stp>
        <tr r="J625" s="1"/>
      </tp>
      <tp>
        <v>7.68</v>
        <stp/>
        <stp>HIGH</stp>
        <stp>.SPY201118P358</stp>
        <tr r="J602" s="1"/>
      </tp>
      <tp>
        <v>9.89</v>
        <stp/>
        <stp>HIGH</stp>
        <stp>.SPY201120P360</stp>
        <tr r="J626" s="1"/>
      </tp>
      <tp>
        <v>0.90100000000000002</v>
        <stp/>
        <stp>PUT_CALL_RATIO</stp>
        <stp>IYR</stp>
        <tr r="C366" s="1"/>
      </tp>
      <tp>
        <v>0.85699999999999998</v>
        <stp/>
        <stp>PUT_CALL_RATIO</stp>
        <stp>IYE</stp>
        <tr r="C363" s="1"/>
      </tp>
      <tp t="s">
        <v>N/A</v>
        <stp/>
        <stp>PROB_OF_EXPIRING</stp>
        <stp>.XLC201120C63.5</stp>
        <tr r="T799" s="1"/>
      </tp>
      <tp t="s">
        <v>N/A</v>
        <stp/>
        <stp>PROB_OF_EXPIRING</stp>
        <stp>.XLE201120C33.5</stp>
        <tr r="T804" s="1"/>
      </tp>
      <tp t="s">
        <v>N/A</v>
        <stp/>
        <stp>HIGH</stp>
        <stp>.MDY201120P380</stp>
        <tr r="J416" s="1"/>
      </tp>
      <tp t="s">
        <v>N/A</v>
        <stp/>
        <stp>HIGH</stp>
        <stp>.MDY201120C380</stp>
        <tr r="J415" s="1"/>
      </tp>
      <tp>
        <v>0</v>
        <stp/>
        <stp>HIGH</stp>
        <stp>.MDY201120P385</stp>
        <tr r="J420" s="1"/>
      </tp>
      <tp t="s">
        <v>N/A</v>
        <stp/>
        <stp>HIGH</stp>
        <stp>.MDY201120C385</stp>
        <tr r="J419" s="1"/>
      </tp>
      <tp t="s">
        <v>N/A</v>
        <stp/>
        <stp>PROB_OF_EXPIRING</stp>
        <stp>.XLC201120P63.5</stp>
        <tr r="T800" s="1"/>
      </tp>
      <tp t="s">
        <v>N/A</v>
        <stp/>
        <stp>PROB_OF_EXPIRING</stp>
        <stp>.XLE201120P33.5</stp>
        <tr r="T805" s="1"/>
      </tp>
      <tp>
        <v>3915821</v>
        <stp/>
        <stp>VOLUME</stp>
        <stp>SHY</stp>
        <tr r="F545" s="1"/>
      </tp>
      <tp>
        <v>1.7310000000000001</v>
        <stp/>
        <stp>PUT_CALL_RATIO</stp>
        <stp>IVV</stp>
        <tr r="C309" s="1"/>
      </tp>
      <tp>
        <v>0.5</v>
        <stp/>
        <stp>PUT_CALL_RATIO</stp>
        <stp>IVW</stp>
        <tr r="C330" s="1"/>
      </tp>
      <tp>
        <v>0.109</v>
        <stp/>
        <stp>PUT_CALL_RATIO</stp>
        <stp>IVE</stp>
        <tr r="C302" s="1"/>
      </tp>
      <tp>
        <v>1.1599999999999999</v>
        <stp/>
        <stp>HIGH</stp>
        <stp>.XLV201120P110.5</stp>
        <tr r="J860" s="1"/>
      </tp>
      <tp>
        <v>45</v>
        <stp/>
        <stp>OPEN_INT</stp>
        <stp>.VT201120C87</stp>
        <tr r="G737" s="1"/>
      </tp>
      <tp t="s">
        <v>N/A</v>
        <stp/>
        <stp>OPEN_INT</stp>
        <stp>.VT201120C86</stp>
        <tr r="G735" s="1"/>
      </tp>
      <tp>
        <v>2.4300000000000002</v>
        <stp/>
        <stp>HIGH</stp>
        <stp>.XLK201120P120.5</stp>
        <tr r="J830" s="1"/>
      </tp>
      <tp>
        <v>2.8559999999999999</v>
        <stp/>
        <stp>PUT_CALL_RATIO</stp>
        <stp>IWM</stp>
        <tr r="C345" s="1"/>
      </tp>
      <tp>
        <v>0.156</v>
        <stp/>
        <stp>PUT_CALL_RATIO</stp>
        <stp>IWF</stp>
        <tr r="C340" s="1"/>
      </tp>
      <tp>
        <v>1.738</v>
        <stp/>
        <stp>PUT_CALL_RATIO</stp>
        <stp>IWD</stp>
        <tr r="C333" s="1"/>
      </tp>
      <tp>
        <v>0.42</v>
        <stp/>
        <stp>PUT_CALL_RATIO</stp>
        <stp>ITB</stp>
        <tr r="C288" s="1"/>
      </tp>
      <tp>
        <v>3202772</v>
        <stp/>
        <stp>VOLUME</stp>
        <stp>SMH</stp>
        <tr r="F551" s="1"/>
      </tp>
      <tp t="s">
        <v>N/A</v>
        <stp/>
        <stp>VEGA</stp>
        <stp>.IWF201120C225</stp>
        <tr r="P341" s="1"/>
      </tp>
      <tp t="s">
        <v>N/A</v>
        <stp/>
        <stp>VEGA</stp>
        <stp>.IWF201120P225</stp>
        <tr r="P342" s="1"/>
      </tp>
      <tp t="s">
        <v>N/A</v>
        <stp/>
        <stp>VEGA</stp>
        <stp>.IVE201120C123</stp>
        <tr r="P307" s="1"/>
      </tp>
      <tp t="s">
        <v>N/A</v>
        <stp/>
        <stp>VEGA</stp>
        <stp>.IVE201120P123</stp>
        <tr r="P308" s="1"/>
      </tp>
      <tp t="s">
        <v>N/A</v>
        <stp/>
        <stp>VEGA</stp>
        <stp>.IVE201120C122</stp>
        <tr r="P305" s="1"/>
      </tp>
      <tp t="s">
        <v>N/A</v>
        <stp/>
        <stp>VEGA</stp>
        <stp>.IVE201120P122</stp>
        <tr r="P306" s="1"/>
      </tp>
      <tp t="s">
        <v>N/A</v>
        <stp/>
        <stp>VEGA</stp>
        <stp>.IVE201120C121</stp>
        <tr r="P303" s="1"/>
      </tp>
      <tp t="s">
        <v>N/A</v>
        <stp/>
        <stp>VEGA</stp>
        <stp>.IVE201120P121</stp>
        <tr r="P304" s="1"/>
      </tp>
      <tp t="s">
        <v>N/A</v>
        <stp/>
        <stp>OPEN</stp>
        <stp>.XLY201120P152.5</stp>
        <tr r="L873" s="1"/>
      </tp>
      <tp>
        <v>3.49</v>
        <stp/>
        <stp>OPEN</stp>
        <stp>.XLK201120P122.5</stp>
        <tr r="L838" s="1"/>
      </tp>
      <tp>
        <v>68118563</v>
        <stp/>
        <stp>VOLUME</stp>
        <stp>SPY</stp>
        <tr r="F590" s="1"/>
      </tp>
      <tp>
        <v>3.8</v>
        <stp/>
        <stp>OPEN</stp>
        <stp>.XBI201120C122.5</stp>
        <tr r="L766" s="1"/>
      </tp>
      <tp>
        <v>0.188</v>
        <stp/>
        <stp>PUT_CALL_RATIO</stp>
        <stp>ILF</stp>
        <tr r="C277" s="1"/>
      </tp>
      <tp t="s">
        <v>N/A</v>
        <stp/>
        <stp>VEGA</stp>
        <stp>.XLK201120C120.5</stp>
        <tr r="P829" s="1"/>
      </tp>
      <tp t="s">
        <v>N/A</v>
        <stp/>
        <stp>VEGA</stp>
        <stp>.XLV201120C110.5</stp>
        <tr r="P859" s="1"/>
      </tp>
      <tp>
        <v>2166283</v>
        <stp/>
        <stp>VOLUME</stp>
        <stp>SSO</stp>
        <tr r="F642" s="1"/>
      </tp>
      <tp>
        <v>6.944</v>
        <stp/>
        <stp>PUT_CALL_RATIO</stp>
        <stp>IJR</stp>
        <tr r="C274" s="1"/>
      </tp>
      <tp>
        <v>0.127</v>
        <stp/>
        <stp>PUT_CALL_RATIO</stp>
        <stp>IJH</stp>
        <tr r="C271" s="1"/>
      </tp>
      <tp t="s">
        <v>N/A</v>
        <stp/>
        <stp>PROB_OF_EXPIRING</stp>
        <stp>.EWJ201120P63.5</stp>
        <tr r="T139" s="1"/>
      </tp>
      <tp t="s">
        <v>N/A</v>
        <stp/>
        <stp>PROB_OF_EXPIRING</stp>
        <stp>.EWY201120P73.5</stp>
        <tr r="T171" s="1"/>
      </tp>
      <tp t="s">
        <v>N/A</v>
        <stp/>
        <stp>PROB_OF_EXPIRING</stp>
        <stp>.EWJ201120C63.5</stp>
        <tr r="T138" s="1"/>
      </tp>
      <tp t="s">
        <v>N/A</v>
        <stp/>
        <stp>PROB_OF_EXPIRING</stp>
        <stp>.EWY201120C73.5</stp>
        <tr r="T170" s="1"/>
      </tp>
      <tp t="s">
        <v>N/A</v>
        <stp/>
        <stp>LAST</stp>
        <stp>.JNK201120P106.5</stp>
        <tr r="E382" s="1"/>
      </tp>
      <tp>
        <v>0.128</v>
        <stp/>
        <stp>PUT_CALL_RATIO</stp>
        <stp>IGV</stp>
        <tr r="C264" s="1"/>
      </tp>
      <tp>
        <v>1.21</v>
        <stp/>
        <stp>HIGH</stp>
        <stp>.XLV201120C110.5</stp>
        <tr r="J859" s="1"/>
      </tp>
      <tp>
        <v>2.5</v>
        <stp/>
        <stp>HIGH</stp>
        <stp>.XLK201120C120.5</stp>
        <tr r="J829" s="1"/>
      </tp>
      <tp>
        <v>0.875</v>
        <stp/>
        <stp>PUT_CALL_RATIO</stp>
        <stp>IEF</stp>
        <tr r="C248" s="1"/>
      </tp>
      <tp t="s">
        <v>N/A</v>
        <stp/>
        <stp>OPEN</stp>
        <stp>.XLY201120C152.5</stp>
        <tr r="L872" s="1"/>
      </tp>
      <tp>
        <v>1.39</v>
        <stp/>
        <stp>OPEN</stp>
        <stp>.XLK201120C122.5</stp>
        <tr r="L837" s="1"/>
      </tp>
      <tp>
        <v>5.1929999999999996</v>
        <stp/>
        <stp>PUT_CALL_RATIO</stp>
        <stp>IBB</stp>
        <tr r="C228" s="1"/>
      </tp>
      <tp>
        <v>19.190000000000001</v>
        <stp/>
        <stp>LOW</stp>
        <stp>PXH</stp>
        <tr r="K457" s="1"/>
      </tp>
      <tp>
        <v>85.6</v>
        <stp/>
        <stp>LOW</stp>
        <stp>VT</stp>
        <tr r="K734" s="1"/>
      </tp>
      <tp>
        <v>18.98</v>
        <stp/>
        <stp>LOW</stp>
        <stp>SH</stp>
        <tr r="K542" s="1"/>
      </tp>
      <tp>
        <v>0</v>
        <stp/>
        <stp>RHO</stp>
        <stp>MJ</stp>
        <tr r="Q423" s="1"/>
      </tp>
      <tp>
        <v>19.21</v>
        <stp/>
        <stp>ASK</stp>
        <stp>SH</stp>
        <tr r="I542" s="1"/>
      </tp>
      <tp>
        <v>19.09</v>
        <stp/>
        <stp>BID</stp>
        <stp>SH</stp>
        <tr r="H542" s="1"/>
      </tp>
      <tp>
        <v>86.48</v>
        <stp/>
        <stp>ASK</stp>
        <stp>VT</stp>
        <tr r="I734" s="1"/>
      </tp>
      <tp>
        <v>85.95</v>
        <stp/>
        <stp>BID</stp>
        <stp>VT</stp>
        <tr r="H734" s="1"/>
      </tp>
      <tp>
        <v>12.72</v>
        <stp/>
        <stp>BID</stp>
        <stp>MJ</stp>
        <tr r="H423" s="1"/>
      </tp>
      <tp>
        <v>12.85</v>
        <stp/>
        <stp>ASK</stp>
        <stp>MJ</stp>
        <tr r="I423" s="1"/>
      </tp>
      <tp>
        <v>12.71</v>
        <stp/>
        <stp>LOW</stp>
        <stp>MJ</stp>
        <tr r="K423" s="1"/>
      </tp>
      <tp>
        <v>0</v>
        <stp/>
        <stp>RHO</stp>
        <stp>SH</stp>
        <tr r="Q542" s="1"/>
      </tp>
      <tp>
        <v>0</v>
        <stp/>
        <stp>RHO</stp>
        <stp>VT</stp>
        <tr r="Q734" s="1"/>
      </tp>
      <tp>
        <v>14.9201</v>
        <stp/>
        <stp>LOW</stp>
        <stp>PGX</stp>
        <tr r="K454" s="1"/>
      </tp>
      <tp>
        <v>45.78</v>
        <stp/>
        <stp>BID</stp>
        <stp>HYLB</stp>
        <tr r="H225" s="1"/>
      </tp>
      <tp t="s">
        <v>N/A</v>
        <stp/>
        <stp>DESCRIPTION</stp>
        <stp>USMV</stp>
        <tr r="B698" s="1"/>
      </tp>
      <tp>
        <v>35.520000000000003</v>
        <stp/>
        <stp>ASK</stp>
        <stp>SCHE</stp>
        <tr r="I525" s="1"/>
      </tp>
      <tp>
        <v>60.3</v>
        <stp/>
        <stp>ASK</stp>
        <stp>SCHD</stp>
        <tr r="I520" s="1"/>
      </tp>
      <tp>
        <v>33.83</v>
        <stp/>
        <stp>ASK</stp>
        <stp>SCHF</stp>
        <tr r="I528" s="1"/>
      </tp>
      <tp>
        <v>80.489999999999995</v>
        <stp/>
        <stp>ASK</stp>
        <stp>MCHI</stp>
        <tr r="I411" s="1"/>
      </tp>
      <tp>
        <v>61.42</v>
        <stp/>
        <stp>ASK</stp>
        <stp>SCHP</stp>
        <tr r="I531" s="1"/>
      </tp>
      <tp>
        <v>288.39999999999998</v>
        <stp/>
        <stp>LAST</stp>
        <stp>QQQ</stp>
        <tr r="E475" s="1"/>
      </tp>
      <tp>
        <v>96.5</v>
        <stp/>
        <stp>ASK</stp>
        <stp>VCIT</stp>
        <tr r="I701" s="1"/>
      </tp>
      <tp t="s">
        <v>DBX ETF TRUST XTRACK HRVST CSI ETF</v>
        <stp/>
        <stp>DESCRIPTION</stp>
        <stp>ASHR</stp>
        <tr r="B43" s="1"/>
      </tp>
      <tp>
        <v>21.7</v>
        <stp/>
        <stp>ASK</stp>
        <stp>ICLN</stp>
        <tr r="I245" s="1"/>
      </tp>
      <tp>
        <v>110</v>
        <stp/>
        <stp>ASK</stp>
        <stp>VCLT</stp>
        <tr r="I704" s="1"/>
      </tp>
      <tp>
        <v>0</v>
        <stp/>
        <stp>RHO</stp>
        <stp>IXUS</stp>
        <tr r="Q360" s="1"/>
      </tp>
      <tp>
        <v>0</v>
        <stp/>
        <stp>RHO</stp>
        <stp>VXUS</stp>
        <tr r="Q753" s="1"/>
      </tp>
      <tp>
        <v>103.57</v>
        <stp/>
        <stp>ASK</stp>
        <stp>ACWI</stp>
        <tr r="I7" s="1"/>
      </tp>
      <tp>
        <v>57.77</v>
        <stp/>
        <stp>ASK</stp>
        <stp>ACWX</stp>
        <tr r="I12" s="1"/>
      </tp>
      <tp>
        <v>97.38</v>
        <stp/>
        <stp>LAST</stp>
        <stp>QLD</stp>
        <tr r="E462" s="1"/>
      </tp>
      <tp t="s">
        <v>N/A</v>
        <stp/>
        <stp>GAMMA</stp>
        <stp>.MTUM201120P151</stp>
        <tr r="N432" s="1"/>
      </tp>
      <tp t="s">
        <v>N/A</v>
        <stp/>
        <stp>GAMMA</stp>
        <stp>.MTUM201120C151</stp>
        <tr r="N431" s="1"/>
      </tp>
      <tp t="s">
        <v>N/A</v>
        <stp/>
        <stp>GAMMA</stp>
        <stp>.MTUM201120P150</stp>
        <tr r="N430" s="1"/>
      </tp>
      <tp t="s">
        <v>N/A</v>
        <stp/>
        <stp>GAMMA</stp>
        <stp>.MTUM201120C150</stp>
        <tr r="N429" s="1"/>
      </tp>
      <tp t="s">
        <v>N/A</v>
        <stp/>
        <stp>GAMMA</stp>
        <stp>.MTUM201120P152</stp>
        <tr r="N434" s="1"/>
      </tp>
      <tp t="s">
        <v>N/A</v>
        <stp/>
        <stp>GAMMA</stp>
        <stp>.MTUM201120C152</stp>
        <tr r="N433" s="1"/>
      </tp>
      <tp t="s">
        <v>N/A</v>
        <stp/>
        <stp>GAMMA</stp>
        <stp>.MTUM201120P149</stp>
        <tr r="N428" s="1"/>
      </tp>
      <tp t="s">
        <v>N/A</v>
        <stp/>
        <stp>GAMMA</stp>
        <stp>.MTUM201120C149</stp>
        <tr r="N427" s="1"/>
      </tp>
      <tp t="s">
        <v>N/A</v>
        <stp/>
        <stp>DELTA</stp>
        <stp>.QUAL201120C112</stp>
        <tr r="M503" s="1"/>
      </tp>
      <tp t="s">
        <v>N/A</v>
        <stp/>
        <stp>DELTA</stp>
        <stp>.QUAL201120P112</stp>
        <tr r="M504" s="1"/>
      </tp>
      <tp t="s">
        <v>N/A</v>
        <stp/>
        <stp>DELTA</stp>
        <stp>.QUAL201120C111</stp>
        <tr r="M501" s="1"/>
      </tp>
      <tp t="s">
        <v>N/A</v>
        <stp/>
        <stp>DELTA</stp>
        <stp>.QUAL201120P111</stp>
        <tr r="M502" s="1"/>
      </tp>
      <tp t="s">
        <v>N/A</v>
        <stp/>
        <stp>DELTA</stp>
        <stp>.QUAL201120C110</stp>
        <tr r="M499" s="1"/>
      </tp>
      <tp t="s">
        <v>N/A</v>
        <stp/>
        <stp>DELTA</stp>
        <stp>.QUAL201120P110</stp>
        <tr r="M500" s="1"/>
      </tp>
      <tp t="s">
        <v>N/A</v>
        <stp/>
        <stp>VEGA</stp>
        <stp>.XLK201120P121.5</stp>
        <tr r="P834" s="1"/>
      </tp>
      <tp t="s">
        <v>N/A</v>
        <stp/>
        <stp>VEGA</stp>
        <stp>.XLY201120P151.5</stp>
        <tr r="P869" s="1"/>
      </tp>
      <tp t="s">
        <v>N/A</v>
        <stp/>
        <stp>VEGA</stp>
        <stp>.XLV201120P111.5</stp>
        <tr r="P864" s="1"/>
      </tp>
      <tp>
        <v>1.76</v>
        <stp/>
        <stp>OPEN</stp>
        <stp>.XBI201120P123.5</stp>
        <tr r="L771" s="1"/>
      </tp>
      <tp t="s">
        <v>N/A</v>
        <stp/>
        <stp>PROB_OF_EXPIRING</stp>
        <stp>.RSX201120P22.5</stp>
        <tr r="T516" s="1"/>
      </tp>
      <tp>
        <v>0</v>
        <stp/>
        <stp>THETA</stp>
        <stp>SPLV</stp>
        <tr r="O587" s="1"/>
      </tp>
      <tp t="s">
        <v>N/A</v>
        <stp/>
        <stp>PROB_OF_EXPIRING</stp>
        <stp>.RSX201120C22.5</stp>
        <tr r="T515" s="1"/>
      </tp>
      <tp>
        <v>0</v>
        <stp/>
        <stp>THETA</stp>
        <stp>SPLG</stp>
        <tr r="O584" s="1"/>
      </tp>
      <tp t="s">
        <v>N/A</v>
        <stp/>
        <stp>PROB_OF_EXPIRING</stp>
        <stp>.SSO201120P82.5</stp>
        <tr r="T650" s="1"/>
      </tp>
      <tp t="s">
        <v>N/A</v>
        <stp/>
        <stp>PROB_OF_EXPIRING</stp>
        <stp>.SSO201120C82.5</stp>
        <tr r="T649" s="1"/>
      </tp>
      <tp t="s">
        <v>N/A</v>
        <stp/>
        <stp>PROB_OF_EXPIRING</stp>
        <stp>.TAN201120C72.5</stp>
        <tr r="T660" s="1"/>
      </tp>
      <tp t="s">
        <v>N/A</v>
        <stp/>
        <stp>PROB_OF_EXPIRING</stp>
        <stp>.TAN201120P72.5</stp>
        <tr r="T661" s="1"/>
      </tp>
      <tp>
        <v>0</v>
        <stp/>
        <stp>THETA</stp>
        <stp>SPHD</stp>
        <tr r="O581" s="1"/>
      </tp>
      <tp>
        <v>1</v>
        <stp/>
        <stp>DELTA</stp>
        <stp>SPYV</stp>
        <tr r="M634" s="1"/>
      </tp>
      <tp>
        <v>1</v>
        <stp/>
        <stp>DELTA</stp>
        <stp>SPYG</stp>
        <tr r="M629" s="1"/>
      </tp>
      <tp>
        <v>5.125</v>
        <stp/>
        <stp>PUT_CALL_RATIO</stp>
        <stp>HYG</stp>
        <tr r="C220" s="1"/>
      </tp>
      <tp>
        <v>0</v>
        <stp/>
        <stp>HIGH</stp>
        <stp>.XLV201120P111.5</stp>
        <tr r="J864" s="1"/>
      </tp>
      <tp t="s">
        <v>N/A</v>
        <stp/>
        <stp>HIGH</stp>
        <stp>.XLY201120P151.5</stp>
        <tr r="J869" s="1"/>
      </tp>
      <tp>
        <v>2.76</v>
        <stp/>
        <stp>HIGH</stp>
        <stp>.XLK201120P121.5</stp>
        <tr r="J834" s="1"/>
      </tp>
      <tp>
        <v>0</v>
        <stp/>
        <stp>THETA</stp>
        <stp>SPDW</stp>
        <tr r="O578" s="1"/>
      </tp>
      <tp t="s">
        <v>N/A</v>
        <stp/>
        <stp>VEGA</stp>
        <stp>.QLD201120P101</stp>
        <tr r="P474" s="1"/>
      </tp>
      <tp t="s">
        <v>N/A</v>
        <stp/>
        <stp>VEGA</stp>
        <stp>.QLD201120C101</stp>
        <tr r="P473" s="1"/>
      </tp>
      <tp t="s">
        <v>N/A</v>
        <stp/>
        <stp>VEGA</stp>
        <stp>.QLD201120P100</stp>
        <tr r="P472" s="1"/>
      </tp>
      <tp t="s">
        <v>N/A</v>
        <stp/>
        <stp>VEGA</stp>
        <stp>.QLD201120C100</stp>
        <tr r="P471" s="1"/>
      </tp>
      <tp t="s">
        <v>N/A</v>
        <stp/>
        <stp>VEGA</stp>
        <stp>.IWD201120C129</stp>
        <tr r="P336" s="1"/>
      </tp>
      <tp t="s">
        <v>N/A</v>
        <stp/>
        <stp>VEGA</stp>
        <stp>.IWD201120P129</stp>
        <tr r="P337" s="1"/>
      </tp>
      <tp t="s">
        <v>N/A</v>
        <stp/>
        <stp>VEGA</stp>
        <stp>.IWD201120C128</stp>
        <tr r="P334" s="1"/>
      </tp>
      <tp t="s">
        <v>N/A</v>
        <stp/>
        <stp>VEGA</stp>
        <stp>.IWD201120P128</stp>
        <tr r="P335" s="1"/>
      </tp>
      <tp>
        <v>0</v>
        <stp/>
        <stp>OPEN</stp>
        <stp>.SMH201120P198.5</stp>
        <tr r="L577" s="1"/>
      </tp>
      <tp t="s">
        <v>N/A</v>
        <stp/>
        <stp>VEGA</stp>
        <stp>.LQD201120C135</stp>
        <tr r="P407" s="1"/>
      </tp>
      <tp t="s">
        <v>N/A</v>
        <stp/>
        <stp>VEGA</stp>
        <stp>.IWD201120C130</stp>
        <tr r="P338" s="1"/>
      </tp>
      <tp t="s">
        <v>N/A</v>
        <stp/>
        <stp>VEGA</stp>
        <stp>.LQD201120P135</stp>
        <tr r="P408" s="1"/>
      </tp>
      <tp t="s">
        <v>N/A</v>
        <stp/>
        <stp>VEGA</stp>
        <stp>.IWD201120P130</stp>
        <tr r="P339" s="1"/>
      </tp>
      <tp t="s">
        <v>N/A</v>
        <stp/>
        <stp>OPEN</stp>
        <stp>.XLY201120P153.5</stp>
        <tr r="L877" s="1"/>
      </tp>
      <tp>
        <v>1</v>
        <stp/>
        <stp>DELTA</stp>
        <stp>SPLV</stp>
        <tr r="M587" s="1"/>
      </tp>
      <tp>
        <v>1</v>
        <stp/>
        <stp>DELTA</stp>
        <stp>SPLG</stp>
        <tr r="M584" s="1"/>
      </tp>
      <tp>
        <v>3.15</v>
        <stp/>
        <stp>OPEN</stp>
        <stp>.XBI201120C123.5</stp>
        <tr r="L770" s="1"/>
      </tp>
      <tp t="s">
        <v>N/A</v>
        <stp/>
        <stp>VEGA</stp>
        <stp>.XLK201120C121.5</stp>
        <tr r="P833" s="1"/>
      </tp>
      <tp t="s">
        <v>N/A</v>
        <stp/>
        <stp>VEGA</stp>
        <stp>.XLY201120C151.5</stp>
        <tr r="P868" s="1"/>
      </tp>
      <tp t="s">
        <v>N/A</v>
        <stp/>
        <stp>VEGA</stp>
        <stp>.XLV201120C111.5</stp>
        <tr r="P863" s="1"/>
      </tp>
      <tp>
        <v>4551215</v>
        <stp/>
        <stp>VOLUME</stp>
        <stp>RSX</stp>
        <tr r="F512" s="1"/>
      </tp>
      <tp>
        <v>2249943</v>
        <stp/>
        <stp>VOLUME</stp>
        <stp>RSP</stp>
        <tr r="F505" s="1"/>
      </tp>
      <tp t="s">
        <v>N/A</v>
        <stp/>
        <stp>PROB_OF_EXPIRING</stp>
        <stp>.EWY201120P72.5</stp>
        <tr r="T167" s="1"/>
      </tp>
      <tp t="s">
        <v>N/A</v>
        <stp/>
        <stp>PROB_OF_EXPIRING</stp>
        <stp>.EWY201120C72.5</stp>
        <tr r="T166" s="1"/>
      </tp>
      <tp>
        <v>1</v>
        <stp/>
        <stp>DELTA</stp>
        <stp>SPHD</stp>
        <tr r="M581" s="1"/>
      </tp>
      <tp>
        <v>0</v>
        <stp/>
        <stp>THETA</stp>
        <stp>SPYV</stp>
        <tr r="O634" s="1"/>
      </tp>
      <tp>
        <v>0</v>
        <stp/>
        <stp>THETA</stp>
        <stp>SPYG</stp>
        <tr r="O629" s="1"/>
      </tp>
      <tp>
        <v>2020957</v>
        <stp/>
        <stp>VOLUME</stp>
        <stp>RWM</stp>
        <tr r="F517" s="1"/>
      </tp>
      <tp>
        <v>1</v>
        <stp/>
        <stp>DELTA</stp>
        <stp>SPDW</stp>
        <tr r="M578" s="1"/>
      </tp>
      <tp>
        <v>0.82</v>
        <stp/>
        <stp>HIGH</stp>
        <stp>.XLV201120C111.5</stp>
        <tr r="J863" s="1"/>
      </tp>
      <tp>
        <v>2.25</v>
        <stp/>
        <stp>HIGH</stp>
        <stp>.XLY201120C151.5</stp>
        <tr r="J868" s="1"/>
      </tp>
      <tp>
        <v>2.09</v>
        <stp/>
        <stp>HIGH</stp>
        <stp>.XLK201120C121.5</stp>
        <tr r="J833" s="1"/>
      </tp>
      <tp t="s">
        <v>N/A</v>
        <stp/>
        <stp>OPEN</stp>
        <stp>.XLY201120C153.5</stp>
        <tr r="L876" s="1"/>
      </tp>
      <tp>
        <v>2</v>
        <stp/>
        <stp>OPEN</stp>
        <stp>.SMH201120C198.5</stp>
        <tr r="L576" s="1"/>
      </tp>
      <tp t="s">
        <v>N/A</v>
        <stp/>
        <stp>DELTA</stp>
        <stp>.MDY201120C380</stp>
        <tr r="M415" s="1"/>
      </tp>
      <tp t="s">
        <v>N/A</v>
        <stp/>
        <stp>DELTA</stp>
        <stp>.MDY201120P380</stp>
        <tr r="M416" s="1"/>
      </tp>
      <tp t="s">
        <v>N/A</v>
        <stp/>
        <stp>DELTA</stp>
        <stp>.MDY201120C385</stp>
        <tr r="M419" s="1"/>
      </tp>
      <tp t="s">
        <v>N/A</v>
        <stp/>
        <stp>DELTA</stp>
        <stp>.MDY201120P385</stp>
        <tr r="M420" s="1"/>
      </tp>
      <tp t="s">
        <v>N/A</v>
        <stp/>
        <stp>THETA</stp>
        <stp>.XLV201120P112</stp>
        <tr r="O866" s="1"/>
      </tp>
      <tp t="s">
        <v>N/A</v>
        <stp/>
        <stp>THETA</stp>
        <stp>.XLV201120C112</stp>
        <tr r="O865" s="1"/>
      </tp>
      <tp t="s">
        <v>N/A</v>
        <stp/>
        <stp>THETA</stp>
        <stp>.XLV201120P111</stp>
        <tr r="O862" s="1"/>
      </tp>
      <tp t="s">
        <v>N/A</v>
        <stp/>
        <stp>THETA</stp>
        <stp>.XLV201120C111</stp>
        <tr r="O861" s="1"/>
      </tp>
      <tp t="s">
        <v>N/A</v>
        <stp/>
        <stp>THETA</stp>
        <stp>.XLV201120P110</stp>
        <tr r="O858" s="1"/>
      </tp>
      <tp t="s">
        <v>N/A</v>
        <stp/>
        <stp>THETA</stp>
        <stp>.XLV201120C110</stp>
        <tr r="O857" s="1"/>
      </tp>
      <tp>
        <v>-0.73</v>
        <stp/>
        <stp>DELTA</stp>
        <stp>.SPY201118P358</stp>
        <tr r="M602" s="1"/>
      </tp>
      <tp>
        <v>-0.78</v>
        <stp/>
        <stp>DELTA</stp>
        <stp>.SPY201120P360</stp>
        <tr r="M626" s="1"/>
      </tp>
      <tp>
        <v>0.3</v>
        <stp/>
        <stp>DELTA</stp>
        <stp>.SPY201118C358</stp>
        <tr r="M601" s="1"/>
      </tp>
      <tp>
        <v>0.26</v>
        <stp/>
        <stp>DELTA</stp>
        <stp>.SPY201120C360</stp>
        <tr r="M625" s="1"/>
      </tp>
      <tp>
        <v>-0.79</v>
        <stp/>
        <stp>DELTA</stp>
        <stp>.SPY201118P359</stp>
        <tr r="M604" s="1"/>
      </tp>
      <tp>
        <v>-0.82</v>
        <stp/>
        <stp>DELTA</stp>
        <stp>.SPY201120P361</stp>
        <tr r="M628" s="1"/>
      </tp>
      <tp>
        <v>0.25</v>
        <stp/>
        <stp>DELTA</stp>
        <stp>.SPY201118C359</stp>
        <tr r="M603" s="1"/>
      </tp>
      <tp>
        <v>0.22</v>
        <stp/>
        <stp>DELTA</stp>
        <stp>.SPY201120C361</stp>
        <tr r="M627" s="1"/>
      </tp>
      <tp>
        <v>-0.52</v>
        <stp/>
        <stp>DELTA</stp>
        <stp>.SPY201118P354</stp>
        <tr r="M594" s="1"/>
      </tp>
      <tp>
        <v>0.48</v>
        <stp/>
        <stp>DELTA</stp>
        <stp>.SPY201118C354</stp>
        <tr r="M593" s="1"/>
      </tp>
      <tp>
        <v>-0.56999999999999995</v>
        <stp/>
        <stp>DELTA</stp>
        <stp>.SPY201118P355</stp>
        <tr r="M596" s="1"/>
      </tp>
      <tp>
        <v>0.44</v>
        <stp/>
        <stp>DELTA</stp>
        <stp>.SPY201118C355</stp>
        <tr r="M595" s="1"/>
      </tp>
      <tp>
        <v>-0.63</v>
        <stp/>
        <stp>DELTA</stp>
        <stp>.SPY201118P356</stp>
        <tr r="M598" s="1"/>
      </tp>
      <tp>
        <v>0.39</v>
        <stp/>
        <stp>DELTA</stp>
        <stp>.SPY201118C356</stp>
        <tr r="M597" s="1"/>
      </tp>
      <tp>
        <v>-0.68</v>
        <stp/>
        <stp>DELTA</stp>
        <stp>.SPY201118P357</stp>
        <tr r="M600" s="1"/>
      </tp>
      <tp>
        <v>0.34</v>
        <stp/>
        <stp>DELTA</stp>
        <stp>.SPY201118C357</stp>
        <tr r="M599" s="1"/>
      </tp>
      <tp>
        <v>-0.48</v>
        <stp/>
        <stp>DELTA</stp>
        <stp>.SPY201118P353</stp>
        <tr r="M592" s="1"/>
      </tp>
      <tp>
        <v>0.52</v>
        <stp/>
        <stp>DELTA</stp>
        <stp>.SPY201118C353</stp>
        <tr r="M591" s="1"/>
      </tp>
      <tp>
        <v>-0.52</v>
        <stp/>
        <stp>DELTA</stp>
        <stp>.SPY201120P354</stp>
        <tr r="M612" s="1"/>
      </tp>
      <tp>
        <v>0.49</v>
        <stp/>
        <stp>DELTA</stp>
        <stp>.SPY201120C354</stp>
        <tr r="M611" s="1"/>
      </tp>
      <tp>
        <v>-0.56000000000000005</v>
        <stp/>
        <stp>DELTA</stp>
        <stp>.SPY201120P355</stp>
        <tr r="M614" s="1"/>
      </tp>
      <tp>
        <v>0.45</v>
        <stp/>
        <stp>DELTA</stp>
        <stp>.SPY201120C355</stp>
        <tr r="M613" s="1"/>
      </tp>
      <tp>
        <v>-0.6</v>
        <stp/>
        <stp>DELTA</stp>
        <stp>.SPY201120P356</stp>
        <tr r="M616" s="1"/>
      </tp>
      <tp>
        <v>0.41</v>
        <stp/>
        <stp>DELTA</stp>
        <stp>.SPY201120C356</stp>
        <tr r="M615" s="1"/>
      </tp>
      <tp>
        <v>-0.64</v>
        <stp/>
        <stp>DELTA</stp>
        <stp>.SPY201120P357</stp>
        <tr r="M618" s="1"/>
      </tp>
      <tp>
        <v>0.37</v>
        <stp/>
        <stp>DELTA</stp>
        <stp>.SPY201120C357</stp>
        <tr r="M617" s="1"/>
      </tp>
      <tp>
        <v>-0.48</v>
        <stp/>
        <stp>DELTA</stp>
        <stp>.SPY201120P353</stp>
        <tr r="M610" s="1"/>
      </tp>
      <tp>
        <v>0.52</v>
        <stp/>
        <stp>DELTA</stp>
        <stp>.SPY201120C353</stp>
        <tr r="M609" s="1"/>
      </tp>
      <tp>
        <v>-0.84</v>
        <stp/>
        <stp>DELTA</stp>
        <stp>.SPY201118P360</stp>
        <tr r="M606" s="1"/>
      </tp>
      <tp>
        <v>-0.69</v>
        <stp/>
        <stp>DELTA</stp>
        <stp>.SPY201120P358</stp>
        <tr r="M622" s="1"/>
      </tp>
      <tp>
        <v>0.21</v>
        <stp/>
        <stp>DELTA</stp>
        <stp>.SPY201118C360</stp>
        <tr r="M605" s="1"/>
      </tp>
      <tp>
        <v>0.33</v>
        <stp/>
        <stp>DELTA</stp>
        <stp>.SPY201120C358</stp>
        <tr r="M621" s="1"/>
      </tp>
      <tp>
        <v>-0.73</v>
        <stp/>
        <stp>DELTA</stp>
        <stp>.SPY201120P359</stp>
        <tr r="M624" s="1"/>
      </tp>
      <tp>
        <v>0.3</v>
        <stp/>
        <stp>DELTA</stp>
        <stp>.SPY201120C359</stp>
        <tr r="M623" s="1"/>
      </tp>
      <tp t="s">
        <v>ISHARES TRUST IBOXX INV CP ETF</v>
        <stp/>
        <stp>DESCRIPTION</stp>
        <stp>LQD</stp>
        <tr r="B404" s="1"/>
      </tp>
      <tp>
        <v>289.48</v>
        <stp/>
        <stp>BID</stp>
        <stp>QQQ</stp>
        <tr r="H475" s="1"/>
      </tp>
      <tp>
        <v>97.39</v>
        <stp/>
        <stp>BID</stp>
        <stp>QLD</stp>
        <tr r="H462" s="1"/>
      </tp>
      <tp>
        <v>30.07</v>
        <stp/>
        <stp>ASK</stp>
        <stp>RWM</stp>
        <tr r="I517" s="1"/>
      </tp>
      <tp>
        <v>119.48</v>
        <stp/>
        <stp>ASK</stp>
        <stp>RSP</stp>
        <tr r="I505" s="1"/>
      </tp>
      <tp>
        <v>24.58</v>
        <stp/>
        <stp>ASK</stp>
        <stp>RSX</stp>
        <tr r="I512" s="1"/>
      </tp>
      <tp>
        <v>0</v>
        <stp/>
        <stp>RHO</stp>
        <stp>AGG</stp>
        <tr r="Q15" s="1"/>
      </tp>
      <tp>
        <v>84.224999999999994</v>
        <stp/>
        <stp>HIGH</stp>
        <stp>VNQ</stp>
        <tr r="J724" s="1"/>
      </tp>
      <tp>
        <v>327.44</v>
        <stp/>
        <stp>HIGH</stp>
        <stp>VOO</stp>
        <tr r="J729" s="1"/>
      </tp>
      <tp>
        <v>0</v>
        <stp/>
        <stp>RHO</stp>
        <stp>KWEB</stp>
        <tr r="Q397" s="1"/>
      </tp>
      <tp>
        <v>52.03</v>
        <stp/>
        <stp>LOW</stp>
        <stp>SPYG</stp>
        <tr r="K629" s="1"/>
      </tp>
      <tp>
        <v>32.149900000000002</v>
        <stp/>
        <stp>LOW</stp>
        <stp>SPYV</stp>
        <tr r="K634" s="1"/>
      </tp>
      <tp>
        <v>66.010000000000005</v>
        <stp/>
        <stp>HIGH</stp>
        <stp>VFH</stp>
        <tr r="J713" s="1"/>
      </tp>
      <tp>
        <v>56.68</v>
        <stp/>
        <stp>HIGH</stp>
        <stp>VGK</stp>
        <tr r="J721" s="1"/>
      </tp>
      <tp>
        <v>44.08</v>
        <stp/>
        <stp>HIGH</stp>
        <stp>VEA</stp>
        <tr r="J707" s="1"/>
      </tp>
      <tp>
        <v>54.69</v>
        <stp/>
        <stp>HIGH</stp>
        <stp>VEU</stp>
        <tr r="J710" s="1"/>
      </tp>
      <tp>
        <v>36.93</v>
        <stp/>
        <stp>ASK</stp>
        <stp>XLRE</stp>
        <tr r="I846" s="1"/>
      </tp>
      <tp>
        <v>41.29</v>
        <stp/>
        <stp>LOW</stp>
        <stp>SPLG</stp>
        <tr r="K584" s="1"/>
      </tp>
      <tp>
        <v>54.66</v>
        <stp/>
        <stp>LOW</stp>
        <stp>SPLV</stp>
        <tr r="K587" s="1"/>
      </tp>
      <tp t="s">
        <v>N/A</v>
        <stp/>
        <stp>LAST</stp>
        <stp>.AMLP201120C23.5</stp>
        <tr r="E21" s="1"/>
      </tp>
      <tp>
        <v>0.79</v>
        <stp/>
        <stp>LAST</stp>
        <stp>.AMLP201120P23.5</stp>
        <tr r="E22" s="1"/>
      </tp>
      <tp>
        <v>34.830100000000002</v>
        <stp/>
        <stp>LOW</stp>
        <stp>SPHD</stp>
        <tr r="K581" s="1"/>
      </tp>
      <tp>
        <v>87.09</v>
        <stp/>
        <stp>HIGH</stp>
        <stp>VYM</stp>
        <tr r="J758" s="1"/>
      </tp>
      <tp>
        <v>47.155799999999999</v>
        <stp/>
        <stp>HIGH</stp>
        <stp>VWO</stp>
        <tr r="J748" s="1"/>
      </tp>
      <tp>
        <v>182.40440000000001</v>
        <stp/>
        <stp>HIGH</stp>
        <stp>VTI</stp>
        <tr r="J739" s="1"/>
      </tp>
      <tp>
        <v>31.175000000000001</v>
        <stp/>
        <stp>LOW</stp>
        <stp>SPDW</stp>
        <tr r="K578" s="1"/>
      </tp>
      <tp>
        <v>3.23</v>
        <stp/>
        <stp>OPEN</stp>
        <stp>.SPY201120C357.5</stp>
        <tr r="L619" s="1"/>
      </tp>
      <tp t="s">
        <v>N/A</v>
        <stp/>
        <stp>VEGA</stp>
        <stp>.SMH201120P195.5</stp>
        <tr r="P565" s="1"/>
      </tp>
      <tp t="s">
        <v>N/A</v>
        <stp/>
        <stp>STRIKE</stp>
        <stp>AGG</stp>
        <tr r="W15" s="1"/>
      </tp>
      <tp>
        <v>7.55</v>
        <stp/>
        <stp>HIGH</stp>
        <stp>.QQQ201120C287.5</stp>
        <tr r="J480" s="1"/>
      </tp>
      <tp>
        <v>3.43</v>
        <stp/>
        <stp>HIGH</stp>
        <stp>.SMH201120P195.5</stp>
        <tr r="J565" s="1"/>
      </tp>
      <tp t="s">
        <v>N/A</v>
        <stp/>
        <stp>VEGA</stp>
        <stp>.JNK201120P107</stp>
        <tr r="P384" s="1"/>
      </tp>
      <tp t="s">
        <v>N/A</v>
        <stp/>
        <stp>VEGA</stp>
        <stp>.JNK201120C107</stp>
        <tr r="P383" s="1"/>
      </tp>
      <tp t="s">
        <v>N/A</v>
        <stp/>
        <stp>VEGA</stp>
        <stp>.IJH201120P210</stp>
        <tr r="P273" s="1"/>
      </tp>
      <tp t="s">
        <v>N/A</v>
        <stp/>
        <stp>VEGA</stp>
        <stp>.IJH201120C210</stp>
        <tr r="P272" s="1"/>
      </tp>
      <tp t="s">
        <v>N/A</v>
        <stp/>
        <stp>VEGA</stp>
        <stp>.XLK201120P122</stp>
        <tr r="P836" s="1"/>
      </tp>
      <tp t="s">
        <v>N/A</v>
        <stp/>
        <stp>VEGA</stp>
        <stp>.XLK201120C122</stp>
        <tr r="P835" s="1"/>
      </tp>
      <tp t="s">
        <v>N/A</v>
        <stp/>
        <stp>VEGA</stp>
        <stp>.XLK201120P123</stp>
        <tr r="P840" s="1"/>
      </tp>
      <tp t="s">
        <v>N/A</v>
        <stp/>
        <stp>VEGA</stp>
        <stp>.XLK201120C123</stp>
        <tr r="P839" s="1"/>
      </tp>
      <tp t="s">
        <v>N/A</v>
        <stp/>
        <stp>VEGA</stp>
        <stp>.XLK201120P120</stp>
        <tr r="P828" s="1"/>
      </tp>
      <tp t="s">
        <v>N/A</v>
        <stp/>
        <stp>VEGA</stp>
        <stp>.XLK201120C120</stp>
        <tr r="P827" s="1"/>
      </tp>
      <tp t="s">
        <v>N/A</v>
        <stp/>
        <stp>VEGA</stp>
        <stp>.XLK201120P121</stp>
        <tr r="P832" s="1"/>
      </tp>
      <tp t="s">
        <v>N/A</v>
        <stp/>
        <stp>VEGA</stp>
        <stp>.XLK201120C121</stp>
        <tr r="P831" s="1"/>
      </tp>
      <tp>
        <v>5</v>
        <stp/>
        <stp>OPEN</stp>
        <stp>.SMH201120P197.5</stp>
        <tr r="L573" s="1"/>
      </tp>
      <tp t="s">
        <v>N/A</v>
        <stp/>
        <stp>VEGA</stp>
        <stp>.QQQ201120C287.5</stp>
        <tr r="P480" s="1"/>
      </tp>
      <tp>
        <v>3.1</v>
        <stp/>
        <stp>OPEN</stp>
        <stp>.QQQ201120C294</stp>
        <tr r="L496" s="1"/>
      </tp>
      <tp>
        <v>6.79</v>
        <stp/>
        <stp>OPEN</stp>
        <stp>.QQQ201120P294</stp>
        <tr r="L497" s="1"/>
      </tp>
      <tp>
        <v>4.66</v>
        <stp/>
        <stp>OPEN</stp>
        <stp>.QQQ201120C291</stp>
        <tr r="L488" s="1"/>
      </tp>
      <tp>
        <v>4.93</v>
        <stp/>
        <stp>OPEN</stp>
        <stp>.QQQ201120P291</stp>
        <tr r="L489" s="1"/>
      </tp>
      <tp>
        <v>5.16</v>
        <stp/>
        <stp>OPEN</stp>
        <stp>.QQQ201120C290</stp>
        <tr r="L486" s="1"/>
      </tp>
      <tp>
        <v>4.55</v>
        <stp/>
        <stp>OPEN</stp>
        <stp>.QQQ201120P290</stp>
        <tr r="L487" s="1"/>
      </tp>
      <tp>
        <v>3.65</v>
        <stp/>
        <stp>OPEN</stp>
        <stp>.QQQ201120C293</stp>
        <tr r="L494" s="1"/>
      </tp>
      <tp>
        <v>5.53</v>
        <stp/>
        <stp>OPEN</stp>
        <stp>.QQQ201120P293</stp>
        <tr r="L495" s="1"/>
      </tp>
      <tp>
        <v>4.1399999999999997</v>
        <stp/>
        <stp>OPEN</stp>
        <stp>.QQQ201120C292</stp>
        <tr r="L490" s="1"/>
      </tp>
      <tp>
        <v>5.28</v>
        <stp/>
        <stp>OPEN</stp>
        <stp>.QQQ201120P292</stp>
        <tr r="L491" s="1"/>
      </tp>
      <tp>
        <v>5.81</v>
        <stp/>
        <stp>OPEN</stp>
        <stp>.QQQ201120C289</stp>
        <tr r="L484" s="1"/>
      </tp>
      <tp>
        <v>4.07</v>
        <stp/>
        <stp>OPEN</stp>
        <stp>.QQQ201120P289</stp>
        <tr r="L485" s="1"/>
      </tp>
      <tp>
        <v>6.48</v>
        <stp/>
        <stp>OPEN</stp>
        <stp>.QQQ201120C288</stp>
        <tr r="L482" s="1"/>
      </tp>
      <tp>
        <v>3.63</v>
        <stp/>
        <stp>OPEN</stp>
        <stp>.QQQ201120P288</stp>
        <tr r="L483" s="1"/>
      </tp>
      <tp>
        <v>7.06</v>
        <stp/>
        <stp>OPEN</stp>
        <stp>.QQQ201120C287</stp>
        <tr r="L478" s="1"/>
      </tp>
      <tp>
        <v>3.42</v>
        <stp/>
        <stp>OPEN</stp>
        <stp>.QQQ201120P287</stp>
        <tr r="L479" s="1"/>
      </tp>
      <tp>
        <v>7.7</v>
        <stp/>
        <stp>OPEN</stp>
        <stp>.QQQ201120C286</stp>
        <tr r="L476" s="1"/>
      </tp>
      <tp>
        <v>3.05</v>
        <stp/>
        <stp>OPEN</stp>
        <stp>.QQQ201120P286</stp>
        <tr r="L477" s="1"/>
      </tp>
      <tp t="s">
        <v>N/A</v>
        <stp/>
        <stp>VEGA</stp>
        <stp>.SMH201120C195.5</stp>
        <tr r="P564" s="1"/>
      </tp>
      <tp>
        <v>5.23</v>
        <stp/>
        <stp>OPEN</stp>
        <stp>.SPY201120P357.5</stp>
        <tr r="L620" s="1"/>
      </tp>
      <tp>
        <v>5.0599999999999996</v>
        <stp/>
        <stp>HIGH</stp>
        <stp>.QQQ201120P287.5</stp>
        <tr r="J481" s="1"/>
      </tp>
      <tp>
        <v>0</v>
        <stp/>
        <stp>GAMMA</stp>
        <stp>DFEN</stp>
        <tr r="N54" s="1"/>
      </tp>
      <tp>
        <v>0.64500000000000002</v>
        <stp/>
        <stp>PUT_CALL_RATIO</stp>
        <stp>GDX</stp>
        <tr r="C195" s="1"/>
      </tp>
      <tp>
        <v>3.35</v>
        <stp/>
        <stp>HIGH</stp>
        <stp>.SMH201120C195.5</stp>
        <tr r="J564" s="1"/>
      </tp>
      <tp>
        <v>2.48</v>
        <stp/>
        <stp>OPEN</stp>
        <stp>.SMH201120C197.5</stp>
        <tr r="L572" s="1"/>
      </tp>
      <tp t="s">
        <v>N/A</v>
        <stp/>
        <stp>VEGA</stp>
        <stp>.QQQ201120P287.5</stp>
        <tr r="P481" s="1"/>
      </tp>
      <tp t="s">
        <v>N/A</v>
        <stp/>
        <stp>THETA</stp>
        <stp>.XLY201120P155</stp>
        <tr r="O883" s="1"/>
      </tp>
      <tp t="s">
        <v>N/A</v>
        <stp/>
        <stp>THETA</stp>
        <stp>.XLY201120C155</stp>
        <tr r="O882" s="1"/>
      </tp>
      <tp t="s">
        <v>N/A</v>
        <stp/>
        <stp>THETA</stp>
        <stp>.XLY201120P154</stp>
        <tr r="O879" s="1"/>
      </tp>
      <tp t="s">
        <v>N/A</v>
        <stp/>
        <stp>THETA</stp>
        <stp>.XLY201120C154</stp>
        <tr r="O878" s="1"/>
      </tp>
      <tp t="s">
        <v>N/A</v>
        <stp/>
        <stp>THETA</stp>
        <stp>.XLY201120P153</stp>
        <tr r="O875" s="1"/>
      </tp>
      <tp t="s">
        <v>N/A</v>
        <stp/>
        <stp>THETA</stp>
        <stp>.XLY201120C153</stp>
        <tr r="O874" s="1"/>
      </tp>
      <tp t="s">
        <v>N/A</v>
        <stp/>
        <stp>THETA</stp>
        <stp>.XLY201120P152</stp>
        <tr r="O871" s="1"/>
      </tp>
      <tp t="s">
        <v>N/A</v>
        <stp/>
        <stp>THETA</stp>
        <stp>.XLY201120C152</stp>
        <tr r="O870" s="1"/>
      </tp>
      <tp t="s">
        <v>N/A</v>
        <stp/>
        <stp>GAMMA</stp>
        <stp>.RSP201120P120</stp>
        <tr r="N511" s="1"/>
      </tp>
      <tp t="s">
        <v>N/A</v>
        <stp/>
        <stp>GAMMA</stp>
        <stp>.RSP201120C120</stp>
        <tr r="N510" s="1"/>
      </tp>
      <tp t="s">
        <v>N/A</v>
        <stp/>
        <stp>GAMMA</stp>
        <stp>.TIP201120C125</stp>
        <tr r="N687" s="1"/>
      </tp>
      <tp t="s">
        <v>N/A</v>
        <stp/>
        <stp>GAMMA</stp>
        <stp>.TIP201120P125</stp>
        <tr r="N688" s="1"/>
      </tp>
      <tp t="s">
        <v>N/A</v>
        <stp/>
        <stp>DELTA</stp>
        <stp>.IGV201120C325</stp>
        <tr r="M269" s="1"/>
      </tp>
      <tp t="s">
        <v>N/A</v>
        <stp/>
        <stp>DELTA</stp>
        <stp>.IGV201120P325</stp>
        <tr r="M270" s="1"/>
      </tp>
      <tp t="s">
        <v>N/A</v>
        <stp/>
        <stp>DELTA</stp>
        <stp>.IGV201120C320</stp>
        <tr r="M267" s="1"/>
      </tp>
      <tp t="s">
        <v>N/A</v>
        <stp/>
        <stp>DELTA</stp>
        <stp>.IGV201120P320</stp>
        <tr r="M268" s="1"/>
      </tp>
      <tp t="s">
        <v>N/A</v>
        <stp/>
        <stp>DELTA</stp>
        <stp>.IGV201120C315</stp>
        <tr r="M265" s="1"/>
      </tp>
      <tp t="s">
        <v>N/A</v>
        <stp/>
        <stp>DELTA</stp>
        <stp>.IGV201120P315</stp>
        <tr r="M266" s="1"/>
      </tp>
      <tp t="s">
        <v>N/A</v>
        <stp/>
        <stp>GAMMA</stp>
        <stp>.RSP201120P118</stp>
        <tr r="N507" s="1"/>
      </tp>
      <tp t="s">
        <v>N/A</v>
        <stp/>
        <stp>GAMMA</stp>
        <stp>.RSP201120C118</stp>
        <tr r="N506" s="1"/>
      </tp>
      <tp t="s">
        <v>N/A</v>
        <stp/>
        <stp>GAMMA</stp>
        <stp>.RSP201120P119</stp>
        <tr r="N509" s="1"/>
      </tp>
      <tp t="s">
        <v>N/A</v>
        <stp/>
        <stp>GAMMA</stp>
        <stp>.RSP201120C119</stp>
        <tr r="N508" s="1"/>
      </tp>
      <tp t="s">
        <v>N/A</v>
        <stp/>
        <stp>DELTA</stp>
        <stp>.IVV201120P362</stp>
        <tr r="M329" s="1"/>
      </tp>
      <tp t="s">
        <v>N/A</v>
        <stp/>
        <stp>DELTA</stp>
        <stp>.IVV201120C362</stp>
        <tr r="M328" s="1"/>
      </tp>
      <tp t="s">
        <v>N/A</v>
        <stp/>
        <stp>DELTA</stp>
        <stp>.IVV201120P360</stp>
        <tr r="M325" s="1"/>
      </tp>
      <tp t="s">
        <v>N/A</v>
        <stp/>
        <stp>DELTA</stp>
        <stp>.IVV201120C360</stp>
        <tr r="M324" s="1"/>
      </tp>
      <tp t="s">
        <v>N/A</v>
        <stp/>
        <stp>DELTA</stp>
        <stp>.IVV201120P361</stp>
        <tr r="M327" s="1"/>
      </tp>
      <tp t="s">
        <v>N/A</v>
        <stp/>
        <stp>DELTA</stp>
        <stp>.IVV201120C361</stp>
        <tr r="M326" s="1"/>
      </tp>
      <tp t="s">
        <v>N/A</v>
        <stp/>
        <stp>DELTA</stp>
        <stp>.IVV201120P358</stp>
        <tr r="M321" s="1"/>
      </tp>
      <tp t="s">
        <v>N/A</v>
        <stp/>
        <stp>DELTA</stp>
        <stp>.IVV201120C358</stp>
        <tr r="M320" s="1"/>
      </tp>
      <tp t="s">
        <v>N/A</v>
        <stp/>
        <stp>DELTA</stp>
        <stp>.IVV201120P359</stp>
        <tr r="M323" s="1"/>
      </tp>
      <tp t="s">
        <v>N/A</v>
        <stp/>
        <stp>DELTA</stp>
        <stp>.IVV201120C359</stp>
        <tr r="M322" s="1"/>
      </tp>
      <tp t="s">
        <v>N/A</v>
        <stp/>
        <stp>DELTA</stp>
        <stp>.IVV201120P356</stp>
        <tr r="M315" s="1"/>
      </tp>
      <tp t="s">
        <v>N/A</v>
        <stp/>
        <stp>DELTA</stp>
        <stp>.IVV201120C356</stp>
        <tr r="M314" s="1"/>
      </tp>
      <tp t="s">
        <v>N/A</v>
        <stp/>
        <stp>DELTA</stp>
        <stp>.IVV201120P357</stp>
        <tr r="M317" s="1"/>
      </tp>
      <tp t="s">
        <v>N/A</v>
        <stp/>
        <stp>DELTA</stp>
        <stp>.IVV201120C357</stp>
        <tr r="M316" s="1"/>
      </tp>
      <tp t="s">
        <v>N/A</v>
        <stp/>
        <stp>DELTA</stp>
        <stp>.IVV201120P354</stp>
        <tr r="M311" s="1"/>
      </tp>
      <tp t="s">
        <v>N/A</v>
        <stp/>
        <stp>DELTA</stp>
        <stp>.IVV201120C354</stp>
        <tr r="M310" s="1"/>
      </tp>
      <tp t="s">
        <v>N/A</v>
        <stp/>
        <stp>DELTA</stp>
        <stp>.IVV201120P355</stp>
        <tr r="M313" s="1"/>
      </tp>
      <tp t="s">
        <v>N/A</v>
        <stp/>
        <stp>DELTA</stp>
        <stp>.IVV201120C355</stp>
        <tr r="M312" s="1"/>
      </tp>
      <tp t="s">
        <v>N/A</v>
        <stp/>
        <stp>DELTA</stp>
        <stp>.TLT201120C156</stp>
        <tr r="M694" s="1"/>
      </tp>
      <tp t="s">
        <v>N/A</v>
        <stp/>
        <stp>DELTA</stp>
        <stp>.TLT201120P156</stp>
        <tr r="M695" s="1"/>
      </tp>
      <tp t="s">
        <v>N/A</v>
        <stp/>
        <stp>DELTA</stp>
        <stp>.TLT201120C155</stp>
        <tr r="M690" s="1"/>
      </tp>
      <tp t="s">
        <v>N/A</v>
        <stp/>
        <stp>DELTA</stp>
        <stp>.TLT201120P155</stp>
        <tr r="M691" s="1"/>
      </tp>
      <tp>
        <v>14.14</v>
        <stp/>
        <stp>ASK</stp>
        <stp>SDS</stp>
        <tr r="I537" s="1"/>
      </tp>
      <tp t="s">
        <v>N/A</v>
        <stp/>
        <stp>DESCRIPTION</stp>
        <stp>MUB</stp>
        <tr r="B435" s="1"/>
      </tp>
      <tp>
        <v>11.99</v>
        <stp/>
        <stp>BID</stp>
        <stp>PXH</stp>
        <tr r="H457" s="1"/>
      </tp>
      <tp>
        <v>64.88</v>
        <stp/>
        <stp>ASK</stp>
        <stp>SCZ</stp>
        <tr r="I534" s="1"/>
      </tp>
      <tp>
        <v>195.3</v>
        <stp/>
        <stp>ASK</stp>
        <stp>SMH</stp>
        <tr r="I551" s="1"/>
      </tp>
      <tp>
        <v>86.4</v>
        <stp/>
        <stp>ASK</stp>
        <stp>SHY</stp>
        <tr r="I545" s="1"/>
      </tp>
      <tp t="s">
        <v>N/A</v>
        <stp/>
        <stp>DESCRIPTION</stp>
        <stp>MDY</stp>
        <tr r="B414" s="1"/>
      </tp>
      <tp>
        <v>354</v>
        <stp/>
        <stp>ASK</stp>
        <stp>SPY</stp>
        <tr r="I590" s="1"/>
      </tp>
      <tp>
        <v>80.959999999999994</v>
        <stp/>
        <stp>ASK</stp>
        <stp>SSO</stp>
        <tr r="I642" s="1"/>
      </tp>
      <tp>
        <v>14.94</v>
        <stp/>
        <stp>BID</stp>
        <stp>PGX</stp>
        <tr r="H454" s="1"/>
      </tp>
      <tp t="s">
        <v>N/A</v>
        <stp/>
        <stp>THETA</stp>
        <stp>.ARKK201120C100</stp>
        <tr r="O32" s="1"/>
      </tp>
      <tp t="s">
        <v>N/A</v>
        <stp/>
        <stp>THETA</stp>
        <stp>.ARKK201120P100</stp>
        <tr r="O33" s="1"/>
      </tp>
      <tp>
        <v>74.709999999999994</v>
        <stp/>
        <stp>BID</stp>
        <stp>KWEB</stp>
        <tr r="H397" s="1"/>
      </tp>
      <tp>
        <v>35</v>
        <stp/>
        <stp>ASK</stp>
        <stp>EMLC</stp>
        <tr r="I114" s="1"/>
      </tp>
      <tp>
        <v>22.45</v>
        <stp/>
        <stp>ASK</stp>
        <stp>AMLP</stp>
        <tr r="I18" s="1"/>
      </tp>
      <tp>
        <v>0.8</v>
        <stp/>
        <stp>LAST</stp>
        <stp>.JETS201120P19.5</stp>
        <tr r="E377" s="1"/>
      </tp>
      <tp>
        <v>0.53</v>
        <stp/>
        <stp>LAST</stp>
        <stp>.JETS201120C19.5</stp>
        <tr r="E376" s="1"/>
      </tp>
      <tp t="s">
        <v>N/A</v>
        <stp/>
        <stp>HIGH</stp>
        <stp>.IGV201120P315</stp>
        <tr r="J266" s="1"/>
      </tp>
      <tp t="s">
        <v>N/A</v>
        <stp/>
        <stp>HIGH</stp>
        <stp>.IGV201120C315</stp>
        <tr r="J265" s="1"/>
      </tp>
      <tp t="s">
        <v>N/A</v>
        <stp/>
        <stp>VEGA</stp>
        <stp>.SMH201120P194.5</stp>
        <tr r="P561" s="1"/>
      </tp>
      <tp t="s">
        <v>N/A</v>
        <stp/>
        <stp>HIGH</stp>
        <stp>.IGV201120P325</stp>
        <tr r="J270" s="1"/>
      </tp>
      <tp t="s">
        <v>N/A</v>
        <stp/>
        <stp>HIGH</stp>
        <stp>.IGV201120C325</stp>
        <tr r="J269" s="1"/>
      </tp>
      <tp t="s">
        <v>N/A</v>
        <stp/>
        <stp>HIGH</stp>
        <stp>.IGV201120P320</stp>
        <tr r="J268" s="1"/>
      </tp>
      <tp t="s">
        <v>N/A</v>
        <stp/>
        <stp>HIGH</stp>
        <stp>.IGV201120C320</stp>
        <tr r="J267" s="1"/>
      </tp>
      <tp>
        <v>1.04</v>
        <stp/>
        <stp>LAST</stp>
        <stp>.DIA201120C297.5</stp>
        <tr r="E79" s="1"/>
      </tp>
      <tp>
        <v>0</v>
        <stp/>
        <stp>OPEN_INT</stp>
        <stp>MJ</stp>
        <tr r="G423" s="1"/>
      </tp>
      <tp t="s">
        <v>N/A</v>
        <stp/>
        <stp>IMPL_VOL</stp>
        <stp>.MJ201120C13</stp>
        <tr r="D424" s="1"/>
      </tp>
      <tp>
        <v>1.39</v>
        <stp/>
        <stp>HIGH</stp>
        <stp>.TLT201120P156</stp>
        <tr r="J695" s="1"/>
      </tp>
      <tp>
        <v>2.81</v>
        <stp/>
        <stp>HIGH</stp>
        <stp>.TLT201120C156</stp>
        <tr r="J694" s="1"/>
      </tp>
      <tp>
        <v>0.73</v>
        <stp/>
        <stp>HIGH</stp>
        <stp>.TLT201120P155</stp>
        <tr r="J691" s="1"/>
      </tp>
      <tp>
        <v>3.6</v>
        <stp/>
        <stp>HIGH</stp>
        <stp>.TLT201120C155</stp>
        <tr r="J690" s="1"/>
      </tp>
      <tp>
        <v>0</v>
        <stp/>
        <stp>HIGH</stp>
        <stp>.IVV201120C357</stp>
        <tr r="J316" s="1"/>
      </tp>
      <tp>
        <v>0</v>
        <stp/>
        <stp>HIGH</stp>
        <stp>.IVV201120P357</stp>
        <tr r="J317" s="1"/>
      </tp>
      <tp>
        <v>0</v>
        <stp/>
        <stp>HIGH</stp>
        <stp>.IVV201120C356</stp>
        <tr r="J314" s="1"/>
      </tp>
      <tp>
        <v>0</v>
        <stp/>
        <stp>HIGH</stp>
        <stp>.IVV201120P356</stp>
        <tr r="J315" s="1"/>
      </tp>
      <tp>
        <v>4.2</v>
        <stp/>
        <stp>HIGH</stp>
        <stp>.IVV201120C355</stp>
        <tr r="J312" s="1"/>
      </tp>
      <tp>
        <v>5.3</v>
        <stp/>
        <stp>HIGH</stp>
        <stp>.IVV201120P355</stp>
        <tr r="J313" s="1"/>
      </tp>
      <tp>
        <v>0</v>
        <stp/>
        <stp>HIGH</stp>
        <stp>.IVV201120C354</stp>
        <tr r="J310" s="1"/>
      </tp>
      <tp>
        <v>0</v>
        <stp/>
        <stp>HIGH</stp>
        <stp>.IVV201120P354</stp>
        <tr r="J311" s="1"/>
      </tp>
      <tp>
        <v>2.91</v>
        <stp/>
        <stp>HIGH</stp>
        <stp>.IVV201120C359</stp>
        <tr r="J322" s="1"/>
      </tp>
      <tp>
        <v>0</v>
        <stp/>
        <stp>HIGH</stp>
        <stp>.IVV201120P359</stp>
        <tr r="J323" s="1"/>
      </tp>
      <tp>
        <v>0</v>
        <stp/>
        <stp>HIGH</stp>
        <stp>.IVV201120C358</stp>
        <tr r="J320" s="1"/>
      </tp>
      <tp>
        <v>0</v>
        <stp/>
        <stp>HIGH</stp>
        <stp>.IVV201120P358</stp>
        <tr r="J321" s="1"/>
      </tp>
      <tp>
        <v>0</v>
        <stp/>
        <stp>HIGH</stp>
        <stp>.IVV201120C362</stp>
        <tr r="J328" s="1"/>
      </tp>
      <tp>
        <v>0</v>
        <stp/>
        <stp>HIGH</stp>
        <stp>.IVV201120P362</stp>
        <tr r="J329" s="1"/>
      </tp>
      <tp>
        <v>0</v>
        <stp/>
        <stp>HIGH</stp>
        <stp>.IVV201120C361</stp>
        <tr r="J326" s="1"/>
      </tp>
      <tp>
        <v>0</v>
        <stp/>
        <stp>HIGH</stp>
        <stp>.IVV201120P361</stp>
        <tr r="J327" s="1"/>
      </tp>
      <tp>
        <v>0</v>
        <stp/>
        <stp>HIGH</stp>
        <stp>.IVV201120C360</stp>
        <tr r="J324" s="1"/>
      </tp>
      <tp>
        <v>0</v>
        <stp/>
        <stp>HIGH</stp>
        <stp>.IVV201120P360</stp>
        <tr r="J325" s="1"/>
      </tp>
      <tp t="s">
        <v>N/A</v>
        <stp/>
        <stp>VEGA</stp>
        <stp>.IVW201120P61.25</stp>
        <tr r="P332" s="1"/>
      </tp>
      <tp>
        <v>1.0109999999999999</v>
        <stp/>
        <stp>PUT_CALL_RATIO</stp>
        <stp>FXI</stp>
        <tr r="C188" s="1"/>
      </tp>
      <tp t="s">
        <v>N/A</v>
        <stp/>
        <stp>PROB_OF_TOUCHING</stp>
        <stp>.SH201120P19</stp>
        <tr r="V544" s="1"/>
      </tp>
      <tp>
        <v>2.97</v>
        <stp/>
        <stp>HIGH</stp>
        <stp>.SMH201120P194.5</stp>
        <tr r="J561" s="1"/>
      </tp>
      <tp>
        <v>1</v>
        <stp/>
        <stp>PUT_CALL_RATIO</stp>
        <stp>FVD</stp>
        <tr r="C185" s="1"/>
      </tp>
      <tp t="s">
        <v>N/A</v>
        <stp/>
        <stp>LAST</stp>
        <stp>.RSP201120P118</stp>
        <tr r="E507" s="1"/>
      </tp>
      <tp t="s">
        <v>N/A</v>
        <stp/>
        <stp>LAST</stp>
        <stp>.RSP201120C118</stp>
        <tr r="E506" s="1"/>
      </tp>
      <tp t="s">
        <v>N/A</v>
        <stp/>
        <stp>LAST</stp>
        <stp>.RSP201120P119</stp>
        <tr r="E509" s="1"/>
      </tp>
      <tp t="s">
        <v>N/A</v>
        <stp/>
        <stp>LAST</stp>
        <stp>.RSP201120C119</stp>
        <tr r="E508" s="1"/>
      </tp>
      <tp t="s">
        <v>N/A</v>
        <stp/>
        <stp>LAST</stp>
        <stp>.RSP201120P120</stp>
        <tr r="E511" s="1"/>
      </tp>
      <tp>
        <v>1.35</v>
        <stp/>
        <stp>LAST</stp>
        <stp>.RSP201120C120</stp>
        <tr r="E510" s="1"/>
      </tp>
      <tp>
        <v>0.4</v>
        <stp/>
        <stp>LAST</stp>
        <stp>.TIP201120C125</stp>
        <tr r="E687" s="1"/>
      </tp>
      <tp t="s">
        <v>N/A</v>
        <stp/>
        <stp>LAST</stp>
        <stp>.TIP201120P125</stp>
        <tr r="E688" s="1"/>
      </tp>
      <tp>
        <v>4.45</v>
        <stp/>
        <stp>OPEN</stp>
        <stp>.SMH201120P196.5</stp>
        <tr r="L569" s="1"/>
      </tp>
      <tp>
        <v>0</v>
        <stp/>
        <stp>GAMMA</stp>
        <stp>DGRO</stp>
        <tr r="N59" s="1"/>
      </tp>
      <tp t="s">
        <v>N/A</v>
        <stp/>
        <stp>HIGH</stp>
        <stp>.IVW201120P61.25</stp>
        <tr r="J332" s="1"/>
      </tp>
      <tp>
        <v>8.1300000000000008</v>
        <stp/>
        <stp>LAST</stp>
        <stp>.DIA201120P297.5</stp>
        <tr r="E80" s="1"/>
      </tp>
      <tp t="s">
        <v>N/A</v>
        <stp/>
        <stp>VEGA</stp>
        <stp>.SMH201120C194.5</stp>
        <tr r="P560" s="1"/>
      </tp>
      <tp>
        <v>0</v>
        <stp/>
        <stp>GAMMA</stp>
        <stp>VGIT</stp>
        <tr r="N718" s="1"/>
      </tp>
      <tp>
        <v>0</v>
        <stp/>
        <stp>GAMMA</stp>
        <stp>IGIB</stp>
        <tr r="N261" s="1"/>
      </tp>
      <tp t="s">
        <v>N/A</v>
        <stp/>
        <stp>VEGA</stp>
        <stp>.IVW201120C61.25</stp>
        <tr r="P331" s="1"/>
      </tp>
      <tp t="s">
        <v>N/A</v>
        <stp/>
        <stp>PROB_OF_EXPIRING</stp>
        <stp>.VT201120P87</stp>
        <tr r="T738" s="1"/>
      </tp>
      <tp t="s">
        <v>N/A</v>
        <stp/>
        <stp>PROB_OF_EXPIRING</stp>
        <stp>.VT201120P86</stp>
        <tr r="T736" s="1"/>
      </tp>
      <tp>
        <v>0</v>
        <stp/>
        <stp>OPEN_INT</stp>
        <stp>VT</stp>
        <tr r="G734" s="1"/>
      </tp>
      <tp>
        <v>2.74</v>
        <stp/>
        <stp>HIGH</stp>
        <stp>.SMH201120C194.5</stp>
        <tr r="J560" s="1"/>
      </tp>
      <tp>
        <v>4.7290000000000001</v>
        <stp/>
        <stp>PUT_CALL_RATIO</stp>
        <stp>FEZ</stp>
        <tr r="C180" s="1"/>
      </tp>
      <tp>
        <v>0</v>
        <stp/>
        <stp>HIGH</stp>
        <stp>.IVW201120C61.25</stp>
        <tr r="J331" s="1"/>
      </tp>
      <tp>
        <v>0</v>
        <stp/>
        <stp>OPEN</stp>
        <stp>.SMH201120C196.5</stp>
        <tr r="L568" s="1"/>
      </tp>
      <tp>
        <v>0</v>
        <stp/>
        <stp>OPEN_INT</stp>
        <stp>SH</stp>
        <tr r="G542" s="1"/>
      </tp>
      <tp>
        <v>14.96</v>
        <stp/>
        <stp>ASK</stp>
        <stp>PGX</stp>
        <tr r="I454" s="1"/>
      </tp>
      <tp>
        <v>80.930000000000007</v>
        <stp/>
        <stp>BID</stp>
        <stp>SSO</stp>
        <tr r="H642" s="1"/>
      </tp>
      <tp>
        <v>353.5</v>
        <stp/>
        <stp>BID</stp>
        <stp>SPY</stp>
        <tr r="H590" s="1"/>
      </tp>
      <tp>
        <v>193.75</v>
        <stp/>
        <stp>BID</stp>
        <stp>SMH</stp>
        <tr r="H551" s="1"/>
      </tp>
      <tp>
        <v>86.12</v>
        <stp/>
        <stp>BID</stp>
        <stp>SHY</stp>
        <tr r="H545" s="1"/>
      </tp>
      <tp>
        <v>14.13</v>
        <stp/>
        <stp>BID</stp>
        <stp>SDS</stp>
        <tr r="H537" s="1"/>
      </tp>
      <tp>
        <v>19.989999999999998</v>
        <stp/>
        <stp>ASK</stp>
        <stp>PXH</stp>
        <tr r="I457" s="1"/>
      </tp>
      <tp>
        <v>58.3</v>
        <stp/>
        <stp>BID</stp>
        <stp>SCZ</stp>
        <tr r="H534" s="1"/>
      </tp>
      <tp>
        <v>0</v>
        <stp/>
        <stp>RHO</stp>
        <stp>EUFN</stp>
        <tr r="Q117" s="1"/>
      </tp>
      <tp>
        <v>0</v>
        <stp/>
        <stp>VEGA</stp>
        <stp>XOP</stp>
        <tr r="P889" s="1"/>
      </tp>
      <tp>
        <v>0</v>
        <stp/>
        <stp>VEGA</stp>
        <stp>XLC</stp>
        <tr r="P796" s="1"/>
      </tp>
      <tp>
        <v>0</v>
        <stp/>
        <stp>VEGA</stp>
        <stp>XLB</stp>
        <tr r="P787" s="1"/>
      </tp>
      <tp>
        <v>0</v>
        <stp/>
        <stp>VEGA</stp>
        <stp>XLF</stp>
        <tr r="P810" s="1"/>
      </tp>
      <tp>
        <v>0</v>
        <stp/>
        <stp>VEGA</stp>
        <stp>XLE</stp>
        <tr r="P803" s="1"/>
      </tp>
      <tp>
        <v>0</v>
        <stp/>
        <stp>VEGA</stp>
        <stp>XLK</stp>
        <tr r="P824" s="1"/>
      </tp>
      <tp>
        <v>0</v>
        <stp/>
        <stp>VEGA</stp>
        <stp>XLI</stp>
        <tr r="P813" s="1"/>
      </tp>
      <tp>
        <v>0</v>
        <stp/>
        <stp>VEGA</stp>
        <stp>XLP</stp>
        <tr r="P841" s="1"/>
      </tp>
      <tp>
        <v>0</v>
        <stp/>
        <stp>VEGA</stp>
        <stp>XLV</stp>
        <tr r="P856" s="1"/>
      </tp>
      <tp>
        <v>0</v>
        <stp/>
        <stp>VEGA</stp>
        <stp>XLU</stp>
        <tr r="P849" s="1"/>
      </tp>
      <tp>
        <v>0</v>
        <stp/>
        <stp>VEGA</stp>
        <stp>XLY</stp>
        <tr r="P867" s="1"/>
      </tp>
      <tp>
        <v>158.4</v>
        <stp/>
        <stp>HIGH</stp>
        <stp>TLT</stp>
        <tr r="J689" s="1"/>
      </tp>
      <tp>
        <v>78.650000000000006</v>
        <stp/>
        <stp>BID</stp>
        <stp>ITOT</stp>
        <tr r="H297" s="1"/>
      </tp>
      <tp>
        <v>0</v>
        <stp/>
        <stp>VEGA</stp>
        <stp>XME</stp>
        <tr r="P884" s="1"/>
      </tp>
      <tp>
        <v>0</v>
        <stp/>
        <stp>VEGA</stp>
        <stp>XHB</stp>
        <tr r="P780" s="1"/>
      </tp>
      <tp>
        <v>45</v>
        <stp/>
        <stp>ASK</stp>
        <stp>INDA</stp>
        <tr r="I280" s="1"/>
      </tp>
      <tp>
        <v>4294.67</v>
        <stp/>
        <stp>ASK</stp>
        <stp>INDY</stp>
        <tr r="I285" s="1"/>
      </tp>
      <tp>
        <v>125.35</v>
        <stp/>
        <stp>HIGH</stp>
        <stp>TIP</stp>
        <tr r="J686" s="1"/>
      </tp>
      <tp>
        <v>0</v>
        <stp/>
        <stp>RHO</stp>
        <stp>QUAL</stp>
        <tr r="Q498" s="1"/>
      </tp>
      <tp>
        <v>382.1</v>
        <stp/>
        <stp>OPEN</stp>
        <stp>MDY</stp>
        <tr r="L414" s="1"/>
      </tp>
      <tp>
        <v>35.664999999999999</v>
        <stp/>
        <stp>LOW</stp>
        <stp>SRVR</stp>
        <tr r="K637" s="1"/>
      </tp>
      <tp>
        <v>0</v>
        <stp/>
        <stp>VEGA</stp>
        <stp>XBI</stp>
        <tr r="P763" s="1"/>
      </tp>
      <tp>
        <v>15.92</v>
        <stp/>
        <stp>HIGH</stp>
        <stp>TBF</stp>
        <tr r="J680" s="1"/>
      </tp>
      <tp>
        <v>16.82</v>
        <stp/>
        <stp>HIGH</stp>
        <stp>TBT</stp>
        <tr r="J683" s="1"/>
      </tp>
      <tp>
        <v>76.13</v>
        <stp/>
        <stp>HIGH</stp>
        <stp>TAN</stp>
        <tr r="J659" s="1"/>
      </tp>
      <tp>
        <v>0</v>
        <stp/>
        <stp>RHO</stp>
        <stp>GUSH</stp>
        <tr r="Q213" s="1"/>
      </tp>
      <tp>
        <v>98.32</v>
        <stp/>
        <stp>LOW</stp>
        <stp>ARKK</stp>
        <tr r="K25" s="1"/>
      </tp>
      <tp>
        <v>117.5401</v>
        <stp/>
        <stp>LOW</stp>
        <stp>ARKW</stp>
        <tr r="K34" s="1"/>
      </tp>
      <tp>
        <v>45.35</v>
        <stp/>
        <stp>LOW</stp>
        <stp>DRIP</stp>
        <tr r="K81" s="1"/>
      </tp>
      <tp>
        <v>141.5</v>
        <stp/>
        <stp>BID</stp>
        <stp>MTUM</stp>
        <tr r="H426" s="1"/>
      </tp>
      <tp>
        <v>115.89</v>
        <stp/>
        <stp>OPEN</stp>
        <stp>MUB</stp>
        <tr r="L435" s="1"/>
      </tp>
      <tp>
        <v>0</v>
        <stp/>
        <stp>VEGA</stp>
        <stp>XRT</stp>
        <tr r="P902" s="1"/>
      </tp>
      <tp t="s">
        <v>N/A</v>
        <stp/>
        <stp>VEGA</stp>
        <stp>.SMH201120P197.5</stp>
        <tr r="P573" s="1"/>
      </tp>
      <tp>
        <v>7.03</v>
        <stp/>
        <stp>OPEN</stp>
        <stp>.QQQ201120C287.5</stp>
        <tr r="L480" s="1"/>
      </tp>
      <tp t="s">
        <v>N/A</v>
        <stp/>
        <stp>PROB_OF_TOUCHING</stp>
        <stp>MJ</stp>
        <tr r="V423" s="1"/>
      </tp>
      <tp t="s">
        <v>N/A</v>
        <stp/>
        <stp>VEGA</stp>
        <stp>.VTI201120C181</stp>
        <tr r="P740" s="1"/>
      </tp>
      <tp t="s">
        <v>N/A</v>
        <stp/>
        <stp>VEGA</stp>
        <stp>.VTI201120P181</stp>
        <tr r="P741" s="1"/>
      </tp>
      <tp t="s">
        <v>N/A</v>
        <stp/>
        <stp>VEGA</stp>
        <stp>.VTI201120C182</stp>
        <tr r="P742" s="1"/>
      </tp>
      <tp t="s">
        <v>N/A</v>
        <stp/>
        <stp>VEGA</stp>
        <stp>.VTI201120P182</stp>
        <tr r="P743" s="1"/>
      </tp>
      <tp t="s">
        <v>N/A</v>
        <stp/>
        <stp>VEGA</stp>
        <stp>.VTI201120C183</stp>
        <tr r="P744" s="1"/>
      </tp>
      <tp t="s">
        <v>N/A</v>
        <stp/>
        <stp>VEGA</stp>
        <stp>.VTI201120P183</stp>
        <tr r="P745" s="1"/>
      </tp>
      <tp t="s">
        <v>N/A</v>
        <stp/>
        <stp>VEGA</stp>
        <stp>.VTI201120C184</stp>
        <tr r="P746" s="1"/>
      </tp>
      <tp t="s">
        <v>N/A</v>
        <stp/>
        <stp>VEGA</stp>
        <stp>.VTI201120P184</stp>
        <tr r="P747" s="1"/>
      </tp>
      <tp>
        <v>0.182</v>
        <stp/>
        <stp>PUT_CALL_RATIO</stp>
        <stp>EZU</stp>
        <tr r="C177" s="1"/>
      </tp>
      <tp>
        <v>0</v>
        <stp/>
        <stp>GAMMA</stp>
        <stp>GDXJ</stp>
        <tr r="N202" s="1"/>
      </tp>
      <tp>
        <v>3.39</v>
        <stp/>
        <stp>HIGH</stp>
        <stp>.SPY201120C357.5</stp>
        <tr r="J619" s="1"/>
      </tp>
      <tp t="s">
        <v>N/A</v>
        <stp/>
        <stp>LAST</stp>
        <stp>.IBB201120C139.5</stp>
        <tr r="E235" s="1"/>
      </tp>
      <tp>
        <v>5</v>
        <stp/>
        <stp>HIGH</stp>
        <stp>.SMH201120P197.5</stp>
        <tr r="J573" s="1"/>
      </tp>
      <tp>
        <v>1.603</v>
        <stp/>
        <stp>PUT_CALL_RATIO</stp>
        <stp>EWZ</stp>
        <tr r="C172" s="1"/>
      </tp>
      <tp>
        <v>0.20899999999999999</v>
        <stp/>
        <stp>PUT_CALL_RATIO</stp>
        <stp>EWY</stp>
        <tr r="C161" s="1"/>
      </tp>
      <tp>
        <v>0.497</v>
        <stp/>
        <stp>PUT_CALL_RATIO</stp>
        <stp>EWW</stp>
        <tr r="C154" s="1"/>
      </tp>
      <tp>
        <v>0.6</v>
        <stp/>
        <stp>PUT_CALL_RATIO</stp>
        <stp>EWT</stp>
        <tr r="C148" s="1"/>
      </tp>
      <tp>
        <v>0.191</v>
        <stp/>
        <stp>PUT_CALL_RATIO</stp>
        <stp>EWU</stp>
        <tr r="C151" s="1"/>
      </tp>
      <tp>
        <v>30.4</v>
        <stp/>
        <stp>PUT_CALL_RATIO</stp>
        <stp>EWP</stp>
        <tr r="C145" s="1"/>
      </tp>
      <tp>
        <v>2.5</v>
        <stp/>
        <stp>PUT_CALL_RATIO</stp>
        <stp>EWL</stp>
        <tr r="C142" s="1"/>
      </tp>
      <tp>
        <v>0.128</v>
        <stp/>
        <stp>PUT_CALL_RATIO</stp>
        <stp>EWJ</stp>
        <tr r="C135" s="1"/>
      </tp>
      <tp>
        <v>2.5</v>
        <stp/>
        <stp>PUT_CALL_RATIO</stp>
        <stp>EWH</stp>
        <tr r="C129" s="1"/>
      </tp>
      <tp>
        <v>26</v>
        <stp/>
        <stp>PUT_CALL_RATIO</stp>
        <stp>EWI</stp>
        <tr r="C132" s="1"/>
      </tp>
      <tp>
        <v>24.709</v>
        <stp/>
        <stp>PUT_CALL_RATIO</stp>
        <stp>EWG</stp>
        <tr r="C126" s="1"/>
      </tp>
      <tp>
        <v>312.58300000000003</v>
        <stp/>
        <stp>PUT_CALL_RATIO</stp>
        <stp>EWC</stp>
        <tr r="C123" s="1"/>
      </tp>
      <tp>
        <v>7.6999999999999999E-2</v>
        <stp/>
        <stp>PUT_CALL_RATIO</stp>
        <stp>EWA</stp>
        <tr r="C120" s="1"/>
      </tp>
      <tp t="s">
        <v>N/A</v>
        <stp/>
        <stp>VEGA</stp>
        <stp>.XBI201120P124</stp>
        <tr r="P773" s="1"/>
      </tp>
      <tp t="s">
        <v>N/A</v>
        <stp/>
        <stp>VEGA</stp>
        <stp>.XBI201120C124</stp>
        <tr r="P772" s="1"/>
      </tp>
      <tp t="s">
        <v>N/A</v>
        <stp/>
        <stp>VEGA</stp>
        <stp>.XBI201120P125</stp>
        <tr r="P777" s="1"/>
      </tp>
      <tp t="s">
        <v>N/A</v>
        <stp/>
        <stp>VEGA</stp>
        <stp>.XBI201120C125</stp>
        <tr r="P776" s="1"/>
      </tp>
      <tp t="s">
        <v>N/A</v>
        <stp/>
        <stp>VEGA</stp>
        <stp>.XBI201120P122</stp>
        <tr r="P765" s="1"/>
      </tp>
      <tp t="s">
        <v>N/A</v>
        <stp/>
        <stp>VEGA</stp>
        <stp>.XBI201120C122</stp>
        <tr r="P764" s="1"/>
      </tp>
      <tp t="s">
        <v>N/A</v>
        <stp/>
        <stp>VEGA</stp>
        <stp>.XBI201120P123</stp>
        <tr r="P769" s="1"/>
      </tp>
      <tp t="s">
        <v>N/A</v>
        <stp/>
        <stp>VEGA</stp>
        <stp>.XBI201120C123</stp>
        <tr r="P768" s="1"/>
      </tp>
      <tp>
        <v>3.43</v>
        <stp/>
        <stp>OPEN</stp>
        <stp>.SMH201120P195.5</stp>
        <tr r="L565" s="1"/>
      </tp>
      <tp>
        <v>0.19</v>
        <stp/>
        <stp>VEGA</stp>
        <stp>.SPY201120C357.5</stp>
        <tr r="P619" s="1"/>
      </tp>
      <tp t="s">
        <v>N/A</v>
        <stp/>
        <stp>LAST</stp>
        <stp>.IEF201120C119.5</stp>
        <tr r="E249" s="1"/>
      </tp>
      <tp t="s">
        <v>N/A</v>
        <stp/>
        <stp>VEGA</stp>
        <stp>.SMH201120C197.5</stp>
        <tr r="P572" s="1"/>
      </tp>
      <tp>
        <v>3.54</v>
        <stp/>
        <stp>OPEN</stp>
        <stp>.QQQ201120P287.5</stp>
        <tr r="L481" s="1"/>
      </tp>
      <tp>
        <v>0.39400000000000002</v>
        <stp/>
        <stp>PUT_CALL_RATIO</stp>
        <stp>EMB</stp>
        <tr r="C111" s="1"/>
      </tp>
      <tp>
        <v>7.92</v>
        <stp/>
        <stp>HIGH</stp>
        <stp>.SPY201120P357.5</stp>
        <tr r="J620" s="1"/>
      </tp>
      <tp t="s">
        <v>N/A</v>
        <stp/>
        <stp>OPEN</stp>
        <stp>.RSP201120C118</stp>
        <tr r="L506" s="1"/>
      </tp>
      <tp t="s">
        <v>N/A</v>
        <stp/>
        <stp>OPEN</stp>
        <stp>.RSP201120P118</stp>
        <tr r="L507" s="1"/>
      </tp>
      <tp t="s">
        <v>N/A</v>
        <stp/>
        <stp>OPEN</stp>
        <stp>.RSP201120C119</stp>
        <tr r="L508" s="1"/>
      </tp>
      <tp t="s">
        <v>N/A</v>
        <stp/>
        <stp>OPEN</stp>
        <stp>.RSP201120P119</stp>
        <tr r="L509" s="1"/>
      </tp>
      <tp>
        <v>3.3330000000000002</v>
        <stp/>
        <stp>PUT_CALL_RATIO</stp>
        <stp>EFV</stp>
        <tr r="C108" s="1"/>
      </tp>
      <tp>
        <v>3.0129999999999999</v>
        <stp/>
        <stp>PUT_CALL_RATIO</stp>
        <stp>EFA</stp>
        <tr r="C101" s="1"/>
      </tp>
      <tp t="s">
        <v>N/A</v>
        <stp/>
        <stp>PROB_OF_TOUCHING</stp>
        <stp>VT</stp>
        <tr r="V734" s="1"/>
      </tp>
      <tp t="s">
        <v>N/A</v>
        <stp/>
        <stp>OPEN</stp>
        <stp>.TIP201120P125</stp>
        <tr r="L688" s="1"/>
      </tp>
      <tp>
        <v>0</v>
        <stp/>
        <stp>OPEN</stp>
        <stp>.TIP201120C125</stp>
        <tr r="L687" s="1"/>
      </tp>
      <tp>
        <v>0</v>
        <stp/>
        <stp>OPEN</stp>
        <stp>.RSP201120C120</stp>
        <tr r="L510" s="1"/>
      </tp>
      <tp t="s">
        <v>N/A</v>
        <stp/>
        <stp>OPEN</stp>
        <stp>.RSP201120P120</stp>
        <tr r="L511" s="1"/>
      </tp>
      <tp>
        <v>2.2999999999999998</v>
        <stp/>
        <stp>LAST</stp>
        <stp>.IBB201120P139.5</stp>
        <tr r="E236" s="1"/>
      </tp>
      <tp>
        <v>2.9</v>
        <stp/>
        <stp>HIGH</stp>
        <stp>.SMH201120C197.5</stp>
        <tr r="J572" s="1"/>
      </tp>
      <tp>
        <v>1.8320000000000001</v>
        <stp/>
        <stp>PUT_CALL_RATIO</stp>
        <stp>EEM</stp>
        <tr r="C94" s="1"/>
      </tp>
      <tp>
        <v>0.19</v>
        <stp/>
        <stp>VEGA</stp>
        <stp>.SPY201120P357.5</stp>
        <tr r="P620" s="1"/>
      </tp>
      <tp t="s">
        <v>N/A</v>
        <stp/>
        <stp>LAST</stp>
        <stp>.IEF201120P119.5</stp>
        <tr r="E250" s="1"/>
      </tp>
      <tp>
        <v>3.35</v>
        <stp/>
        <stp>OPEN</stp>
        <stp>.SMH201120C195.5</stp>
        <tr r="L564" s="1"/>
      </tp>
      <tp>
        <v>0</v>
        <stp/>
        <stp>GAMMA</stp>
        <stp>PDBC</stp>
        <tr r="N451" s="1"/>
      </tp>
      <tp t="s">
        <v>N/A</v>
        <stp/>
        <stp>PROB_OF_TOUCHING</stp>
        <stp>SH</stp>
        <tr r="V542" s="1"/>
      </tp>
      <tp t="s">
        <v>N/A</v>
        <stp/>
        <stp>GAMMA</stp>
        <stp>.QQQ201120P289</stp>
        <tr r="N485" s="1"/>
      </tp>
      <tp t="s">
        <v>N/A</v>
        <stp/>
        <stp>GAMMA</stp>
        <stp>.QQQ201120C289</stp>
        <tr r="N484" s="1"/>
      </tp>
      <tp t="s">
        <v>N/A</v>
        <stp/>
        <stp>GAMMA</stp>
        <stp>.QQQ201120P288</stp>
        <tr r="N483" s="1"/>
      </tp>
      <tp t="s">
        <v>N/A</v>
        <stp/>
        <stp>GAMMA</stp>
        <stp>.QQQ201120C288</stp>
        <tr r="N482" s="1"/>
      </tp>
      <tp t="s">
        <v>N/A</v>
        <stp/>
        <stp>GAMMA</stp>
        <stp>.QQQ201120P287</stp>
        <tr r="N479" s="1"/>
      </tp>
      <tp t="s">
        <v>N/A</v>
        <stp/>
        <stp>GAMMA</stp>
        <stp>.QQQ201120C287</stp>
        <tr r="N478" s="1"/>
      </tp>
      <tp t="s">
        <v>N/A</v>
        <stp/>
        <stp>GAMMA</stp>
        <stp>.QQQ201120P286</stp>
        <tr r="N477" s="1"/>
      </tp>
      <tp t="s">
        <v>N/A</v>
        <stp/>
        <stp>GAMMA</stp>
        <stp>.QQQ201120C286</stp>
        <tr r="N476" s="1"/>
      </tp>
      <tp t="s">
        <v>N/A</v>
        <stp/>
        <stp>GAMMA</stp>
        <stp>.QQQ201120P294</stp>
        <tr r="N497" s="1"/>
      </tp>
      <tp t="s">
        <v>N/A</v>
        <stp/>
        <stp>GAMMA</stp>
        <stp>.QQQ201120C294</stp>
        <tr r="N496" s="1"/>
      </tp>
      <tp t="s">
        <v>N/A</v>
        <stp/>
        <stp>GAMMA</stp>
        <stp>.QQQ201120P293</stp>
        <tr r="N495" s="1"/>
      </tp>
      <tp t="s">
        <v>N/A</v>
        <stp/>
        <stp>GAMMA</stp>
        <stp>.QQQ201120C293</stp>
        <tr r="N494" s="1"/>
      </tp>
      <tp t="s">
        <v>N/A</v>
        <stp/>
        <stp>GAMMA</stp>
        <stp>.QQQ201120P292</stp>
        <tr r="N491" s="1"/>
      </tp>
      <tp t="s">
        <v>N/A</v>
        <stp/>
        <stp>GAMMA</stp>
        <stp>.QQQ201120C292</stp>
        <tr r="N490" s="1"/>
      </tp>
      <tp t="s">
        <v>N/A</v>
        <stp/>
        <stp>GAMMA</stp>
        <stp>.QQQ201120P291</stp>
        <tr r="N489" s="1"/>
      </tp>
      <tp t="s">
        <v>N/A</v>
        <stp/>
        <stp>GAMMA</stp>
        <stp>.QQQ201120C291</stp>
        <tr r="N488" s="1"/>
      </tp>
      <tp t="s">
        <v>N/A</v>
        <stp/>
        <stp>GAMMA</stp>
        <stp>.QQQ201120P290</stp>
        <tr r="N487" s="1"/>
      </tp>
      <tp t="s">
        <v>N/A</v>
        <stp/>
        <stp>GAMMA</stp>
        <stp>.QQQ201120C290</stp>
        <tr r="N486" s="1"/>
      </tp>
      <tp>
        <v>-0.25</v>
        <stp/>
        <stp>THETA</stp>
        <stp>.SPY201118C358</stp>
        <tr r="O601" s="1"/>
      </tp>
      <tp>
        <v>-0.2</v>
        <stp/>
        <stp>THETA</stp>
        <stp>.SPY201120C360</stp>
        <tr r="O625" s="1"/>
      </tp>
      <tp>
        <v>-0.21</v>
        <stp/>
        <stp>THETA</stp>
        <stp>.SPY201118P358</stp>
        <tr r="O602" s="1"/>
      </tp>
      <tp>
        <v>-0.17</v>
        <stp/>
        <stp>THETA</stp>
        <stp>.SPY201120P360</stp>
        <tr r="O626" s="1"/>
      </tp>
      <tp>
        <v>-0.22</v>
        <stp/>
        <stp>THETA</stp>
        <stp>.SPY201118C359</stp>
        <tr r="O603" s="1"/>
      </tp>
      <tp>
        <v>-0.18</v>
        <stp/>
        <stp>THETA</stp>
        <stp>.SPY201120C361</stp>
        <tr r="O627" s="1"/>
      </tp>
      <tp>
        <v>-0.18</v>
        <stp/>
        <stp>THETA</stp>
        <stp>.SPY201118P359</stp>
        <tr r="O604" s="1"/>
      </tp>
      <tp>
        <v>-0.15</v>
        <stp/>
        <stp>THETA</stp>
        <stp>.SPY201120P361</stp>
        <tr r="O628" s="1"/>
      </tp>
      <tp>
        <v>-0.32</v>
        <stp/>
        <stp>THETA</stp>
        <stp>.SPY201118C354</stp>
        <tr r="O593" s="1"/>
      </tp>
      <tp>
        <v>-0.3</v>
        <stp/>
        <stp>THETA</stp>
        <stp>.SPY201118P354</stp>
        <tr r="O594" s="1"/>
      </tp>
      <tp>
        <v>-0.31</v>
        <stp/>
        <stp>THETA</stp>
        <stp>.SPY201118C355</stp>
        <tr r="O595" s="1"/>
      </tp>
      <tp>
        <v>-0.28000000000000003</v>
        <stp/>
        <stp>THETA</stp>
        <stp>.SPY201118P355</stp>
        <tr r="O596" s="1"/>
      </tp>
      <tp>
        <v>-0.28999999999999998</v>
        <stp/>
        <stp>THETA</stp>
        <stp>.SPY201118C356</stp>
        <tr r="O597" s="1"/>
      </tp>
      <tp>
        <v>-0.27</v>
        <stp/>
        <stp>THETA</stp>
        <stp>.SPY201118P356</stp>
        <tr r="O598" s="1"/>
      </tp>
      <tp>
        <v>-0.27</v>
        <stp/>
        <stp>THETA</stp>
        <stp>.SPY201118C357</stp>
        <tr r="O599" s="1"/>
      </tp>
      <tp>
        <v>-0.24</v>
        <stp/>
        <stp>THETA</stp>
        <stp>.SPY201118P357</stp>
        <tr r="O600" s="1"/>
      </tp>
      <tp>
        <v>-0.33</v>
        <stp/>
        <stp>THETA</stp>
        <stp>.SPY201118C353</stp>
        <tr r="O591" s="1"/>
      </tp>
      <tp>
        <v>-0.31</v>
        <stp/>
        <stp>THETA</stp>
        <stp>.SPY201118P353</stp>
        <tr r="O592" s="1"/>
      </tp>
      <tp>
        <v>-0.28999999999999998</v>
        <stp/>
        <stp>THETA</stp>
        <stp>.SPY201120C354</stp>
        <tr r="O611" s="1"/>
      </tp>
      <tp>
        <v>-0.27</v>
        <stp/>
        <stp>THETA</stp>
        <stp>.SPY201120P354</stp>
        <tr r="O612" s="1"/>
      </tp>
      <tp>
        <v>-0.28000000000000003</v>
        <stp/>
        <stp>THETA</stp>
        <stp>.SPY201120C355</stp>
        <tr r="O613" s="1"/>
      </tp>
      <tp>
        <v>-0.26</v>
        <stp/>
        <stp>THETA</stp>
        <stp>.SPY201120P355</stp>
        <tr r="O614" s="1"/>
      </tp>
      <tp>
        <v>-0.27</v>
        <stp/>
        <stp>THETA</stp>
        <stp>.SPY201120C356</stp>
        <tr r="O615" s="1"/>
      </tp>
      <tp>
        <v>-0.25</v>
        <stp/>
        <stp>THETA</stp>
        <stp>.SPY201120P356</stp>
        <tr r="O616" s="1"/>
      </tp>
      <tp>
        <v>-0.25</v>
        <stp/>
        <stp>THETA</stp>
        <stp>.SPY201120C357</stp>
        <tr r="O617" s="1"/>
      </tp>
      <tp>
        <v>-0.24</v>
        <stp/>
        <stp>THETA</stp>
        <stp>.SPY201120P357</stp>
        <tr r="O618" s="1"/>
      </tp>
      <tp>
        <v>-0.3</v>
        <stp/>
        <stp>THETA</stp>
        <stp>.SPY201120C353</stp>
        <tr r="O609" s="1"/>
      </tp>
      <tp>
        <v>-0.28000000000000003</v>
        <stp/>
        <stp>THETA</stp>
        <stp>.SPY201120P353</stp>
        <tr r="O610" s="1"/>
      </tp>
      <tp>
        <v>-0.19</v>
        <stp/>
        <stp>THETA</stp>
        <stp>.SPY201118C360</stp>
        <tr r="O605" s="1"/>
      </tp>
      <tp>
        <v>-0.24</v>
        <stp/>
        <stp>THETA</stp>
        <stp>.SPY201120C358</stp>
        <tr r="O621" s="1"/>
      </tp>
      <tp>
        <v>-0.14000000000000001</v>
        <stp/>
        <stp>THETA</stp>
        <stp>.SPY201118P360</stp>
        <tr r="O606" s="1"/>
      </tp>
      <tp>
        <v>-0.22</v>
        <stp/>
        <stp>THETA</stp>
        <stp>.SPY201120P358</stp>
        <tr r="O622" s="1"/>
      </tp>
      <tp>
        <v>-0.22</v>
        <stp/>
        <stp>THETA</stp>
        <stp>.SPY201120C359</stp>
        <tr r="O623" s="1"/>
      </tp>
      <tp>
        <v>-0.2</v>
        <stp/>
        <stp>THETA</stp>
        <stp>.SPY201120P359</stp>
        <tr r="O624" s="1"/>
      </tp>
      <tp t="s">
        <v>N/A</v>
        <stp/>
        <stp>THETA</stp>
        <stp>.MDY201120P380</stp>
        <tr r="O416" s="1"/>
      </tp>
      <tp t="s">
        <v>N/A</v>
        <stp/>
        <stp>THETA</stp>
        <stp>.MDY201120C380</stp>
        <tr r="O415" s="1"/>
      </tp>
      <tp t="s">
        <v>N/A</v>
        <stp/>
        <stp>THETA</stp>
        <stp>.MDY201120P385</stp>
        <tr r="O420" s="1"/>
      </tp>
      <tp t="s">
        <v>N/A</v>
        <stp/>
        <stp>THETA</stp>
        <stp>.MDY201120C385</stp>
        <tr r="O419" s="1"/>
      </tp>
      <tp t="s">
        <v>N/A</v>
        <stp/>
        <stp>DELTA</stp>
        <stp>.XLV201120C112</stp>
        <tr r="M865" s="1"/>
      </tp>
      <tp t="s">
        <v>N/A</v>
        <stp/>
        <stp>DELTA</stp>
        <stp>.XLV201120P112</stp>
        <tr r="M866" s="1"/>
      </tp>
      <tp t="s">
        <v>N/A</v>
        <stp/>
        <stp>DELTA</stp>
        <stp>.XLV201120C111</stp>
        <tr r="M861" s="1"/>
      </tp>
      <tp t="s">
        <v>N/A</v>
        <stp/>
        <stp>DELTA</stp>
        <stp>.XLV201120P111</stp>
        <tr r="M862" s="1"/>
      </tp>
      <tp t="s">
        <v>N/A</v>
        <stp/>
        <stp>DELTA</stp>
        <stp>.XLV201120C110</stp>
        <tr r="M857" s="1"/>
      </tp>
      <tp t="s">
        <v>N/A</v>
        <stp/>
        <stp>DELTA</stp>
        <stp>.XLV201120P110</stp>
        <tr r="M858" s="1"/>
      </tp>
      <tp>
        <v>0</v>
        <stp/>
        <stp>RHO</stp>
        <stp>BZQ</stp>
        <tr r="Q51" s="1"/>
      </tp>
      <tp>
        <v>97.44</v>
        <stp/>
        <stp>ASK</stp>
        <stp>QLD</stp>
        <tr r="I462" s="1"/>
      </tp>
      <tp>
        <v>29.45</v>
        <stp/>
        <stp>BID</stp>
        <stp>RWM</stp>
        <tr r="H517" s="1"/>
      </tp>
      <tp>
        <v>22.05</v>
        <stp/>
        <stp>BID</stp>
        <stp>RSX</stp>
        <tr r="H512" s="1"/>
      </tp>
      <tp>
        <v>117.01</v>
        <stp/>
        <stp>BID</stp>
        <stp>RSP</stp>
        <tr r="H505" s="1"/>
      </tp>
      <tp>
        <v>289.7</v>
        <stp/>
        <stp>ASK</stp>
        <stp>QQQ</stp>
        <tr r="I475" s="1"/>
      </tp>
      <tp>
        <v>0</v>
        <stp/>
        <stp>RHO</stp>
        <stp>ITOT</stp>
        <tr r="Q297" s="1"/>
      </tp>
      <tp>
        <v>14.68</v>
        <stp/>
        <stp>BID</stp>
        <stp>EUFN</stp>
        <tr r="H117" s="1"/>
      </tp>
      <tp>
        <v>94.55</v>
        <stp/>
        <stp>BID</stp>
        <stp>QUAL</stp>
        <tr r="H498" s="1"/>
      </tp>
      <tp>
        <v>0</v>
        <stp/>
        <stp>RHO</stp>
        <stp>MTUM</stp>
        <tr r="Q426" s="1"/>
      </tp>
      <tp>
        <v>65.835700000000003</v>
        <stp/>
        <stp>LOW</stp>
        <stp>USMV</stp>
        <tr r="K698" s="1"/>
      </tp>
      <tp>
        <v>37.534999999999997</v>
        <stp/>
        <stp>LOW</stp>
        <stp>ASHR</stp>
        <tr r="K43" s="1"/>
      </tp>
      <tp>
        <v>135.18</v>
        <stp/>
        <stp>OPEN</stp>
        <stp>LQD</stp>
        <tr r="L404" s="1"/>
      </tp>
      <tp>
        <v>24.5</v>
        <stp/>
        <stp>BID</stp>
        <stp>GUSH</stp>
        <tr r="H213" s="1"/>
      </tp>
      <tp>
        <v>4.49</v>
        <stp/>
        <stp>LAST</stp>
        <stp>.QQQ201120P289</stp>
        <tr r="E485" s="1"/>
      </tp>
      <tp>
        <v>4.68</v>
        <stp/>
        <stp>LAST</stp>
        <stp>.QQQ201120C289</stp>
        <tr r="E484" s="1"/>
      </tp>
      <tp>
        <v>4.16</v>
        <stp/>
        <stp>LAST</stp>
        <stp>.QQQ201120P288</stp>
        <tr r="E483" s="1"/>
      </tp>
      <tp>
        <v>5.15</v>
        <stp/>
        <stp>LAST</stp>
        <stp>.QQQ201120C288</stp>
        <tr r="E482" s="1"/>
      </tp>
      <tp>
        <v>3.72</v>
        <stp/>
        <stp>LAST</stp>
        <stp>.QQQ201120P287</stp>
        <tr r="E479" s="1"/>
      </tp>
      <tp>
        <v>5.87</v>
        <stp/>
        <stp>LAST</stp>
        <stp>.QQQ201120C287</stp>
        <tr r="E478" s="1"/>
      </tp>
      <tp>
        <v>3.34</v>
        <stp/>
        <stp>LAST</stp>
        <stp>.QQQ201120P286</stp>
        <tr r="E477" s="1"/>
      </tp>
      <tp>
        <v>6.4</v>
        <stp/>
        <stp>LAST</stp>
        <stp>.QQQ201120C286</stp>
        <tr r="E476" s="1"/>
      </tp>
      <tp>
        <v>1.77</v>
        <stp/>
        <stp>HIGH</stp>
        <stp>.XLV201120P112</stp>
        <tr r="J866" s="1"/>
      </tp>
      <tp>
        <v>0.89</v>
        <stp/>
        <stp>HIGH</stp>
        <stp>.XLV201120C112</stp>
        <tr r="J865" s="1"/>
      </tp>
      <tp>
        <v>1.34</v>
        <stp/>
        <stp>HIGH</stp>
        <stp>.XLV201120P110</stp>
        <tr r="J858" s="1"/>
      </tp>
      <tp>
        <v>2.0499999999999998</v>
        <stp/>
        <stp>HIGH</stp>
        <stp>.XLV201120C110</stp>
        <tr r="J857" s="1"/>
      </tp>
      <tp>
        <v>1.36</v>
        <stp/>
        <stp>HIGH</stp>
        <stp>.XLV201120P111</stp>
        <tr r="J862" s="1"/>
      </tp>
      <tp>
        <v>1.43</v>
        <stp/>
        <stp>HIGH</stp>
        <stp>.XLV201120C111</stp>
        <tr r="J861" s="1"/>
      </tp>
      <tp>
        <v>6.6</v>
        <stp/>
        <stp>LAST</stp>
        <stp>.QQQ201120P293</stp>
        <tr r="E495" s="1"/>
      </tp>
      <tp>
        <v>2.67</v>
        <stp/>
        <stp>LAST</stp>
        <stp>.QQQ201120C293</stp>
        <tr r="E494" s="1"/>
      </tp>
      <tp>
        <v>5.94</v>
        <stp/>
        <stp>LAST</stp>
        <stp>.QQQ201120P292</stp>
        <tr r="E491" s="1"/>
      </tp>
      <tp>
        <v>3.12</v>
        <stp/>
        <stp>LAST</stp>
        <stp>.QQQ201120C292</stp>
        <tr r="E490" s="1"/>
      </tp>
      <tp>
        <v>5.35</v>
        <stp/>
        <stp>LAST</stp>
        <stp>.QQQ201120P291</stp>
        <tr r="E489" s="1"/>
      </tp>
      <tp>
        <v>3.55</v>
        <stp/>
        <stp>LAST</stp>
        <stp>.QQQ201120C291</stp>
        <tr r="E488" s="1"/>
      </tp>
      <tp>
        <v>5.01</v>
        <stp/>
        <stp>LAST</stp>
        <stp>.QQQ201120P290</stp>
        <tr r="E487" s="1"/>
      </tp>
      <tp>
        <v>4.08</v>
        <stp/>
        <stp>LAST</stp>
        <stp>.QQQ201120C290</stp>
        <tr r="E486" s="1"/>
      </tp>
      <tp>
        <v>7.75</v>
        <stp/>
        <stp>LAST</stp>
        <stp>.QQQ201120P294</stp>
        <tr r="E497" s="1"/>
      </tp>
      <tp>
        <v>2.09</v>
        <stp/>
        <stp>LAST</stp>
        <stp>.QQQ201120C294</stp>
        <tr r="E496" s="1"/>
      </tp>
      <tp t="s">
        <v>N/A</v>
        <stp/>
        <stp>VEGA</stp>
        <stp>.SMH201120P196.5</stp>
        <tr r="P569" s="1"/>
      </tp>
      <tp t="s">
        <v>N/A</v>
        <stp/>
        <stp>VEGA</stp>
        <stp>.SMH201120P198</stp>
        <tr r="P575" s="1"/>
      </tp>
      <tp t="s">
        <v>N/A</v>
        <stp/>
        <stp>VEGA</stp>
        <stp>.SMH201120C198</stp>
        <tr r="P574" s="1"/>
      </tp>
      <tp t="s">
        <v>N/A</v>
        <stp/>
        <stp>VEGA</stp>
        <stp>.SMH201120P195</stp>
        <tr r="P563" s="1"/>
      </tp>
      <tp t="s">
        <v>N/A</v>
        <stp/>
        <stp>VEGA</stp>
        <stp>.SMH201120C195</stp>
        <tr r="P562" s="1"/>
      </tp>
      <tp t="s">
        <v>N/A</v>
        <stp/>
        <stp>VEGA</stp>
        <stp>.SMH201120P194</stp>
        <tr r="P559" s="1"/>
      </tp>
      <tp t="s">
        <v>N/A</v>
        <stp/>
        <stp>VEGA</stp>
        <stp>.SMH201120C194</stp>
        <tr r="P558" s="1"/>
      </tp>
      <tp t="s">
        <v>N/A</v>
        <stp/>
        <stp>VEGA</stp>
        <stp>.SMH201120P197</stp>
        <tr r="P571" s="1"/>
      </tp>
      <tp t="s">
        <v>N/A</v>
        <stp/>
        <stp>VEGA</stp>
        <stp>.SMH201120C197</stp>
        <tr r="P570" s="1"/>
      </tp>
      <tp t="s">
        <v>N/A</v>
        <stp/>
        <stp>VEGA</stp>
        <stp>.SMH201120P196</stp>
        <tr r="P567" s="1"/>
      </tp>
      <tp t="s">
        <v>N/A</v>
        <stp/>
        <stp>VEGA</stp>
        <stp>.SMH201120C196</stp>
        <tr r="P566" s="1"/>
      </tp>
      <tp t="s">
        <v>N/A</v>
        <stp/>
        <stp>VEGA</stp>
        <stp>.SMH201120P193</stp>
        <tr r="P555" s="1"/>
      </tp>
      <tp t="s">
        <v>N/A</v>
        <stp/>
        <stp>VEGA</stp>
        <stp>.SMH201120C193</stp>
        <tr r="P554" s="1"/>
      </tp>
      <tp>
        <v>0.73899999999999999</v>
        <stp/>
        <stp>PUT_CALL_RATIO</stp>
        <stp>DXD</stp>
        <tr r="C91" s="1"/>
      </tp>
      <tp t="s">
        <v>N/A</v>
        <stp/>
        <stp>LAST</stp>
        <stp>.IBB201120C138.5</stp>
        <tr r="E231" s="1"/>
      </tp>
      <tp>
        <v>4.45</v>
        <stp/>
        <stp>HIGH</stp>
        <stp>.SMH201120P196.5</stp>
        <tr r="J569" s="1"/>
      </tp>
      <tp>
        <v>1.585</v>
        <stp/>
        <stp>PUT_CALL_RATIO</stp>
        <stp>DVY</stp>
        <tr r="C84" s="1"/>
      </tp>
      <tp>
        <v>0</v>
        <stp/>
        <stp>GAMMA</stp>
        <stp>JETS</stp>
        <tr r="N375" s="1"/>
      </tp>
      <tp t="s">
        <v>N/A</v>
        <stp/>
        <stp>OPEN</stp>
        <stp>.IVW201120P61.25</stp>
        <tr r="L332" s="1"/>
      </tp>
      <tp>
        <v>2.97</v>
        <stp/>
        <stp>OPEN</stp>
        <stp>.SMH201120P194.5</stp>
        <tr r="L561" s="1"/>
      </tp>
      <tp>
        <v>0</v>
        <stp/>
        <stp>GAMMA</stp>
        <stp>IEMG</stp>
        <tr r="N256" s="1"/>
      </tp>
      <tp t="s">
        <v>N/A</v>
        <stp/>
        <stp>VEGA</stp>
        <stp>.SMH201120C196.5</stp>
        <tr r="P568" s="1"/>
      </tp>
      <tp>
        <v>2.5870000000000002</v>
        <stp/>
        <stp>PUT_CALL_RATIO</stp>
        <stp>DIA</stp>
        <tr r="C62" s="1"/>
      </tp>
      <tp t="s">
        <v>N/A</v>
        <stp/>
        <stp>STRIKE</stp>
        <stp>BZQ</stp>
        <tr r="W51" s="1"/>
      </tp>
      <tp>
        <v>0</v>
        <stp/>
        <stp>OPEN</stp>
        <stp>.IVW201120C61.25</stp>
        <tr r="L331" s="1"/>
      </tp>
      <tp>
        <v>0</v>
        <stp/>
        <stp>GAMMA</stp>
        <stp>IEFA</stp>
        <tr r="N251" s="1"/>
      </tp>
      <tp>
        <v>2.4</v>
        <stp/>
        <stp>LAST</stp>
        <stp>.IBB201120P138.5</stp>
        <tr r="E232" s="1"/>
      </tp>
      <tp>
        <v>0</v>
        <stp/>
        <stp>HIGH</stp>
        <stp>.SMH201120C196.5</stp>
        <tr r="J568" s="1"/>
      </tp>
      <tp>
        <v>2.74</v>
        <stp/>
        <stp>OPEN</stp>
        <stp>.SMH201120C194.5</stp>
        <tr r="L560" s="1"/>
      </tp>
      <tp>
        <v>43.96</v>
        <stp/>
        <stp>ASK</stp>
        <stp>VEA</stp>
        <tr r="I707" s="1"/>
      </tp>
      <tp>
        <v>54.51</v>
        <stp/>
        <stp>ASK</stp>
        <stp>VEU</stp>
        <tr r="I710" s="1"/>
      </tp>
      <tp>
        <v>65.86</v>
        <stp/>
        <stp>ASK</stp>
        <stp>VFH</stp>
        <tr r="I713" s="1"/>
      </tp>
      <tp>
        <v>56.47</v>
        <stp/>
        <stp>ASK</stp>
        <stp>VGK</stp>
        <tr r="I721" s="1"/>
      </tp>
      <tp>
        <v>0</v>
        <stp/>
        <stp>RHO</stp>
        <stp>EZU</stp>
        <tr r="Q177" s="1"/>
      </tp>
      <tp>
        <v>0</v>
        <stp/>
        <stp>RHO</stp>
        <stp>EWG</stp>
        <tr r="Q126" s="1"/>
      </tp>
      <tp>
        <v>0</v>
        <stp/>
        <stp>RHO</stp>
        <stp>EWC</stp>
        <tr r="Q123" s="1"/>
      </tp>
      <tp>
        <v>0</v>
        <stp/>
        <stp>RHO</stp>
        <stp>EWA</stp>
        <tr r="Q120" s="1"/>
      </tp>
      <tp>
        <v>0</v>
        <stp/>
        <stp>RHO</stp>
        <stp>EWL</stp>
        <tr r="Q142" s="1"/>
      </tp>
      <tp>
        <v>0</v>
        <stp/>
        <stp>RHO</stp>
        <stp>EWJ</stp>
        <tr r="Q135" s="1"/>
      </tp>
      <tp>
        <v>0</v>
        <stp/>
        <stp>RHO</stp>
        <stp>EWH</stp>
        <tr r="Q129" s="1"/>
      </tp>
      <tp>
        <v>0</v>
        <stp/>
        <stp>RHO</stp>
        <stp>EWI</stp>
        <tr r="Q132" s="1"/>
      </tp>
      <tp>
        <v>0</v>
        <stp/>
        <stp>RHO</stp>
        <stp>EWW</stp>
        <tr r="Q154" s="1"/>
      </tp>
      <tp>
        <v>0</v>
        <stp/>
        <stp>RHO</stp>
        <stp>EWT</stp>
        <tr r="Q148" s="1"/>
      </tp>
      <tp>
        <v>0</v>
        <stp/>
        <stp>RHO</stp>
        <stp>EWU</stp>
        <tr r="Q151" s="1"/>
      </tp>
      <tp>
        <v>0</v>
        <stp/>
        <stp>RHO</stp>
        <stp>EWP</stp>
        <tr r="Q145" s="1"/>
      </tp>
      <tp>
        <v>0</v>
        <stp/>
        <stp>RHO</stp>
        <stp>EWZ</stp>
        <tr r="Q172" s="1"/>
      </tp>
      <tp>
        <v>0</v>
        <stp/>
        <stp>RHO</stp>
        <stp>EWY</stp>
        <tr r="Q161" s="1"/>
      </tp>
      <tp>
        <v>83.65</v>
        <stp/>
        <stp>ASK</stp>
        <stp>VNQ</stp>
        <tr r="I724" s="1"/>
      </tp>
      <tp>
        <v>324.05</v>
        <stp/>
        <stp>ASK</stp>
        <stp>VOO</stp>
        <tr r="I729" s="1"/>
      </tp>
      <tp t="s">
        <v>N/A</v>
        <stp/>
        <stp>DESCRIPTION</stp>
        <stp>HYG</stp>
        <tr r="B220" s="1"/>
      </tp>
      <tp>
        <v>181.71</v>
        <stp/>
        <stp>ASK</stp>
        <stp>VTI</stp>
        <tr r="I739" s="1"/>
      </tp>
      <tp>
        <v>0</v>
        <stp/>
        <stp>RHO</stp>
        <stp>EMB</stp>
        <tr r="Q111" s="1"/>
      </tp>
      <tp>
        <v>47.19</v>
        <stp/>
        <stp>ASK</stp>
        <stp>VWO</stp>
        <tr r="I748" s="1"/>
      </tp>
      <tp>
        <v>0</v>
        <stp/>
        <stp>RHO</stp>
        <stp>EFA</stp>
        <tr r="Q101" s="1"/>
      </tp>
      <tp>
        <v>0</v>
        <stp/>
        <stp>RHO</stp>
        <stp>EFV</stp>
        <tr r="Q108" s="1"/>
      </tp>
      <tp>
        <v>0</v>
        <stp/>
        <stp>RHO</stp>
        <stp>EEM</stp>
        <tr r="Q94" s="1"/>
      </tp>
      <tp>
        <v>86.81</v>
        <stp/>
        <stp>ASK</stp>
        <stp>VYM</stp>
        <tr r="I758" s="1"/>
      </tp>
      <tp>
        <v>49.15</v>
        <stp/>
        <stp>BID</stp>
        <stp>DRIP</stp>
        <tr r="H81" s="1"/>
      </tp>
      <tp>
        <v>98.68</v>
        <stp/>
        <stp>BID</stp>
        <stp>ARKK</stp>
        <tr r="H25" s="1"/>
      </tp>
      <tp>
        <v>118.16</v>
        <stp/>
        <stp>BID</stp>
        <stp>ARKW</stp>
        <tr r="H34" s="1"/>
      </tp>
      <tp t="s">
        <v>N/A</v>
        <stp/>
        <stp>LAST</stp>
        <stp>.ASHR201120C37.5</stp>
        <tr r="E44" s="1"/>
      </tp>
      <tp>
        <v>149.77010000000001</v>
        <stp/>
        <stp>LOW</stp>
        <stp>MTUM</stp>
        <tr r="K426" s="1"/>
      </tp>
      <tp>
        <v>0</v>
        <stp/>
        <stp>RHO</stp>
        <stp>USMV</stp>
        <tr r="Q698" s="1"/>
      </tp>
      <tp t="s">
        <v>N/A</v>
        <stp/>
        <stp>LAST</stp>
        <stp>.ASHR201120P37.5</stp>
        <tr r="E45" s="1"/>
      </tp>
      <tp>
        <v>37.17</v>
        <stp/>
        <stp>OPEN</stp>
        <stp>KBE</stp>
        <tr r="L385" s="1"/>
      </tp>
      <tp>
        <v>0</v>
        <stp/>
        <stp>RHO</stp>
        <stp>ASHR</stp>
        <tr r="Q43" s="1"/>
      </tp>
      <tp t="s">
        <v>N/A</v>
        <stp/>
        <stp>DESCRIPTION</stp>
        <stp>IXUS</stp>
        <tr r="B360" s="1"/>
      </tp>
      <tp t="s">
        <v>N/A</v>
        <stp/>
        <stp>DESCRIPTION</stp>
        <stp>VXUS</stp>
        <tr r="B753" s="1"/>
      </tp>
      <tp>
        <v>79.688999999999993</v>
        <stp/>
        <stp>LOW</stp>
        <stp>ITOT</stp>
        <tr r="K297" s="1"/>
      </tp>
      <tp>
        <v>29.89</v>
        <stp/>
        <stp>HIGH</stp>
        <stp>RWM</stp>
        <tr r="J517" s="1"/>
      </tp>
      <tp>
        <v>46.55</v>
        <stp/>
        <stp>ASK</stp>
        <stp>SHYG</stp>
        <tr r="I548" s="1"/>
      </tp>
      <tp>
        <v>33.770000000000003</v>
        <stp/>
        <stp>BID</stp>
        <stp>SRVR</stp>
        <tr r="H637" s="1"/>
      </tp>
      <tp>
        <v>22.395</v>
        <stp/>
        <stp>HIGH</stp>
        <stp>RSX</stp>
        <tr r="J512" s="1"/>
      </tp>
      <tp>
        <v>118.855</v>
        <stp/>
        <stp>HIGH</stp>
        <stp>RSP</stp>
        <tr r="J505" s="1"/>
      </tp>
      <tp>
        <v>45.93</v>
        <stp/>
        <stp>OPEN</stp>
        <stp>KRE</stp>
        <tr r="L388" s="1"/>
      </tp>
      <tp t="s">
        <v>N/A</v>
        <stp/>
        <stp>VEGA</stp>
        <stp>.TLT201120P156.5</stp>
        <tr r="P697" s="1"/>
      </tp>
      <tp>
        <v>2.54</v>
        <stp/>
        <stp>LAST</stp>
        <stp>.DIA201120C292.5</stp>
        <tr r="E67" s="1"/>
      </tp>
      <tp t="s">
        <v>N/A</v>
        <stp/>
        <stp>STRIKE</stp>
        <stp>EFA</stp>
        <tr r="W101" s="1"/>
      </tp>
      <tp t="s">
        <v>N/A</v>
        <stp/>
        <stp>STRIKE</stp>
        <stp>EFV</stp>
        <tr r="W108" s="1"/>
      </tp>
      <tp t="s">
        <v>N/A</v>
        <stp/>
        <stp>STRIKE</stp>
        <stp>EEM</stp>
        <tr r="W94" s="1"/>
      </tp>
      <tp t="s">
        <v>N/A</v>
        <stp/>
        <stp>PROB_OF_EXPIRING</stp>
        <stp>.XOP201120C49.5</stp>
        <tr r="T900" s="1"/>
      </tp>
      <tp t="s">
        <v>N/A</v>
        <stp/>
        <stp>PROB_OF_EXPIRING</stp>
        <stp>.XLB201120C69.5</stp>
        <tr r="T792" s="1"/>
      </tp>
      <tp t="s">
        <v>N/A</v>
        <stp/>
        <stp>PROB_OF_EXPIRING</stp>
        <stp>.XLB201120P69.5</stp>
        <tr r="T793" s="1"/>
      </tp>
      <tp t="s">
        <v>N/A</v>
        <stp/>
        <stp>PROB_OF_EXPIRING</stp>
        <stp>.XOP201120P49.5</stp>
        <tr r="T901" s="1"/>
      </tp>
      <tp>
        <v>1.05</v>
        <stp/>
        <stp>HIGH</stp>
        <stp>.TLT201120P156.5</stp>
        <tr r="J697" s="1"/>
      </tp>
      <tp t="s">
        <v>N/A</v>
        <stp/>
        <stp>PROB_OF_EXPIRING</stp>
        <stp>.SH201120P19</stp>
        <tr r="T544" s="1"/>
      </tp>
      <tp>
        <v>2.72</v>
        <stp/>
        <stp>OPEN</stp>
        <stp>.SMH201120P193.5</stp>
        <tr r="L557" s="1"/>
      </tp>
      <tp t="s">
        <v>N/A</v>
        <stp/>
        <stp>STRIKE</stp>
        <stp>EMB</stp>
        <tr r="W111" s="1"/>
      </tp>
      <tp>
        <v>5.31</v>
        <stp/>
        <stp>LAST</stp>
        <stp>.DIA201120P292.5</stp>
        <tr r="E68" s="1"/>
      </tp>
      <tp t="s">
        <v>N/A</v>
        <stp/>
        <stp>PROB_OF_TOUCHING</stp>
        <stp>.VT201120P86</stp>
        <tr r="V736" s="1"/>
      </tp>
      <tp t="s">
        <v>N/A</v>
        <stp/>
        <stp>PROB_OF_TOUCHING</stp>
        <stp>.VT201120P87</stp>
        <tr r="V738" s="1"/>
      </tp>
      <tp t="s">
        <v>N/A</v>
        <stp/>
        <stp>VEGA</stp>
        <stp>.TLT201120C156.5</stp>
        <tr r="P696" s="1"/>
      </tp>
      <tp t="s">
        <v>N/A</v>
        <stp/>
        <stp>STRIKE</stp>
        <stp>EWG</stp>
        <tr r="W126" s="1"/>
      </tp>
      <tp t="s">
        <v>N/A</v>
        <stp/>
        <stp>STRIKE</stp>
        <stp>EWC</stp>
        <tr r="W123" s="1"/>
      </tp>
      <tp t="s">
        <v>N/A</v>
        <stp/>
        <stp>STRIKE</stp>
        <stp>EWA</stp>
        <tr r="W120" s="1"/>
      </tp>
      <tp t="s">
        <v>N/A</v>
        <stp/>
        <stp>STRIKE</stp>
        <stp>EWL</stp>
        <tr r="W142" s="1"/>
      </tp>
      <tp t="s">
        <v>N/A</v>
        <stp/>
        <stp>STRIKE</stp>
        <stp>EWJ</stp>
        <tr r="W135" s="1"/>
      </tp>
      <tp t="s">
        <v>N/A</v>
        <stp/>
        <stp>STRIKE</stp>
        <stp>EWH</stp>
        <tr r="W129" s="1"/>
      </tp>
      <tp t="s">
        <v>N/A</v>
        <stp/>
        <stp>STRIKE</stp>
        <stp>EWI</stp>
        <tr r="W132" s="1"/>
      </tp>
      <tp t="s">
        <v>N/A</v>
        <stp/>
        <stp>STRIKE</stp>
        <stp>EWW</stp>
        <tr r="W154" s="1"/>
      </tp>
      <tp t="s">
        <v>N/A</v>
        <stp/>
        <stp>STRIKE</stp>
        <stp>EWT</stp>
        <tr r="W148" s="1"/>
      </tp>
      <tp t="s">
        <v>N/A</v>
        <stp/>
        <stp>STRIKE</stp>
        <stp>EWU</stp>
        <tr r="W151" s="1"/>
      </tp>
      <tp t="s">
        <v>N/A</v>
        <stp/>
        <stp>STRIKE</stp>
        <stp>EWP</stp>
        <tr r="W145" s="1"/>
      </tp>
      <tp t="s">
        <v>N/A</v>
        <stp/>
        <stp>STRIKE</stp>
        <stp>EWZ</stp>
        <tr r="W172" s="1"/>
      </tp>
      <tp t="s">
        <v>N/A</v>
        <stp/>
        <stp>STRIKE</stp>
        <stp>EWY</stp>
        <tr r="W161" s="1"/>
      </tp>
      <tp t="s">
        <v>N/A</v>
        <stp/>
        <stp>PROB_OF_EXPIRING</stp>
        <stp>.EFA201120C69.5</stp>
        <tr r="T104" s="1"/>
      </tp>
      <tp t="s">
        <v>N/A</v>
        <stp/>
        <stp>PROB_OF_EXPIRING</stp>
        <stp>.EWW201120P39.5</stp>
        <tr r="T160" s="1"/>
      </tp>
      <tp t="s">
        <v>N/A</v>
        <stp/>
        <stp>PROB_OF_EXPIRING</stp>
        <stp>.EWW201120C39.5</stp>
        <tr r="T159" s="1"/>
      </tp>
      <tp t="s">
        <v>N/A</v>
        <stp/>
        <stp>PROB_OF_EXPIRING</stp>
        <stp>.EFA201120P69.5</stp>
        <tr r="T105" s="1"/>
      </tp>
      <tp t="s">
        <v>N/A</v>
        <stp/>
        <stp>PROB_OF_EXPIRING</stp>
        <stp>.FEZ201120C39.5</stp>
        <tr r="T181" s="1"/>
      </tp>
      <tp t="s">
        <v>N/A</v>
        <stp/>
        <stp>PROB_OF_EXPIRING</stp>
        <stp>.FEZ201120P39.5</stp>
        <tr r="T182" s="1"/>
      </tp>
      <tp>
        <v>0.74</v>
        <stp/>
        <stp>OPEN</stp>
        <stp>.XLV201120P110</stp>
        <tr r="L858" s="1"/>
      </tp>
      <tp>
        <v>2.0299999999999998</v>
        <stp/>
        <stp>OPEN</stp>
        <stp>.XLV201120C110</stp>
        <tr r="L857" s="1"/>
      </tp>
      <tp>
        <v>1.36</v>
        <stp/>
        <stp>OPEN</stp>
        <stp>.XLV201120P111</stp>
        <tr r="L862" s="1"/>
      </tp>
      <tp>
        <v>1.43</v>
        <stp/>
        <stp>OPEN</stp>
        <stp>.XLV201120C111</stp>
        <tr r="L861" s="1"/>
      </tp>
      <tp>
        <v>1.77</v>
        <stp/>
        <stp>OPEN</stp>
        <stp>.XLV201120P112</stp>
        <tr r="L866" s="1"/>
      </tp>
      <tp>
        <v>0.74</v>
        <stp/>
        <stp>OPEN</stp>
        <stp>.XLV201120C112</stp>
        <tr r="L865" s="1"/>
      </tp>
      <tp t="s">
        <v>N/A</v>
        <stp/>
        <stp>STRIKE</stp>
        <stp>EZU</stp>
        <tr r="W177" s="1"/>
      </tp>
      <tp>
        <v>2.36</v>
        <stp/>
        <stp>HIGH</stp>
        <stp>.TLT201120C156.5</stp>
        <tr r="J696" s="1"/>
      </tp>
      <tp>
        <v>4.3600000000000003</v>
        <stp/>
        <stp>OPEN</stp>
        <stp>.SMH201120C193.5</stp>
        <tr r="L556" s="1"/>
      </tp>
      <tp t="s">
        <v>N/A</v>
        <stp/>
        <stp>GAMMA</stp>
        <stp>.IGV201120C325</stp>
        <tr r="N269" s="1"/>
      </tp>
      <tp t="s">
        <v>N/A</v>
        <stp/>
        <stp>GAMMA</stp>
        <stp>.IGV201120P325</stp>
        <tr r="N270" s="1"/>
      </tp>
      <tp t="s">
        <v>N/A</v>
        <stp/>
        <stp>GAMMA</stp>
        <stp>.IGV201120C320</stp>
        <tr r="N267" s="1"/>
      </tp>
      <tp t="s">
        <v>N/A</v>
        <stp/>
        <stp>GAMMA</stp>
        <stp>.IGV201120P320</stp>
        <tr r="N268" s="1"/>
      </tp>
      <tp t="s">
        <v>N/A</v>
        <stp/>
        <stp>DELTA</stp>
        <stp>.RSP201120P120</stp>
        <tr r="M511" s="1"/>
      </tp>
      <tp t="s">
        <v>N/A</v>
        <stp/>
        <stp>DELTA</stp>
        <stp>.RSP201120C120</stp>
        <tr r="M510" s="1"/>
      </tp>
      <tp t="s">
        <v>N/A</v>
        <stp/>
        <stp>DELTA</stp>
        <stp>.TIP201120C125</stp>
        <tr r="M687" s="1"/>
      </tp>
      <tp t="s">
        <v>N/A</v>
        <stp/>
        <stp>DELTA</stp>
        <stp>.TIP201120P125</stp>
        <tr r="M688" s="1"/>
      </tp>
      <tp t="s">
        <v>N/A</v>
        <stp/>
        <stp>DELTA</stp>
        <stp>.RSP201120P119</stp>
        <tr r="M509" s="1"/>
      </tp>
      <tp t="s">
        <v>N/A</v>
        <stp/>
        <stp>DELTA</stp>
        <stp>.RSP201120C119</stp>
        <tr r="M508" s="1"/>
      </tp>
      <tp t="s">
        <v>N/A</v>
        <stp/>
        <stp>DELTA</stp>
        <stp>.RSP201120P118</stp>
        <tr r="M507" s="1"/>
      </tp>
      <tp t="s">
        <v>N/A</v>
        <stp/>
        <stp>DELTA</stp>
        <stp>.RSP201120C118</stp>
        <tr r="M506" s="1"/>
      </tp>
      <tp t="s">
        <v>N/A</v>
        <stp/>
        <stp>GAMMA</stp>
        <stp>.IGV201120C315</stp>
        <tr r="N265" s="1"/>
      </tp>
      <tp t="s">
        <v>N/A</v>
        <stp/>
        <stp>GAMMA</stp>
        <stp>.IGV201120P315</stp>
        <tr r="N266" s="1"/>
      </tp>
      <tp t="s">
        <v>N/A</v>
        <stp/>
        <stp>GAMMA</stp>
        <stp>.IVV201120P362</stp>
        <tr r="N329" s="1"/>
      </tp>
      <tp t="s">
        <v>N/A</v>
        <stp/>
        <stp>GAMMA</stp>
        <stp>.IVV201120C362</stp>
        <tr r="N328" s="1"/>
      </tp>
      <tp t="s">
        <v>N/A</v>
        <stp/>
        <stp>GAMMA</stp>
        <stp>.IVV201120P361</stp>
        <tr r="N327" s="1"/>
      </tp>
      <tp t="s">
        <v>N/A</v>
        <stp/>
        <stp>GAMMA</stp>
        <stp>.IVV201120C361</stp>
        <tr r="N326" s="1"/>
      </tp>
      <tp t="s">
        <v>N/A</v>
        <stp/>
        <stp>GAMMA</stp>
        <stp>.IVV201120P360</stp>
        <tr r="N325" s="1"/>
      </tp>
      <tp t="s">
        <v>N/A</v>
        <stp/>
        <stp>GAMMA</stp>
        <stp>.IVV201120C360</stp>
        <tr r="N324" s="1"/>
      </tp>
      <tp t="s">
        <v>N/A</v>
        <stp/>
        <stp>GAMMA</stp>
        <stp>.TLT201120C156</stp>
        <tr r="N694" s="1"/>
      </tp>
      <tp t="s">
        <v>N/A</v>
        <stp/>
        <stp>GAMMA</stp>
        <stp>.TLT201120P156</stp>
        <tr r="N695" s="1"/>
      </tp>
      <tp t="s">
        <v>N/A</v>
        <stp/>
        <stp>GAMMA</stp>
        <stp>.TLT201120C155</stp>
        <tr r="N690" s="1"/>
      </tp>
      <tp t="s">
        <v>N/A</v>
        <stp/>
        <stp>GAMMA</stp>
        <stp>.TLT201120P155</stp>
        <tr r="N691" s="1"/>
      </tp>
      <tp t="s">
        <v>N/A</v>
        <stp/>
        <stp>GAMMA</stp>
        <stp>.IVV201120P357</stp>
        <tr r="N317" s="1"/>
      </tp>
      <tp t="s">
        <v>N/A</v>
        <stp/>
        <stp>GAMMA</stp>
        <stp>.IVV201120C357</stp>
        <tr r="N316" s="1"/>
      </tp>
      <tp t="s">
        <v>N/A</v>
        <stp/>
        <stp>GAMMA</stp>
        <stp>.IVV201120P356</stp>
        <tr r="N315" s="1"/>
      </tp>
      <tp t="s">
        <v>N/A</v>
        <stp/>
        <stp>GAMMA</stp>
        <stp>.IVV201120C356</stp>
        <tr r="N314" s="1"/>
      </tp>
      <tp t="s">
        <v>N/A</v>
        <stp/>
        <stp>GAMMA</stp>
        <stp>.IVV201120P355</stp>
        <tr r="N313" s="1"/>
      </tp>
      <tp t="s">
        <v>N/A</v>
        <stp/>
        <stp>GAMMA</stp>
        <stp>.IVV201120C355</stp>
        <tr r="N312" s="1"/>
      </tp>
      <tp t="s">
        <v>N/A</v>
        <stp/>
        <stp>GAMMA</stp>
        <stp>.IVV201120P354</stp>
        <tr r="N311" s="1"/>
      </tp>
      <tp t="s">
        <v>N/A</v>
        <stp/>
        <stp>GAMMA</stp>
        <stp>.IVV201120C354</stp>
        <tr r="N310" s="1"/>
      </tp>
      <tp t="s">
        <v>N/A</v>
        <stp/>
        <stp>GAMMA</stp>
        <stp>.IVV201120P359</stp>
        <tr r="N323" s="1"/>
      </tp>
      <tp t="s">
        <v>N/A</v>
        <stp/>
        <stp>GAMMA</stp>
        <stp>.IVV201120C359</stp>
        <tr r="N322" s="1"/>
      </tp>
      <tp t="s">
        <v>N/A</v>
        <stp/>
        <stp>GAMMA</stp>
        <stp>.IVV201120P358</stp>
        <tr r="N321" s="1"/>
      </tp>
      <tp t="s">
        <v>N/A</v>
        <stp/>
        <stp>GAMMA</stp>
        <stp>.IVV201120C358</stp>
        <tr r="N320" s="1"/>
      </tp>
      <tp t="s">
        <v>N/A</v>
        <stp/>
        <stp>DESCRIPTION</stp>
        <stp>ITB</stp>
        <tr r="B288" s="1"/>
      </tp>
      <tp t="s">
        <v>N/A</v>
        <stp/>
        <stp>DESCRIPTION</stp>
        <stp>IVE</stp>
        <tr r="B302" s="1"/>
      </tp>
      <tp t="s">
        <v>N/A</v>
        <stp/>
        <stp>DESCRIPTION</stp>
        <stp>IVV</stp>
        <tr r="B309" s="1"/>
      </tp>
      <tp t="s">
        <v>N/A</v>
        <stp/>
        <stp>DESCRIPTION</stp>
        <stp>IVW</stp>
        <tr r="B330" s="1"/>
      </tp>
      <tp t="s">
        <v>N/A</v>
        <stp/>
        <stp>DESCRIPTION</stp>
        <stp>IWD</stp>
        <tr r="B333" s="1"/>
      </tp>
      <tp t="s">
        <v>N/A</v>
        <stp/>
        <stp>DESCRIPTION</stp>
        <stp>IWF</stp>
        <tr r="B340" s="1"/>
      </tp>
      <tp t="s">
        <v>ISHARES TRUST RUSSELL 2000 ETF</v>
        <stp/>
        <stp>DESCRIPTION</stp>
        <stp>IWM</stp>
        <tr r="B345" s="1"/>
      </tp>
      <tp>
        <v>0</v>
        <stp/>
        <stp>RHO</stp>
        <stp>DXD</stp>
        <tr r="Q91" s="1"/>
      </tp>
      <tp>
        <v>0</v>
        <stp/>
        <stp>RHO</stp>
        <stp>DVY</stp>
        <tr r="Q84" s="1"/>
      </tp>
      <tp t="s">
        <v>N/A</v>
        <stp/>
        <stp>DESCRIPTION</stp>
        <stp>IYE</stp>
        <tr r="B363" s="1"/>
      </tp>
      <tp t="s">
        <v>N/A</v>
        <stp/>
        <stp>DESCRIPTION</stp>
        <stp>IYR</stp>
        <tr r="B366" s="1"/>
      </tp>
      <tp t="s">
        <v>N/A</v>
        <stp/>
        <stp>DESCRIPTION</stp>
        <stp>IEF</stp>
        <tr r="B248" s="1"/>
      </tp>
      <tp>
        <v>158.66</v>
        <stp/>
        <stp>BID</stp>
        <stp>TLT</stp>
        <tr r="H689" s="1"/>
      </tp>
      <tp t="s">
        <v>N/A</v>
        <stp/>
        <stp>DESCRIPTION</stp>
        <stp>IGV</stp>
        <tr r="B264" s="1"/>
      </tp>
      <tp t="s">
        <v>N/A</v>
        <stp/>
        <stp>DESCRIPTION</stp>
        <stp>IBB</stp>
        <tr r="B228" s="1"/>
      </tp>
      <tp>
        <v>0</v>
        <stp/>
        <stp>RHO</stp>
        <stp>DIA</stp>
        <tr r="Q62" s="1"/>
      </tp>
      <tp>
        <v>124.6</v>
        <stp/>
        <stp>BID</stp>
        <stp>TIP</stp>
        <tr r="H686" s="1"/>
      </tp>
      <tp t="s">
        <v>N/A</v>
        <stp/>
        <stp>DESCRIPTION</stp>
        <stp>ILF</stp>
        <tr r="B277" s="1"/>
      </tp>
      <tp>
        <v>14.55</v>
        <stp/>
        <stp>BID</stp>
        <stp>TBF</stp>
        <tr r="H680" s="1"/>
      </tp>
      <tp>
        <v>16.440000000000001</v>
        <stp/>
        <stp>BID</stp>
        <stp>TBT</stp>
        <tr r="H683" s="1"/>
      </tp>
      <tp t="s">
        <v>N/A</v>
        <stp/>
        <stp>DESCRIPTION</stp>
        <stp>IJH</stp>
        <tr r="B271" s="1"/>
      </tp>
      <tp t="s">
        <v>N/A</v>
        <stp/>
        <stp>DESCRIPTION</stp>
        <stp>IJR</stp>
        <tr r="B274" s="1"/>
      </tp>
      <tp>
        <v>73.86</v>
        <stp/>
        <stp>BID</stp>
        <stp>TAN</stp>
        <tr r="H659" s="1"/>
      </tp>
      <tp>
        <v>65.89</v>
        <stp/>
        <stp>BID</stp>
        <stp>USMV</stp>
        <tr r="H698" s="1"/>
      </tp>
      <tp>
        <v>106.61</v>
        <stp/>
        <stp>OPEN</stp>
        <stp>JNK</stp>
        <tr r="L380" s="1"/>
      </tp>
      <tp>
        <v>196.68</v>
        <stp/>
        <stp>HIGH</stp>
        <stp>SMH</stp>
        <tr r="J551" s="1"/>
      </tp>
      <tp>
        <v>37.51</v>
        <stp/>
        <stp>BID</stp>
        <stp>ASHR</stp>
        <tr r="H43" s="1"/>
      </tp>
      <tp>
        <v>86.36</v>
        <stp/>
        <stp>HIGH</stp>
        <stp>SHY</stp>
        <tr r="J545" s="1"/>
      </tp>
      <tp t="s">
        <v>N/A</v>
        <stp/>
        <stp>DESCRIPTION</stp>
        <stp>HYLB</stp>
        <tr r="B225" s="1"/>
      </tp>
      <tp>
        <v>14.244999999999999</v>
        <stp/>
        <stp>HIGH</stp>
        <stp>SDS</stp>
        <tr r="J537" s="1"/>
      </tp>
      <tp>
        <v>62.6</v>
        <stp/>
        <stp>HIGH</stp>
        <stp>SCZ</stp>
        <tr r="J534" s="1"/>
      </tp>
      <tp>
        <v>24.27</v>
        <stp/>
        <stp>LOW</stp>
        <stp>GUSH</stp>
        <tr r="K213" s="1"/>
      </tp>
      <tp>
        <v>0</v>
        <stp/>
        <stp>RHO</stp>
        <stp>ARKK</stp>
        <tr r="Q25" s="1"/>
      </tp>
      <tp>
        <v>0</v>
        <stp/>
        <stp>RHO</stp>
        <stp>ARKW</stp>
        <tr r="Q34" s="1"/>
      </tp>
      <tp>
        <v>0</v>
        <stp/>
        <stp>RHO</stp>
        <stp>DRIP</stp>
        <tr r="Q81" s="1"/>
      </tp>
      <tp>
        <v>0</v>
        <stp/>
        <stp>RHO</stp>
        <stp>SRVR</stp>
        <tr r="Q637" s="1"/>
      </tp>
      <tp>
        <v>15.75</v>
        <stp/>
        <stp>LOW</stp>
        <stp>EUFN</stp>
        <tr r="K117" s="1"/>
      </tp>
      <tp>
        <v>82.68</v>
        <stp/>
        <stp>HIGH</stp>
        <stp>SSO</stp>
        <tr r="J642" s="1"/>
      </tp>
      <tp>
        <v>356.71820000000002</v>
        <stp/>
        <stp>HIGH</stp>
        <stp>SPY</stp>
        <tr r="J590" s="1"/>
      </tp>
      <tp>
        <v>109.2405</v>
        <stp/>
        <stp>LOW</stp>
        <stp>QUAL</stp>
        <tr r="K498" s="1"/>
      </tp>
      <tp>
        <v>6.03</v>
        <stp/>
        <stp>OPEN</stp>
        <stp>.SPY201120C352.5</stp>
        <tr r="L607" s="1"/>
      </tp>
      <tp t="s">
        <v>N/A</v>
        <stp/>
        <stp>HIGH</stp>
        <stp>.RSP201120C118</stp>
        <tr r="J506" s="1"/>
      </tp>
      <tp t="s">
        <v>N/A</v>
        <stp/>
        <stp>HIGH</stp>
        <stp>.RSP201120P118</stp>
        <tr r="J507" s="1"/>
      </tp>
      <tp t="s">
        <v>N/A</v>
        <stp/>
        <stp>HIGH</stp>
        <stp>.RSP201120C119</stp>
        <tr r="J508" s="1"/>
      </tp>
      <tp t="s">
        <v>N/A</v>
        <stp/>
        <stp>HIGH</stp>
        <stp>.RSP201120P119</stp>
        <tr r="J509" s="1"/>
      </tp>
      <tp>
        <v>0</v>
        <stp/>
        <stp>HIGH</stp>
        <stp>.RSP201120C120</stp>
        <tr r="J510" s="1"/>
      </tp>
      <tp t="s">
        <v>N/A</v>
        <stp/>
        <stp>HIGH</stp>
        <stp>.RSP201120P120</stp>
        <tr r="J511" s="1"/>
      </tp>
      <tp t="s">
        <v>N/A</v>
        <stp/>
        <stp>HIGH</stp>
        <stp>.TIP201120P125</stp>
        <tr r="J688" s="1"/>
      </tp>
      <tp>
        <v>0</v>
        <stp/>
        <stp>HIGH</stp>
        <stp>.TIP201120C125</stp>
        <tr r="J687" s="1"/>
      </tp>
      <tp>
        <v>4938317</v>
        <stp/>
        <stp>VOLUME</stp>
        <stp>XBI</stp>
        <tr r="F763" s="1"/>
      </tp>
      <tp>
        <v>0.17599999999999999</v>
        <stp/>
        <stp>PUT_CALL_RATIO</stp>
        <stp>BZQ</stp>
        <tr r="C51" s="1"/>
      </tp>
      <tp>
        <v>4.37</v>
        <stp/>
        <stp>HIGH</stp>
        <stp>.QQQ201120C292.5</stp>
        <tr r="J492" s="1"/>
      </tp>
      <tp t="s">
        <v>N/A</v>
        <stp/>
        <stp>PROB_OF_EXPIRING</stp>
        <stp>.XOP201120C48.5</stp>
        <tr r="T896" s="1"/>
      </tp>
      <tp t="s">
        <v>N/A</v>
        <stp/>
        <stp>PROB_OF_EXPIRING</stp>
        <stp>.XLB201120C68.5</stp>
        <tr r="T788" s="1"/>
      </tp>
      <tp t="s">
        <v>N/A</v>
        <stp/>
        <stp>PROB_OF_EXPIRING</stp>
        <stp>.XLB201120P68.5</stp>
        <tr r="T789" s="1"/>
      </tp>
      <tp t="s">
        <v>N/A</v>
        <stp/>
        <stp>PROB_OF_EXPIRING</stp>
        <stp>.XOP201120P48.5</stp>
        <tr r="T897" s="1"/>
      </tp>
      <tp>
        <v>3052731</v>
        <stp/>
        <stp>VOLUME</stp>
        <stp>XHB</stp>
        <tr r="F780" s="1"/>
      </tp>
      <tp t="s">
        <v>N/A</v>
        <stp/>
        <stp>LAST</stp>
        <stp>.IGV201120C315</stp>
        <tr r="E265" s="1"/>
      </tp>
      <tp t="s">
        <v>N/A</v>
        <stp/>
        <stp>LAST</stp>
        <stp>.IGV201120P315</stp>
        <tr r="E266" s="1"/>
      </tp>
      <tp t="s">
        <v>N/A</v>
        <stp/>
        <stp>LAST</stp>
        <stp>.IGV201120C320</stp>
        <tr r="E267" s="1"/>
      </tp>
      <tp t="s">
        <v>N/A</v>
        <stp/>
        <stp>LAST</stp>
        <stp>.IGV201120P320</stp>
        <tr r="E268" s="1"/>
      </tp>
      <tp>
        <v>4</v>
        <stp/>
        <stp>LAST</stp>
        <stp>.IGV201120C325</stp>
        <tr r="E269" s="1"/>
      </tp>
      <tp t="s">
        <v>N/A</v>
        <stp/>
        <stp>LAST</stp>
        <stp>.IGV201120P325</stp>
        <tr r="E270" s="1"/>
      </tp>
      <tp>
        <v>0</v>
        <stp/>
        <stp>GAMMA</stp>
        <stp>ACWX</stp>
        <tr r="N12" s="1"/>
      </tp>
      <tp>
        <v>0</v>
        <stp/>
        <stp>GAMMA</stp>
        <stp>ACWI</stp>
        <tr r="N7" s="1"/>
      </tp>
      <tp t="s">
        <v>N/A</v>
        <stp/>
        <stp>STRIKE</stp>
        <stp>DIA</stp>
        <tr r="W62" s="1"/>
      </tp>
      <tp t="s">
        <v>N/A</v>
        <stp/>
        <stp>PROB_OTM</stp>
        <stp>.MJ201120C13</stp>
        <tr r="U424" s="1"/>
      </tp>
      <tp>
        <v>2964886</v>
        <stp/>
        <stp>VOLUME</stp>
        <stp>XLY</stp>
        <tr r="F867" s="1"/>
      </tp>
      <tp>
        <v>26510435</v>
        <stp/>
        <stp>VOLUME</stp>
        <stp>XLU</stp>
        <tr r="F849" s="1"/>
      </tp>
      <tp>
        <v>7856407</v>
        <stp/>
        <stp>VOLUME</stp>
        <stp>XLV</stp>
        <tr r="F856" s="1"/>
      </tp>
      <tp>
        <v>8945870</v>
        <stp/>
        <stp>VOLUME</stp>
        <stp>XLP</stp>
        <tr r="F841" s="1"/>
      </tp>
      <tp>
        <v>10777133</v>
        <stp/>
        <stp>VOLUME</stp>
        <stp>XLI</stp>
        <tr r="F813" s="1"/>
      </tp>
      <tp>
        <v>7177078</v>
        <stp/>
        <stp>VOLUME</stp>
        <stp>XLK</stp>
        <tr r="F824" s="1"/>
      </tp>
      <tp>
        <v>38598610</v>
        <stp/>
        <stp>VOLUME</stp>
        <stp>XLE</stp>
        <tr r="F803" s="1"/>
      </tp>
      <tp>
        <v>62749613</v>
        <stp/>
        <stp>VOLUME</stp>
        <stp>XLF</stp>
        <tr r="F810" s="1"/>
      </tp>
      <tp>
        <v>7035879</v>
        <stp/>
        <stp>VOLUME</stp>
        <stp>XLC</stp>
        <tr r="F796" s="1"/>
      </tp>
      <tp>
        <v>5526842</v>
        <stp/>
        <stp>VOLUME</stp>
        <stp>XLB</stp>
        <tr r="F787" s="1"/>
      </tp>
      <tp>
        <v>0</v>
        <stp/>
        <stp>LAST</stp>
        <stp>.IVV201120P357</stp>
        <tr r="E317" s="1"/>
      </tp>
      <tp>
        <v>0</v>
        <stp/>
        <stp>LAST</stp>
        <stp>.IVV201120C357</stp>
        <tr r="E316" s="1"/>
      </tp>
      <tp>
        <v>5.85</v>
        <stp/>
        <stp>LAST</stp>
        <stp>.IVV201120P356</stp>
        <tr r="E315" s="1"/>
      </tp>
      <tp>
        <v>2.4500000000000002</v>
        <stp/>
        <stp>LAST</stp>
        <stp>.IVV201120C356</stp>
        <tr r="E314" s="1"/>
      </tp>
      <tp>
        <v>5.3</v>
        <stp/>
        <stp>LAST</stp>
        <stp>.IVV201120P355</stp>
        <tr r="E313" s="1"/>
      </tp>
      <tp>
        <v>4</v>
        <stp/>
        <stp>LAST</stp>
        <stp>.IVV201120C355</stp>
        <tr r="E312" s="1"/>
      </tp>
      <tp>
        <v>0</v>
        <stp/>
        <stp>LAST</stp>
        <stp>.IVV201120P354</stp>
        <tr r="E311" s="1"/>
      </tp>
      <tp>
        <v>1.1499999999999999</v>
        <stp/>
        <stp>LAST</stp>
        <stp>.IVV201120C354</stp>
        <tr r="E310" s="1"/>
      </tp>
      <tp>
        <v>0</v>
        <stp/>
        <stp>LAST</stp>
        <stp>.IVV201120P359</stp>
        <tr r="E323" s="1"/>
      </tp>
      <tp>
        <v>2.91</v>
        <stp/>
        <stp>LAST</stp>
        <stp>.IVV201120C359</stp>
        <tr r="E322" s="1"/>
      </tp>
      <tp>
        <v>0</v>
        <stp/>
        <stp>LAST</stp>
        <stp>.IVV201120P358</stp>
        <tr r="E321" s="1"/>
      </tp>
      <tp>
        <v>0</v>
        <stp/>
        <stp>LAST</stp>
        <stp>.IVV201120C358</stp>
        <tr r="E320" s="1"/>
      </tp>
      <tp>
        <v>2.8</v>
        <stp/>
        <stp>LAST</stp>
        <stp>.TLT201120C156</stp>
        <tr r="E694" s="1"/>
      </tp>
      <tp>
        <v>0.45</v>
        <stp/>
        <stp>LAST</stp>
        <stp>.TLT201120P156</stp>
        <tr r="E695" s="1"/>
      </tp>
      <tp>
        <v>3.6</v>
        <stp/>
        <stp>LAST</stp>
        <stp>.TLT201120C155</stp>
        <tr r="E690" s="1"/>
      </tp>
      <tp>
        <v>0.28999999999999998</v>
        <stp/>
        <stp>LAST</stp>
        <stp>.TLT201120P155</stp>
        <tr r="E691" s="1"/>
      </tp>
      <tp>
        <v>1432673</v>
        <stp/>
        <stp>VOLUME</stp>
        <stp>XME</stp>
        <tr r="F884" s="1"/>
      </tp>
      <tp>
        <v>0</v>
        <stp/>
        <stp>LAST</stp>
        <stp>.IVV201120P362</stp>
        <tr r="E329" s="1"/>
      </tp>
      <tp>
        <v>0</v>
        <stp/>
        <stp>LAST</stp>
        <stp>.IVV201120C362</stp>
        <tr r="E328" s="1"/>
      </tp>
      <tp>
        <v>5</v>
        <stp/>
        <stp>LAST</stp>
        <stp>.IVV201120P361</stp>
        <tr r="E327" s="1"/>
      </tp>
      <tp>
        <v>5.7</v>
        <stp/>
        <stp>LAST</stp>
        <stp>.IVV201120C361</stp>
        <tr r="E326" s="1"/>
      </tp>
      <tp>
        <v>13.9</v>
        <stp/>
        <stp>LAST</stp>
        <stp>.IVV201120P360</stp>
        <tr r="E325" s="1"/>
      </tp>
      <tp>
        <v>3.44</v>
        <stp/>
        <stp>LAST</stp>
        <stp>.IVV201120C360</stp>
        <tr r="E324" s="1"/>
      </tp>
      <tp>
        <v>0</v>
        <stp/>
        <stp>OPEN</stp>
        <stp>.SMH201120P192.5</stp>
        <tr r="L553" s="1"/>
      </tp>
      <tp t="s">
        <v>N/A</v>
        <stp/>
        <stp>VEGA</stp>
        <stp>.QQQ201120C292.5</stp>
        <tr r="P492" s="1"/>
      </tp>
      <tp>
        <v>1.1599999999999999</v>
        <stp/>
        <stp>OPEN</stp>
        <stp>.TLT201120P155.5</stp>
        <tr r="L693" s="1"/>
      </tp>
      <tp>
        <v>1.52</v>
        <stp/>
        <stp>OPEN</stp>
        <stp>.XLK201120P119.5</stp>
        <tr r="L826" s="1"/>
      </tp>
      <tp>
        <v>9677974</v>
        <stp/>
        <stp>VOLUME</stp>
        <stp>XOP</stp>
        <tr r="F889" s="1"/>
      </tp>
      <tp>
        <v>0</v>
        <stp/>
        <stp>GAMMA</stp>
        <stp>VCLT</stp>
        <tr r="N704" s="1"/>
      </tp>
      <tp>
        <v>0</v>
        <stp/>
        <stp>GAMMA</stp>
        <stp>ICLN</stp>
        <tr r="N245" s="1"/>
      </tp>
      <tp>
        <v>3079899</v>
        <stp/>
        <stp>VOLUME</stp>
        <stp>XRT</stp>
        <tr r="F902" s="1"/>
      </tp>
      <tp>
        <v>3.02</v>
        <stp/>
        <stp>OPEN</stp>
        <stp>.SPY201120P352.5</stp>
        <tr r="L608" s="1"/>
      </tp>
      <tp>
        <v>0</v>
        <stp/>
        <stp>GAMMA</stp>
        <stp>VCIT</stp>
        <tr r="N701" s="1"/>
      </tp>
      <tp>
        <v>7.07</v>
        <stp/>
        <stp>HIGH</stp>
        <stp>.QQQ201120P292.5</stp>
        <tr r="J493" s="1"/>
      </tp>
      <tp>
        <v>0</v>
        <stp/>
        <stp>GAMMA</stp>
        <stp>SCHP</stp>
        <tr r="N531" s="1"/>
      </tp>
      <tp t="s">
        <v>N/A</v>
        <stp/>
        <stp>PROB_OF_EXPIRING</stp>
        <stp>.EWW201120P38.5</stp>
        <tr r="T156" s="1"/>
      </tp>
      <tp t="s">
        <v>N/A</v>
        <stp/>
        <stp>PROB_OF_EXPIRING</stp>
        <stp>.EWU201120P28.5</stp>
        <tr r="T153" s="1"/>
      </tp>
      <tp t="s">
        <v>N/A</v>
        <stp/>
        <stp>PROB_OF_EXPIRING</stp>
        <stp>.EEM201120C48.5</stp>
        <tr r="T99" s="1"/>
      </tp>
      <tp>
        <v>0</v>
        <stp/>
        <stp>GAMMA</stp>
        <stp>SCHF</stp>
        <tr r="N528" s="1"/>
      </tp>
      <tp t="s">
        <v>N/A</v>
        <stp/>
        <stp>PROB_OF_EXPIRING</stp>
        <stp>.EEM201120P48.5</stp>
        <tr r="T100" s="1"/>
      </tp>
      <tp t="s">
        <v>N/A</v>
        <stp/>
        <stp>PROB_OF_EXPIRING</stp>
        <stp>.EWW201120C38.5</stp>
        <tr r="T155" s="1"/>
      </tp>
      <tp t="s">
        <v>N/A</v>
        <stp/>
        <stp>PROB_OF_EXPIRING</stp>
        <stp>.EWU201120C28.5</stp>
        <tr r="T152" s="1"/>
      </tp>
      <tp>
        <v>0</v>
        <stp/>
        <stp>GAMMA</stp>
        <stp>SCHD</stp>
        <tr r="N520" s="1"/>
      </tp>
      <tp>
        <v>0</v>
        <stp/>
        <stp>GAMMA</stp>
        <stp>SCHE</stp>
        <tr r="N525" s="1"/>
      </tp>
      <tp>
        <v>0</v>
        <stp/>
        <stp>GAMMA</stp>
        <stp>MCHI</stp>
        <tr r="N411" s="1"/>
      </tp>
      <tp t="s">
        <v>N/A</v>
        <stp/>
        <stp>STRIKE</stp>
        <stp>DVY</stp>
        <tr r="W84" s="1"/>
      </tp>
      <tp t="s">
        <v>N/A</v>
        <stp/>
        <stp>STRIKE</stp>
        <stp>DXD</stp>
        <tr r="W91" s="1"/>
      </tp>
      <tp>
        <v>2.1</v>
        <stp/>
        <stp>OPEN</stp>
        <stp>.TLT201120C155.5</stp>
        <tr r="L692" s="1"/>
      </tp>
      <tp>
        <v>2.9</v>
        <stp/>
        <stp>OPEN</stp>
        <stp>.XLK201120C119.5</stp>
        <tr r="L825" s="1"/>
      </tp>
      <tp>
        <v>5</v>
        <stp/>
        <stp>OPEN</stp>
        <stp>.SMH201120C192.5</stp>
        <tr r="L552" s="1"/>
      </tp>
      <tp t="s">
        <v>N/A</v>
        <stp/>
        <stp>VEGA</stp>
        <stp>.QQQ201120P292.5</stp>
        <tr r="P493" s="1"/>
      </tp>
      <tp>
        <v>74.69</v>
        <stp/>
        <stp>ASK</stp>
        <stp>TAN</stp>
        <tr r="I659" s="1"/>
      </tp>
      <tp>
        <v>15.97</v>
        <stp/>
        <stp>ASK</stp>
        <stp>TBF</stp>
        <tr r="I680" s="1"/>
      </tp>
      <tp>
        <v>16.5</v>
        <stp/>
        <stp>ASK</stp>
        <stp>TBT</stp>
        <tr r="I683" s="1"/>
      </tp>
      <tp>
        <v>158.66999999999999</v>
        <stp/>
        <stp>ASK</stp>
        <stp>TLT</stp>
        <tr r="I689" s="1"/>
      </tp>
      <tp>
        <v>125.99</v>
        <stp/>
        <stp>ASK</stp>
        <stp>TIP</stp>
        <tr r="I686" s="1"/>
      </tp>
      <tp t="s">
        <v>N/A</v>
        <stp/>
        <stp>DESCRIPTION</stp>
        <stp>JNK</stp>
        <tr r="B380" s="1"/>
      </tp>
      <tp>
        <v>0</v>
        <stp/>
        <stp>RHO</stp>
        <stp>GDX</stp>
        <tr r="Q195" s="1"/>
      </tp>
      <tp>
        <v>24.85</v>
        <stp/>
        <stp>OPEN</stp>
        <stp>ILF</stp>
        <tr r="L277" s="1"/>
      </tp>
      <tp>
        <v>41.44</v>
        <stp/>
        <stp>BID</stp>
        <stp>SPLG</stp>
        <tr r="H584" s="1"/>
      </tp>
      <tp>
        <v>54.65</v>
        <stp/>
        <stp>BID</stp>
        <stp>SPLV</stp>
        <tr r="H587" s="1"/>
      </tp>
      <tp>
        <v>35</v>
        <stp/>
        <stp>BID</stp>
        <stp>SPHD</stp>
        <tr r="H581" s="1"/>
      </tp>
      <tp>
        <v>209.03</v>
        <stp/>
        <stp>OPEN</stp>
        <stp>IJH</stp>
        <tr r="L271" s="1"/>
      </tp>
      <tp>
        <v>80.569999999999993</v>
        <stp/>
        <stp>OPEN</stp>
        <stp>IJR</stp>
        <tr r="L274" s="1"/>
      </tp>
      <tp>
        <v>53.5</v>
        <stp/>
        <stp>LAST</stp>
        <stp>XRT</stp>
        <tr r="E902" s="1"/>
      </tp>
      <tp>
        <v>119.82</v>
        <stp/>
        <stp>OPEN</stp>
        <stp>IEF</stp>
        <tr r="L248" s="1"/>
      </tp>
      <tp>
        <v>14.99</v>
        <stp/>
        <stp>HIGH</stp>
        <stp>PGX</stp>
        <tr r="J454" s="1"/>
      </tp>
      <tp>
        <v>30.49</v>
        <stp/>
        <stp>BID</stp>
        <stp>SPDW</stp>
        <tr r="H578" s="1"/>
      </tp>
      <tp>
        <v>321.97000000000003</v>
        <stp/>
        <stp>OPEN</stp>
        <stp>IGV</stp>
        <tr r="L264" s="1"/>
      </tp>
      <tp>
        <v>139.47</v>
        <stp/>
        <stp>OPEN</stp>
        <stp>IBB</stp>
        <tr r="L228" s="1"/>
      </tp>
      <tp>
        <v>54.72</v>
        <stp/>
        <stp>LAST</stp>
        <stp>XHB</stp>
        <tr r="E780" s="1"/>
      </tp>
      <tp>
        <v>51.99</v>
        <stp/>
        <stp>BID</stp>
        <stp>SPYG</stp>
        <tr r="H629" s="1"/>
      </tp>
      <tp>
        <v>32.25</v>
        <stp/>
        <stp>BID</stp>
        <stp>SPYV</stp>
        <tr r="H634" s="1"/>
      </tp>
      <tp>
        <v>46.34</v>
        <stp/>
        <stp>LAST</stp>
        <stp>XOP</stp>
        <tr r="E889" s="1"/>
      </tp>
      <tp>
        <v>17.75</v>
        <stp/>
        <stp>OPEN</stp>
        <stp>IYE</stp>
        <tr r="L363" s="1"/>
      </tp>
      <tp>
        <v>84.34</v>
        <stp/>
        <stp>OPEN</stp>
        <stp>IYR</stp>
        <tr r="L366" s="1"/>
      </tp>
      <tp>
        <v>110.72</v>
        <stp/>
        <stp>LAST</stp>
        <stp>XLV</stp>
        <tr r="E856" s="1"/>
      </tp>
      <tp>
        <v>19.5</v>
        <stp/>
        <stp>HIGH</stp>
        <stp>PXH</stp>
        <tr r="J457" s="1"/>
      </tp>
      <tp>
        <v>65.44</v>
        <stp/>
        <stp>LAST</stp>
        <stp>XLU</stp>
        <tr r="E849" s="1"/>
      </tp>
      <tp>
        <v>66.61</v>
        <stp/>
        <stp>LAST</stp>
        <stp>XLP</stp>
        <tr r="E841" s="1"/>
      </tp>
      <tp>
        <v>151</v>
        <stp/>
        <stp>LAST</stp>
        <stp>XLY</stp>
        <tr r="E867" s="1"/>
      </tp>
      <tp>
        <v>26.59</v>
        <stp/>
        <stp>LAST</stp>
        <stp>XLF</stp>
        <tr r="E810" s="1"/>
      </tp>
      <tp>
        <v>32.69</v>
        <stp/>
        <stp>LAST</stp>
        <stp>XLE</stp>
        <tr r="E803" s="1"/>
      </tp>
      <tp>
        <v>67.84</v>
        <stp/>
        <stp>LAST</stp>
        <stp>XLB</stp>
        <tr r="E787" s="1"/>
      </tp>
      <tp>
        <v>63.17</v>
        <stp/>
        <stp>LAST</stp>
        <stp>XLC</stp>
        <tr r="E796" s="1"/>
      </tp>
      <tp>
        <v>120.18</v>
        <stp/>
        <stp>LAST</stp>
        <stp>XLK</stp>
        <tr r="E824" s="1"/>
      </tp>
      <tp>
        <v>83.9</v>
        <stp/>
        <stp>LAST</stp>
        <stp>XLI</stp>
        <tr r="E813" s="1"/>
      </tp>
      <tp>
        <v>26.49</v>
        <stp/>
        <stp>LAST</stp>
        <stp>XME</stp>
        <tr r="E884" s="1"/>
      </tp>
      <tp t="s">
        <v>N/A</v>
        <stp/>
        <stp>THETA</stp>
        <stp>.QUAL201120C112</stp>
        <tr r="O503" s="1"/>
      </tp>
      <tp t="s">
        <v>N/A</v>
        <stp/>
        <stp>THETA</stp>
        <stp>.QUAL201120P112</stp>
        <tr r="O504" s="1"/>
      </tp>
      <tp t="s">
        <v>N/A</v>
        <stp/>
        <stp>THETA</stp>
        <stp>.QUAL201120C111</stp>
        <tr r="O501" s="1"/>
      </tp>
      <tp t="s">
        <v>N/A</v>
        <stp/>
        <stp>THETA</stp>
        <stp>.QUAL201120P111</stp>
        <tr r="O502" s="1"/>
      </tp>
      <tp t="s">
        <v>N/A</v>
        <stp/>
        <stp>THETA</stp>
        <stp>.QUAL201120C110</stp>
        <tr r="O499" s="1"/>
      </tp>
      <tp t="s">
        <v>N/A</v>
        <stp/>
        <stp>THETA</stp>
        <stp>.QUAL201120P110</stp>
        <tr r="O500" s="1"/>
      </tp>
      <tp>
        <v>55.37</v>
        <stp/>
        <stp>OPEN</stp>
        <stp>ITB</stp>
        <tr r="L288" s="1"/>
      </tp>
      <tp>
        <v>123.73</v>
        <stp/>
        <stp>LAST</stp>
        <stp>XBI</stp>
        <tr r="E763" s="1"/>
      </tp>
      <tp>
        <v>121.4</v>
        <stp/>
        <stp>OPEN</stp>
        <stp>IVE</stp>
        <tr r="L302" s="1"/>
      </tp>
      <tp>
        <v>356.85</v>
        <stp/>
        <stp>OPEN</stp>
        <stp>IVV</stp>
        <tr r="L309" s="1"/>
      </tp>
      <tp>
        <v>60.74</v>
        <stp/>
        <stp>OPEN</stp>
        <stp>IVW</stp>
        <tr r="L330" s="1"/>
      </tp>
      <tp>
        <v>171.4</v>
        <stp/>
        <stp>OPEN</stp>
        <stp>IWM</stp>
        <tr r="L345" s="1"/>
      </tp>
      <tp>
        <v>128.49</v>
        <stp/>
        <stp>OPEN</stp>
        <stp>IWD</stp>
        <tr r="L333" s="1"/>
      </tp>
      <tp>
        <v>226.11</v>
        <stp/>
        <stp>OPEN</stp>
        <stp>IWF</stp>
        <tr r="L340" s="1"/>
      </tp>
      <tp>
        <v>1.31</v>
        <stp/>
        <stp>LAST</stp>
        <stp>.GDXJ201120P53.5</stp>
        <tr r="E210" s="1"/>
      </tp>
      <tp>
        <v>1.79</v>
        <stp/>
        <stp>LAST</stp>
        <stp>.GDXJ201120C53.5</stp>
        <tr r="E209" s="1"/>
      </tp>
      <tp t="s">
        <v>N/A</v>
        <stp/>
        <stp>VEGA</stp>
        <stp>.SMH201120P193.5</stp>
        <tr r="P557" s="1"/>
      </tp>
      <tp>
        <v>0</v>
        <stp/>
        <stp>THETA</stp>
        <stp>HYLB</stp>
        <tr r="O225" s="1"/>
      </tp>
      <tp t="s">
        <v>N/A</v>
        <stp/>
        <stp>STRIKE</stp>
        <stp>GDX</stp>
        <tr r="W195" s="1"/>
      </tp>
      <tp>
        <v>2.72</v>
        <stp/>
        <stp>HIGH</stp>
        <stp>.SMH201120P193.5</stp>
        <tr r="J557" s="1"/>
      </tp>
      <tp t="s">
        <v>N/A</v>
        <stp/>
        <stp>VEGA</stp>
        <stp>.IWM201120C175</stp>
        <tr r="P358" s="1"/>
      </tp>
      <tp t="s">
        <v>N/A</v>
        <stp/>
        <stp>VEGA</stp>
        <stp>.IWM201120P175</stp>
        <tr r="P359" s="1"/>
      </tp>
      <tp t="s">
        <v>N/A</v>
        <stp/>
        <stp>VEGA</stp>
        <stp>.IWM201120C174</stp>
        <tr r="P356" s="1"/>
      </tp>
      <tp t="s">
        <v>N/A</v>
        <stp/>
        <stp>VEGA</stp>
        <stp>.IWM201120P174</stp>
        <tr r="P357" s="1"/>
      </tp>
      <tp t="s">
        <v>N/A</v>
        <stp/>
        <stp>VEGA</stp>
        <stp>.IWM201120C173</stp>
        <tr r="P354" s="1"/>
      </tp>
      <tp t="s">
        <v>N/A</v>
        <stp/>
        <stp>VEGA</stp>
        <stp>.IWM201120P173</stp>
        <tr r="P355" s="1"/>
      </tp>
      <tp t="s">
        <v>N/A</v>
        <stp/>
        <stp>VEGA</stp>
        <stp>.IWM201120C172</stp>
        <tr r="P350" s="1"/>
      </tp>
      <tp t="s">
        <v>N/A</v>
        <stp/>
        <stp>VEGA</stp>
        <stp>.IWM201120P172</stp>
        <tr r="P351" s="1"/>
      </tp>
      <tp t="s">
        <v>N/A</v>
        <stp/>
        <stp>VEGA</stp>
        <stp>.IWM201120C171</stp>
        <tr r="P348" s="1"/>
      </tp>
      <tp t="s">
        <v>N/A</v>
        <stp/>
        <stp>VEGA</stp>
        <stp>.IWM201120P171</stp>
        <tr r="P349" s="1"/>
      </tp>
      <tp t="s">
        <v>N/A</v>
        <stp/>
        <stp>VEGA</stp>
        <stp>.IWM201120C170</stp>
        <tr r="P346" s="1"/>
      </tp>
      <tp t="s">
        <v>N/A</v>
        <stp/>
        <stp>VEGA</stp>
        <stp>.IWM201120P170</stp>
        <tr r="P347" s="1"/>
      </tp>
      <tp t="s">
        <v>N/A</v>
        <stp/>
        <stp>VEGA</stp>
        <stp>.VOO201120P325</stp>
        <tr r="P731" s="1"/>
      </tp>
      <tp t="s">
        <v>N/A</v>
        <stp/>
        <stp>VEGA</stp>
        <stp>.VOO201120C325</stp>
        <tr r="P730" s="1"/>
      </tp>
      <tp t="s">
        <v>N/A</v>
        <stp/>
        <stp>VEGA</stp>
        <stp>.VOO201120P330</stp>
        <tr r="P733" s="1"/>
      </tp>
      <tp t="s">
        <v>N/A</v>
        <stp/>
        <stp>VEGA</stp>
        <stp>.VOO201120C330</stp>
        <tr r="P732" s="1"/>
      </tp>
      <tp>
        <v>1.02</v>
        <stp/>
        <stp>OPEN</stp>
        <stp>.TLT201120P156.5</stp>
        <tr r="L697" s="1"/>
      </tp>
      <tp>
        <v>1</v>
        <stp/>
        <stp>DELTA</stp>
        <stp>HYLB</stp>
        <tr r="M225" s="1"/>
      </tp>
      <tp t="s">
        <v>N/A</v>
        <stp/>
        <stp>VEGA</stp>
        <stp>.SMH201120C193.5</stp>
        <tr r="P556" s="1"/>
      </tp>
      <tp t="s">
        <v>N/A</v>
        <stp/>
        <stp>OPEN</stp>
        <stp>.IGV201120P315</stp>
        <tr r="L266" s="1"/>
      </tp>
      <tp t="s">
        <v>N/A</v>
        <stp/>
        <stp>OPEN</stp>
        <stp>.IGV201120C315</stp>
        <tr r="L265" s="1"/>
      </tp>
      <tp>
        <v>0.246</v>
        <stp/>
        <stp>PUT_CALL_RATIO</stp>
        <stp>AGG</stp>
        <tr r="C15" s="1"/>
      </tp>
      <tp t="s">
        <v>N/A</v>
        <stp/>
        <stp>OPEN</stp>
        <stp>.IGV201120P325</stp>
        <tr r="L270" s="1"/>
      </tp>
      <tp t="s">
        <v>N/A</v>
        <stp/>
        <stp>OPEN</stp>
        <stp>.IGV201120C325</stp>
        <tr r="L269" s="1"/>
      </tp>
      <tp t="s">
        <v>N/A</v>
        <stp/>
        <stp>OPEN</stp>
        <stp>.IGV201120P320</stp>
        <tr r="L268" s="1"/>
      </tp>
      <tp t="s">
        <v>N/A</v>
        <stp/>
        <stp>OPEN</stp>
        <stp>.IGV201120C320</stp>
        <tr r="L267" s="1"/>
      </tp>
      <tp>
        <v>4.3600000000000003</v>
        <stp/>
        <stp>HIGH</stp>
        <stp>.SMH201120C193.5</stp>
        <tr r="J556" s="1"/>
      </tp>
      <tp>
        <v>0.73</v>
        <stp/>
        <stp>OPEN</stp>
        <stp>.TLT201120P155</stp>
        <tr r="L691" s="1"/>
      </tp>
      <tp>
        <v>2.0499999999999998</v>
        <stp/>
        <stp>OPEN</stp>
        <stp>.TLT201120C155</stp>
        <tr r="L690" s="1"/>
      </tp>
      <tp>
        <v>1.39</v>
        <stp/>
        <stp>OPEN</stp>
        <stp>.TLT201120P156</stp>
        <tr r="L695" s="1"/>
      </tp>
      <tp>
        <v>1.75</v>
        <stp/>
        <stp>OPEN</stp>
        <stp>.TLT201120C156</stp>
        <tr r="L694" s="1"/>
      </tp>
      <tp>
        <v>4.2</v>
        <stp/>
        <stp>OPEN</stp>
        <stp>.IVV201120C355</stp>
        <tr r="L312" s="1"/>
      </tp>
      <tp>
        <v>4.5</v>
        <stp/>
        <stp>OPEN</stp>
        <stp>.IVV201120P355</stp>
        <tr r="L313" s="1"/>
      </tp>
      <tp>
        <v>0</v>
        <stp/>
        <stp>OPEN</stp>
        <stp>.IVV201120C354</stp>
        <tr r="L310" s="1"/>
      </tp>
      <tp>
        <v>0</v>
        <stp/>
        <stp>OPEN</stp>
        <stp>.IVV201120P354</stp>
        <tr r="L311" s="1"/>
      </tp>
      <tp>
        <v>0</v>
        <stp/>
        <stp>OPEN</stp>
        <stp>.IVV201120C357</stp>
        <tr r="L316" s="1"/>
      </tp>
      <tp>
        <v>0</v>
        <stp/>
        <stp>OPEN</stp>
        <stp>.IVV201120P357</stp>
        <tr r="L317" s="1"/>
      </tp>
      <tp>
        <v>0</v>
        <stp/>
        <stp>OPEN</stp>
        <stp>.IVV201120C356</stp>
        <tr r="L314" s="1"/>
      </tp>
      <tp>
        <v>0</v>
        <stp/>
        <stp>OPEN</stp>
        <stp>.IVV201120P356</stp>
        <tr r="L315" s="1"/>
      </tp>
      <tp>
        <v>2.91</v>
        <stp/>
        <stp>OPEN</stp>
        <stp>.IVV201120C359</stp>
        <tr r="L322" s="1"/>
      </tp>
      <tp>
        <v>0</v>
        <stp/>
        <stp>OPEN</stp>
        <stp>.IVV201120P359</stp>
        <tr r="L323" s="1"/>
      </tp>
      <tp>
        <v>0</v>
        <stp/>
        <stp>OPEN</stp>
        <stp>.IVV201120C358</stp>
        <tr r="L320" s="1"/>
      </tp>
      <tp>
        <v>0</v>
        <stp/>
        <stp>OPEN</stp>
        <stp>.IVV201120P358</stp>
        <tr r="L321" s="1"/>
      </tp>
      <tp>
        <v>1.43</v>
        <stp/>
        <stp>OPEN</stp>
        <stp>.TLT201120C156.5</stp>
        <tr r="L696" s="1"/>
      </tp>
      <tp>
        <v>653</v>
        <stp/>
        <stp>OPEN_INT</stp>
        <stp>.MJ201120P13</stp>
        <tr r="G425" s="1"/>
      </tp>
      <tp>
        <v>0</v>
        <stp/>
        <stp>OPEN</stp>
        <stp>.IVV201120C361</stp>
        <tr r="L326" s="1"/>
      </tp>
      <tp>
        <v>0</v>
        <stp/>
        <stp>OPEN</stp>
        <stp>.IVV201120P361</stp>
        <tr r="L327" s="1"/>
      </tp>
      <tp>
        <v>0</v>
        <stp/>
        <stp>OPEN</stp>
        <stp>.IVV201120C360</stp>
        <tr r="L324" s="1"/>
      </tp>
      <tp>
        <v>0</v>
        <stp/>
        <stp>OPEN</stp>
        <stp>.IVV201120P360</stp>
        <tr r="L325" s="1"/>
      </tp>
      <tp>
        <v>0</v>
        <stp/>
        <stp>OPEN</stp>
        <stp>.IVV201120C362</stp>
        <tr r="L328" s="1"/>
      </tp>
      <tp>
        <v>0</v>
        <stp/>
        <stp>OPEN</stp>
        <stp>.IVV201120P362</stp>
        <tr r="L329" s="1"/>
      </tp>
      <tp t="s">
        <v>N/A</v>
        <stp/>
        <stp>DELTA</stp>
        <stp>.QQQ201120P294</stp>
        <tr r="M497" s="1"/>
      </tp>
      <tp t="s">
        <v>N/A</v>
        <stp/>
        <stp>DELTA</stp>
        <stp>.QQQ201120C294</stp>
        <tr r="M496" s="1"/>
      </tp>
      <tp t="s">
        <v>N/A</v>
        <stp/>
        <stp>DELTA</stp>
        <stp>.QQQ201120P292</stp>
        <tr r="M491" s="1"/>
      </tp>
      <tp t="s">
        <v>N/A</v>
        <stp/>
        <stp>DELTA</stp>
        <stp>.QQQ201120C292</stp>
        <tr r="M490" s="1"/>
      </tp>
      <tp t="s">
        <v>N/A</v>
        <stp/>
        <stp>DELTA</stp>
        <stp>.QQQ201120P293</stp>
        <tr r="M495" s="1"/>
      </tp>
      <tp t="s">
        <v>N/A</v>
        <stp/>
        <stp>DELTA</stp>
        <stp>.QQQ201120C293</stp>
        <tr r="M494" s="1"/>
      </tp>
      <tp t="s">
        <v>N/A</v>
        <stp/>
        <stp>DELTA</stp>
        <stp>.QQQ201120P290</stp>
        <tr r="M487" s="1"/>
      </tp>
      <tp t="s">
        <v>N/A</v>
        <stp/>
        <stp>DELTA</stp>
        <stp>.QQQ201120C290</stp>
        <tr r="M486" s="1"/>
      </tp>
      <tp t="s">
        <v>N/A</v>
        <stp/>
        <stp>DELTA</stp>
        <stp>.QQQ201120P291</stp>
        <tr r="M489" s="1"/>
      </tp>
      <tp t="s">
        <v>N/A</v>
        <stp/>
        <stp>DELTA</stp>
        <stp>.QQQ201120C291</stp>
        <tr r="M488" s="1"/>
      </tp>
      <tp t="s">
        <v>N/A</v>
        <stp/>
        <stp>DELTA</stp>
        <stp>.QQQ201120P286</stp>
        <tr r="M477" s="1"/>
      </tp>
      <tp t="s">
        <v>N/A</v>
        <stp/>
        <stp>DELTA</stp>
        <stp>.QQQ201120C286</stp>
        <tr r="M476" s="1"/>
      </tp>
      <tp t="s">
        <v>N/A</v>
        <stp/>
        <stp>DELTA</stp>
        <stp>.QQQ201120P287</stp>
        <tr r="M479" s="1"/>
      </tp>
      <tp t="s">
        <v>N/A</v>
        <stp/>
        <stp>DELTA</stp>
        <stp>.QQQ201120C287</stp>
        <tr r="M478" s="1"/>
      </tp>
      <tp t="s">
        <v>N/A</v>
        <stp/>
        <stp>DELTA</stp>
        <stp>.QQQ201120P288</stp>
        <tr r="M483" s="1"/>
      </tp>
      <tp t="s">
        <v>N/A</v>
        <stp/>
        <stp>DELTA</stp>
        <stp>.QQQ201120C288</stp>
        <tr r="M482" s="1"/>
      </tp>
      <tp t="s">
        <v>N/A</v>
        <stp/>
        <stp>DELTA</stp>
        <stp>.QQQ201120P289</stp>
        <tr r="M485" s="1"/>
      </tp>
      <tp t="s">
        <v>N/A</v>
        <stp/>
        <stp>DELTA</stp>
        <stp>.QQQ201120C289</stp>
        <tr r="M484" s="1"/>
      </tp>
      <tp t="s">
        <v>N/A</v>
        <stp/>
        <stp>GAMMA</stp>
        <stp>.XLV201120C112</stp>
        <tr r="N865" s="1"/>
      </tp>
      <tp t="s">
        <v>N/A</v>
        <stp/>
        <stp>GAMMA</stp>
        <stp>.XLV201120P112</stp>
        <tr r="N866" s="1"/>
      </tp>
      <tp t="s">
        <v>N/A</v>
        <stp/>
        <stp>GAMMA</stp>
        <stp>.XLV201120C110</stp>
        <tr r="N857" s="1"/>
      </tp>
      <tp t="s">
        <v>N/A</v>
        <stp/>
        <stp>GAMMA</stp>
        <stp>.XLV201120P110</stp>
        <tr r="N858" s="1"/>
      </tp>
      <tp t="s">
        <v>N/A</v>
        <stp/>
        <stp>GAMMA</stp>
        <stp>.XLV201120C111</stp>
        <tr r="N861" s="1"/>
      </tp>
      <tp t="s">
        <v>N/A</v>
        <stp/>
        <stp>GAMMA</stp>
        <stp>.XLV201120P111</stp>
        <tr r="N862" s="1"/>
      </tp>
      <tp t="s">
        <v>SPDR SERIES TRUST S&amp;P REGL BKG ETF</v>
        <stp/>
        <stp>DESCRIPTION</stp>
        <stp>KRE</stp>
        <tr r="B388" s="1"/>
      </tp>
      <tp>
        <v>85.94</v>
        <stp/>
        <stp>BID</stp>
        <stp>VYM</stp>
        <tr r="H758" s="1"/>
      </tp>
      <tp>
        <v>0</v>
        <stp/>
        <stp>RHO</stp>
        <stp>FXI</stp>
        <tr r="Q188" s="1"/>
      </tp>
      <tp>
        <v>46.4</v>
        <stp/>
        <stp>BID</stp>
        <stp>VWO</stp>
        <tr r="H748" s="1"/>
      </tp>
      <tp>
        <v>0</v>
        <stp/>
        <stp>RHO</stp>
        <stp>FVD</stp>
        <tr r="Q185" s="1"/>
      </tp>
      <tp>
        <v>179.9</v>
        <stp/>
        <stp>BID</stp>
        <stp>VTI</stp>
        <tr r="H739" s="1"/>
      </tp>
      <tp>
        <v>53.12</v>
        <stp/>
        <stp>LOW</stp>
        <stp>XRT</stp>
        <tr r="K902" s="1"/>
      </tp>
      <tp>
        <v>82.8</v>
        <stp/>
        <stp>BID</stp>
        <stp>VNQ</stp>
        <tr r="H724" s="1"/>
      </tp>
      <tp>
        <v>54.23</v>
        <stp/>
        <stp>LOW</stp>
        <stp>XHB</stp>
        <tr r="K780" s="1"/>
      </tp>
      <tp>
        <v>323.98</v>
        <stp/>
        <stp>BID</stp>
        <stp>VOO</stp>
        <tr r="H729" s="1"/>
      </tp>
      <tp>
        <v>150.13499999999999</v>
        <stp/>
        <stp>LOW</stp>
        <stp>XLY</stp>
        <tr r="K867" s="1"/>
      </tp>
      <tp>
        <v>109.98</v>
        <stp/>
        <stp>LOW</stp>
        <stp>XLV</stp>
        <tr r="K856" s="1"/>
      </tp>
      <tp>
        <v>64.924999999999997</v>
        <stp/>
        <stp>LOW</stp>
        <stp>XLU</stp>
        <tr r="K849" s="1"/>
      </tp>
      <tp>
        <v>66.05</v>
        <stp/>
        <stp>LOW</stp>
        <stp>XLP</stp>
        <tr r="K841" s="1"/>
      </tp>
      <tp>
        <v>119.61499999999999</v>
        <stp/>
        <stp>LOW</stp>
        <stp>XLK</stp>
        <tr r="K824" s="1"/>
      </tp>
      <tp>
        <v>83.325000000000003</v>
        <stp/>
        <stp>LOW</stp>
        <stp>XLI</stp>
        <tr r="K813" s="1"/>
      </tp>
      <tp>
        <v>26.35</v>
        <stp/>
        <stp>LOW</stp>
        <stp>XLF</stp>
        <tr r="K810" s="1"/>
      </tp>
      <tp>
        <v>32.340000000000003</v>
        <stp/>
        <stp>LOW</stp>
        <stp>XLE</stp>
        <tr r="K803" s="1"/>
      </tp>
      <tp>
        <v>67.400000000000006</v>
        <stp/>
        <stp>LOW</stp>
        <stp>XLB</stp>
        <tr r="K787" s="1"/>
      </tp>
      <tp>
        <v>62.94</v>
        <stp/>
        <stp>LOW</stp>
        <stp>XLC</stp>
        <tr r="K796" s="1"/>
      </tp>
      <tp>
        <v>26.274999999999999</v>
        <stp/>
        <stp>LOW</stp>
        <stp>XME</stp>
        <tr r="K884" s="1"/>
      </tp>
      <tp t="s">
        <v>SPDR SERIES TRUST S&amp;P BK ETF</v>
        <stp/>
        <stp>DESCRIPTION</stp>
        <stp>KBE</stp>
        <tr r="B385" s="1"/>
      </tp>
      <tp>
        <v>45.88</v>
        <stp/>
        <stp>LOW</stp>
        <stp>XOP</stp>
        <tr r="K889" s="1"/>
      </tp>
      <tp>
        <v>65.23</v>
        <stp/>
        <stp>BID</stp>
        <stp>VFH</stp>
        <tr r="H713" s="1"/>
      </tp>
      <tp>
        <v>55.66</v>
        <stp/>
        <stp>BID</stp>
        <stp>VGK</stp>
        <tr r="H721" s="1"/>
      </tp>
      <tp>
        <v>122.6</v>
        <stp/>
        <stp>LOW</stp>
        <stp>XBI</stp>
        <tr r="K763" s="1"/>
      </tp>
      <tp>
        <v>0</v>
        <stp/>
        <stp>RHO</stp>
        <stp>FEZ</stp>
        <tr r="Q180" s="1"/>
      </tp>
      <tp>
        <v>43.31</v>
        <stp/>
        <stp>BID</stp>
        <stp>VEA</stp>
        <tr r="H707" s="1"/>
      </tp>
      <tp>
        <v>54</v>
        <stp/>
        <stp>BID</stp>
        <stp>VEU</stp>
        <tr r="H710" s="1"/>
      </tp>
      <tp>
        <v>99.83</v>
        <stp/>
        <stp>HIGH</stp>
        <stp>QLD</stp>
        <tr r="J462" s="1"/>
      </tp>
      <tp>
        <v>0</v>
        <stp/>
        <stp>RHO</stp>
        <stp>SPDW</stp>
        <tr r="Q578" s="1"/>
      </tp>
      <tp>
        <v>0</v>
        <stp/>
        <stp>RHO</stp>
        <stp>SPLG</stp>
        <tr r="Q584" s="1"/>
      </tp>
      <tp>
        <v>0</v>
        <stp/>
        <stp>RHO</stp>
        <stp>SPLV</stp>
        <tr r="Q587" s="1"/>
      </tp>
      <tp>
        <v>0</v>
        <stp/>
        <stp>RHO</stp>
        <stp>SPHD</stp>
        <tr r="Q581" s="1"/>
      </tp>
      <tp>
        <v>22.1</v>
        <stp/>
        <stp>ASK</stp>
        <stp>BKLN</stp>
        <tr r="I48" s="1"/>
      </tp>
      <tp t="s">
        <v>N/A</v>
        <stp/>
        <stp>THETA</stp>
        <stp>.MTUM201120P149</stp>
        <tr r="O428" s="1"/>
      </tp>
      <tp t="s">
        <v>N/A</v>
        <stp/>
        <stp>THETA</stp>
        <stp>.MTUM201120C149</stp>
        <tr r="O427" s="1"/>
      </tp>
      <tp t="s">
        <v>N/A</v>
        <stp/>
        <stp>THETA</stp>
        <stp>.MTUM201120P152</stp>
        <tr r="O434" s="1"/>
      </tp>
      <tp t="s">
        <v>N/A</v>
        <stp/>
        <stp>THETA</stp>
        <stp>.MTUM201120C152</stp>
        <tr r="O433" s="1"/>
      </tp>
      <tp t="s">
        <v>N/A</v>
        <stp/>
        <stp>THETA</stp>
        <stp>.MTUM201120P150</stp>
        <tr r="O430" s="1"/>
      </tp>
      <tp t="s">
        <v>N/A</v>
        <stp/>
        <stp>THETA</stp>
        <stp>.MTUM201120C150</stp>
        <tr r="O429" s="1"/>
      </tp>
      <tp t="s">
        <v>N/A</v>
        <stp/>
        <stp>THETA</stp>
        <stp>.MTUM201120P151</stp>
        <tr r="O432" s="1"/>
      </tp>
      <tp t="s">
        <v>N/A</v>
        <stp/>
        <stp>THETA</stp>
        <stp>.MTUM201120C151</stp>
        <tr r="O431" s="1"/>
      </tp>
      <tp>
        <v>85.65</v>
        <stp/>
        <stp>OPEN</stp>
        <stp>HYG</stp>
        <tr r="L220" s="1"/>
      </tp>
      <tp>
        <v>74.569999999999993</v>
        <stp/>
        <stp>LOW</stp>
        <stp>KWEB</stp>
        <tr r="K397" s="1"/>
      </tp>
      <tp>
        <v>0.89</v>
        <stp/>
        <stp>LAST</stp>
        <stp>.GDXJ201120P52.5</stp>
        <tr r="E206" s="1"/>
      </tp>
      <tp>
        <v>2.08</v>
        <stp/>
        <stp>LAST</stp>
        <stp>.GDXJ201120C52.5</stp>
        <tr r="E205" s="1"/>
      </tp>
      <tp>
        <v>292.07400000000001</v>
        <stp/>
        <stp>HIGH</stp>
        <stp>QQQ</stp>
        <tr r="J475" s="1"/>
      </tp>
      <tp>
        <v>0</v>
        <stp/>
        <stp>RHO</stp>
        <stp>SPYG</stp>
        <tr r="Q629" s="1"/>
      </tp>
      <tp>
        <v>0</v>
        <stp/>
        <stp>RHO</stp>
        <stp>SPYV</stp>
        <tr r="Q634" s="1"/>
      </tp>
      <tp t="s">
        <v>N/A</v>
        <stp/>
        <stp>VEGA</stp>
        <stp>.XLK201120P119.5</stp>
        <tr r="P826" s="1"/>
      </tp>
      <tp t="s">
        <v>N/A</v>
        <stp/>
        <stp>VEGA</stp>
        <stp>.TLT201120P155.5</stp>
        <tr r="P693" s="1"/>
      </tp>
      <tp t="s">
        <v>N/A</v>
        <stp/>
        <stp>VEGA</stp>
        <stp>.SMH201120P192.5</stp>
        <tr r="P553" s="1"/>
      </tp>
      <tp>
        <v>3.83</v>
        <stp/>
        <stp>OPEN</stp>
        <stp>.QQQ201120C292.5</stp>
        <tr r="L492" s="1"/>
      </tp>
      <tp t="s">
        <v>67.04%</v>
        <stp/>
        <stp>IMPL_VOL</stp>
        <stp>MJ</stp>
        <tr r="D423" s="1"/>
      </tp>
      <tp>
        <v>0</v>
        <stp/>
        <stp>GAMMA</stp>
        <stp>AAXJ</stp>
        <tr r="N2" s="1"/>
      </tp>
      <tp>
        <v>6.41</v>
        <stp/>
        <stp>HIGH</stp>
        <stp>.SPY201120C352.5</stp>
        <tr r="J607" s="1"/>
      </tp>
      <tp t="s">
        <v>N/A</v>
        <stp/>
        <stp>STRIKE</stp>
        <stp>FEZ</stp>
        <tr r="W180" s="1"/>
      </tp>
      <tp>
        <v>6.5</v>
        <stp/>
        <stp>HIGH</stp>
        <stp>.QQQ201120C289</stp>
        <tr r="J484" s="1"/>
      </tp>
      <tp>
        <v>5.81</v>
        <stp/>
        <stp>HIGH</stp>
        <stp>.QQQ201120P289</stp>
        <tr r="J485" s="1"/>
      </tp>
      <tp>
        <v>7.1</v>
        <stp/>
        <stp>HIGH</stp>
        <stp>.QQQ201120C288</stp>
        <tr r="J482" s="1"/>
      </tp>
      <tp>
        <v>5.37</v>
        <stp/>
        <stp>HIGH</stp>
        <stp>.QQQ201120P288</stp>
        <tr r="J483" s="1"/>
      </tp>
      <tp>
        <v>7.89</v>
        <stp/>
        <stp>HIGH</stp>
        <stp>.QQQ201120C287</stp>
        <tr r="J478" s="1"/>
      </tp>
      <tp>
        <v>4.9000000000000004</v>
        <stp/>
        <stp>HIGH</stp>
        <stp>.QQQ201120P287</stp>
        <tr r="J479" s="1"/>
      </tp>
      <tp>
        <v>8.44</v>
        <stp/>
        <stp>HIGH</stp>
        <stp>.QQQ201120C286</stp>
        <tr r="J476" s="1"/>
      </tp>
      <tp>
        <v>4.5</v>
        <stp/>
        <stp>HIGH</stp>
        <stp>.QQQ201120P286</stp>
        <tr r="J477" s="1"/>
      </tp>
      <tp>
        <v>0</v>
        <stp/>
        <stp>HIGH</stp>
        <stp>.SMH201120P192.5</stp>
        <tr r="J553" s="1"/>
      </tp>
      <tp>
        <v>3.63</v>
        <stp/>
        <stp>HIGH</stp>
        <stp>.QQQ201120C294</stp>
        <tr r="J496" s="1"/>
      </tp>
      <tp>
        <v>8.4499999999999993</v>
        <stp/>
        <stp>HIGH</stp>
        <stp>.QQQ201120P294</stp>
        <tr r="J497" s="1"/>
      </tp>
      <tp>
        <v>4.12</v>
        <stp/>
        <stp>HIGH</stp>
        <stp>.QQQ201120C293</stp>
        <tr r="J494" s="1"/>
      </tp>
      <tp>
        <v>8</v>
        <stp/>
        <stp>HIGH</stp>
        <stp>.QQQ201120P293</stp>
        <tr r="J495" s="1"/>
      </tp>
      <tp>
        <v>4.7300000000000004</v>
        <stp/>
        <stp>HIGH</stp>
        <stp>.QQQ201120C292</stp>
        <tr r="J490" s="1"/>
      </tp>
      <tp>
        <v>7</v>
        <stp/>
        <stp>HIGH</stp>
        <stp>.QQQ201120P292</stp>
        <tr r="J491" s="1"/>
      </tp>
      <tp>
        <v>5.29</v>
        <stp/>
        <stp>HIGH</stp>
        <stp>.QQQ201120C291</stp>
        <tr r="J488" s="1"/>
      </tp>
      <tp>
        <v>6.75</v>
        <stp/>
        <stp>HIGH</stp>
        <stp>.QQQ201120P291</stp>
        <tr r="J489" s="1"/>
      </tp>
      <tp>
        <v>5.89</v>
        <stp/>
        <stp>HIGH</stp>
        <stp>.QQQ201120C290</stp>
        <tr r="J486" s="1"/>
      </tp>
      <tp>
        <v>6.31</v>
        <stp/>
        <stp>HIGH</stp>
        <stp>.QQQ201120P290</stp>
        <tr r="J487" s="1"/>
      </tp>
      <tp>
        <v>0.5</v>
        <stp/>
        <stp>LAST</stp>
        <stp>.XLV201120C112</stp>
        <tr r="E865" s="1"/>
      </tp>
      <tp>
        <v>1.76</v>
        <stp/>
        <stp>LAST</stp>
        <stp>.XLV201120P112</stp>
        <tr r="E866" s="1"/>
      </tp>
      <tp>
        <v>1.68</v>
        <stp/>
        <stp>LAST</stp>
        <stp>.XLV201120C110</stp>
        <tr r="E857" s="1"/>
      </tp>
      <tp>
        <v>1.03</v>
        <stp/>
        <stp>LAST</stp>
        <stp>.XLV201120P110</stp>
        <tr r="E858" s="1"/>
      </tp>
      <tp>
        <v>0.86</v>
        <stp/>
        <stp>LAST</stp>
        <stp>.XLV201120C111</stp>
        <tr r="E861" s="1"/>
      </tp>
      <tp>
        <v>1.36</v>
        <stp/>
        <stp>LAST</stp>
        <stp>.XLV201120P111</stp>
        <tr r="E862" s="1"/>
      </tp>
      <tp>
        <v>1.1599999999999999</v>
        <stp/>
        <stp>HIGH</stp>
        <stp>.TLT201120P155.5</stp>
        <tr r="J693" s="1"/>
      </tp>
      <tp>
        <v>2.02</v>
        <stp/>
        <stp>HIGH</stp>
        <stp>.XLK201120P119.5</stp>
        <tr r="J826" s="1"/>
      </tp>
      <tp>
        <v>1</v>
        <stp/>
        <stp>DELTA</stp>
        <stp>IXUS</stp>
        <tr r="M360" s="1"/>
      </tp>
      <tp>
        <v>1</v>
        <stp/>
        <stp>DELTA</stp>
        <stp>VXUS</stp>
        <tr r="M753" s="1"/>
      </tp>
      <tp>
        <v>0.21</v>
        <stp/>
        <stp>VEGA</stp>
        <stp>.SPY201120C352.5</stp>
        <tr r="P607" s="1"/>
      </tp>
      <tp t="s">
        <v>N/A</v>
        <stp/>
        <stp>VEGA</stp>
        <stp>.SMH201120C192.5</stp>
        <tr r="P552" s="1"/>
      </tp>
      <tp>
        <v>5.99</v>
        <stp/>
        <stp>OPEN</stp>
        <stp>.QQQ201120P292.5</stp>
        <tr r="L493" s="1"/>
      </tp>
      <tp t="s">
        <v>N/A</v>
        <stp/>
        <stp>VEGA</stp>
        <stp>.XLK201120C119.5</stp>
        <tr r="P825" s="1"/>
      </tp>
      <tp t="s">
        <v>N/A</v>
        <stp/>
        <stp>VEGA</stp>
        <stp>.TLT201120C155.5</stp>
        <tr r="P692" s="1"/>
      </tp>
      <tp>
        <v>0</v>
        <stp/>
        <stp>GAMMA</stp>
        <stp>NAIL</stp>
        <tr r="N438" s="1"/>
      </tp>
      <tp>
        <v>5.5</v>
        <stp/>
        <stp>HIGH</stp>
        <stp>.SPY201120P352.5</stp>
        <tr r="J608" s="1"/>
      </tp>
      <tp t="s">
        <v>N/A</v>
        <stp/>
        <stp>STRIKE</stp>
        <stp>FVD</stp>
        <tr r="W185" s="1"/>
      </tp>
      <tp>
        <v>3.15</v>
        <stp/>
        <stp>HIGH</stp>
        <stp>.TLT201120C155.5</stp>
        <tr r="J692" s="1"/>
      </tp>
      <tp>
        <v>2.9</v>
        <stp/>
        <stp>HIGH</stp>
        <stp>.XLK201120C119.5</stp>
        <tr r="J825" s="1"/>
      </tp>
      <tp t="s">
        <v>22.56%</v>
        <stp/>
        <stp>IMPL_VOL</stp>
        <stp>VT</stp>
        <tr r="D734" s="1"/>
      </tp>
      <tp>
        <v>0</v>
        <stp/>
        <stp>THETA</stp>
        <stp>IXUS</stp>
        <tr r="O360" s="1"/>
      </tp>
      <tp>
        <v>0</v>
        <stp/>
        <stp>THETA</stp>
        <stp>VXUS</stp>
        <tr r="O753" s="1"/>
      </tp>
      <tp>
        <v>5</v>
        <stp/>
        <stp>HIGH</stp>
        <stp>.SMH201120C192.5</stp>
        <tr r="J552" s="1"/>
      </tp>
      <tp t="s">
        <v>N/A</v>
        <stp/>
        <stp>STRIKE</stp>
        <stp>FXI</stp>
        <tr r="W188" s="1"/>
      </tp>
      <tp>
        <v>0.21</v>
        <stp/>
        <stp>VEGA</stp>
        <stp>.SPY201120P352.5</stp>
        <tr r="P608" s="1"/>
      </tp>
      <tp t="s">
        <v>24.45%</v>
        <stp/>
        <stp>IMPL_VOL</stp>
        <stp>SH</stp>
        <tr r="D542" s="1"/>
      </tp>
      <tp>
        <v>17.25</v>
        <stp/>
        <stp>BID</stp>
        <stp>IYE</stp>
        <tr r="H363" s="1"/>
      </tp>
      <tp>
        <v>83.53</v>
        <stp/>
        <stp>BID</stp>
        <stp>IYR</stp>
        <tr r="H366" s="1"/>
      </tp>
      <tp>
        <v>118.13</v>
        <stp/>
        <stp>BID</stp>
        <stp>IVE</stp>
        <tr r="H302" s="1"/>
      </tp>
      <tp>
        <v>60.06</v>
        <stp/>
        <stp>BID</stp>
        <stp>IVW</stp>
        <tr r="H330" s="1"/>
      </tp>
      <tp>
        <v>353.91</v>
        <stp/>
        <stp>BID</stp>
        <stp>IVV</stp>
        <tr r="H309" s="1"/>
      </tp>
      <tp>
        <v>169.63</v>
        <stp/>
        <stp>BID</stp>
        <stp>IWM</stp>
        <tr r="H345" s="1"/>
      </tp>
      <tp>
        <v>126.9</v>
        <stp/>
        <stp>BID</stp>
        <stp>IWD</stp>
        <tr r="H333" s="1"/>
      </tp>
      <tp>
        <v>223.23</v>
        <stp/>
        <stp>BID</stp>
        <stp>IWF</stp>
        <tr r="H340" s="1"/>
      </tp>
      <tp>
        <v>106.59</v>
        <stp/>
        <stp>ASK</stp>
        <stp>JNK</stp>
        <tr r="I380" s="1"/>
      </tp>
      <tp>
        <v>53.78</v>
        <stp/>
        <stp>BID</stp>
        <stp>ITB</stp>
        <tr r="H288" s="1"/>
      </tp>
      <tp>
        <v>20</v>
        <stp/>
        <stp>BID</stp>
        <stp>ILF</stp>
        <tr r="H277" s="1"/>
      </tp>
      <tp>
        <v>203.89</v>
        <stp/>
        <stp>BID</stp>
        <stp>IJH</stp>
        <tr r="H271" s="1"/>
      </tp>
      <tp>
        <v>78.92</v>
        <stp/>
        <stp>BID</stp>
        <stp>IJR</stp>
        <tr r="H274" s="1"/>
      </tp>
      <tp t="s">
        <v>N/A</v>
        <stp/>
        <stp>DESCRIPTION</stp>
        <stp>TAN</stp>
        <tr r="B659" s="1"/>
      </tp>
      <tp t="s">
        <v>N/A</v>
        <stp/>
        <stp>DESCRIPTION</stp>
        <stp>TBF</stp>
        <tr r="B680" s="1"/>
      </tp>
      <tp t="s">
        <v>N/A</v>
        <stp/>
        <stp>DESCRIPTION</stp>
        <stp>TBT</stp>
        <tr r="B683" s="1"/>
      </tp>
      <tp t="s">
        <v>ISHARES TRUST 20 YR TR BD ETF</v>
        <stp/>
        <stp>DESCRIPTION</stp>
        <stp>TLT</stp>
        <tr r="B689" s="1"/>
      </tp>
      <tp>
        <v>315.32</v>
        <stp/>
        <stp>BID</stp>
        <stp>IGV</stp>
        <tr r="H264" s="1"/>
      </tp>
      <tp>
        <v>119.71</v>
        <stp/>
        <stp>BID</stp>
        <stp>IEF</stp>
        <tr r="H248" s="1"/>
      </tp>
      <tp>
        <v>37.39</v>
        <stp/>
        <stp>LOW</stp>
        <stp>GDX</stp>
        <tr r="K195" s="1"/>
      </tp>
      <tp>
        <v>139</v>
        <stp/>
        <stp>BID</stp>
        <stp>IBB</stp>
        <tr r="H228" s="1"/>
      </tp>
      <tp t="s">
        <v>N/A</v>
        <stp/>
        <stp>DESCRIPTION</stp>
        <stp>TIP</stp>
        <tr r="B686" s="1"/>
      </tp>
      <tp>
        <v>47.1</v>
        <stp/>
        <stp>LAST</stp>
        <stp>FXI</stp>
        <tr r="E188" s="1"/>
      </tp>
      <tp t="s">
        <v>N/A</v>
        <stp/>
        <stp>DESCRIPTION</stp>
        <stp>PDBC</stp>
        <tr r="B451" s="1"/>
      </tp>
      <tp>
        <v>44.49</v>
        <stp/>
        <stp>LOW</stp>
        <stp>SHYG</stp>
        <tr r="K548" s="1"/>
      </tp>
      <tp>
        <v>34.6</v>
        <stp/>
        <stp>BID</stp>
        <stp>INDA</stp>
        <tr r="H280" s="1"/>
      </tp>
      <tp>
        <v>35.9</v>
        <stp/>
        <stp>BID</stp>
        <stp>INDY</stp>
        <tr r="H285" s="1"/>
      </tp>
      <tp>
        <v>34.1</v>
        <stp/>
        <stp>LAST</stp>
        <stp>FVD</stp>
        <tr r="E185" s="1"/>
      </tp>
      <tp>
        <v>80.31</v>
        <stp/>
        <stp>ASK</stp>
        <stp>ITOT</stp>
        <tr r="I297" s="1"/>
      </tp>
      <tp>
        <v>0</v>
        <stp/>
        <stp>VEGA</stp>
        <stp>BZQ</stp>
        <tr r="P51" s="1"/>
      </tp>
      <tp>
        <v>164.8</v>
        <stp/>
        <stp>ASK</stp>
        <stp>MTUM</stp>
        <tr r="I426" s="1"/>
      </tp>
      <tp t="s">
        <v>VANECK VECTORS ETF TRUST JR GOLD MINERS E ETF</v>
        <stp/>
        <stp>DESCRIPTION</stp>
        <stp>GDXJ</stp>
        <tr r="B202" s="1"/>
      </tp>
      <tp>
        <v>39.06</v>
        <stp/>
        <stp>LAST</stp>
        <stp>FEZ</stp>
        <tr r="E180" s="1"/>
      </tp>
      <tp>
        <v>5.5</v>
        <stp/>
        <stp>LAST</stp>
        <stp>.VTI201120P184</stp>
        <tr r="E747" s="1"/>
      </tp>
      <tp t="s">
        <v>N/A</v>
        <stp/>
        <stp>LAST</stp>
        <stp>.VTI201120C184</stp>
        <tr r="E746" s="1"/>
      </tp>
      <tp t="s">
        <v>N/A</v>
        <stp/>
        <stp>LAST</stp>
        <stp>.VTI201120P181</stp>
        <tr r="E741" s="1"/>
      </tp>
      <tp t="s">
        <v>N/A</v>
        <stp/>
        <stp>LAST</stp>
        <stp>.VTI201120C181</stp>
        <tr r="E740" s="1"/>
      </tp>
      <tp t="s">
        <v>N/A</v>
        <stp/>
        <stp>LAST</stp>
        <stp>.VTI201120P182</stp>
        <tr r="E743" s="1"/>
      </tp>
      <tp t="s">
        <v>N/A</v>
        <stp/>
        <stp>LAST</stp>
        <stp>.VTI201120C182</stp>
        <tr r="E742" s="1"/>
      </tp>
      <tp t="s">
        <v>N/A</v>
        <stp/>
        <stp>LAST</stp>
        <stp>.VTI201120P183</stp>
        <tr r="E745" s="1"/>
      </tp>
      <tp t="s">
        <v>N/A</v>
        <stp/>
        <stp>LAST</stp>
        <stp>.VTI201120C183</stp>
        <tr r="E744" s="1"/>
      </tp>
      <tp>
        <v>0</v>
        <stp/>
        <stp>HIGH</stp>
        <stp>.IVV201120C357.5</stp>
        <tr r="J318" s="1"/>
      </tp>
      <tp t="s">
        <v>N/A</v>
        <stp/>
        <stp>PROB_OF_TOUCHING</stp>
        <stp>.TAN201120C72.5</stp>
        <tr r="V660" s="1"/>
      </tp>
      <tp t="s">
        <v>N/A</v>
        <stp/>
        <stp>PROB_OF_TOUCHING</stp>
        <stp>.TAN201120P72.5</stp>
        <tr r="V661" s="1"/>
      </tp>
      <tp t="s">
        <v>N/A</v>
        <stp/>
        <stp>HIGH</stp>
        <stp>.IWF201120C227.5</stp>
        <tr r="J343" s="1"/>
      </tp>
      <tp t="s">
        <v>N/A</v>
        <stp/>
        <stp>HIGH</stp>
        <stp>.VOO201120P325</stp>
        <tr r="J731" s="1"/>
      </tp>
      <tp>
        <v>4.87</v>
        <stp/>
        <stp>HIGH</stp>
        <stp>.VOO201120C325</stp>
        <tr r="J730" s="1"/>
      </tp>
      <tp t="s">
        <v>N/A</v>
        <stp/>
        <stp>HIGH</stp>
        <stp>.VOO201120P330</stp>
        <tr r="J733" s="1"/>
      </tp>
      <tp>
        <v>2.5</v>
        <stp/>
        <stp>HIGH</stp>
        <stp>.VOO201120C330</stp>
        <tr r="J732" s="1"/>
      </tp>
      <tp t="s">
        <v>N/A</v>
        <stp/>
        <stp>PROB_OTM</stp>
        <stp>.XRT201120P54.5</stp>
        <tr r="U906" s="1"/>
      </tp>
      <tp t="s">
        <v>N/A</v>
        <stp/>
        <stp>PROB_OTM</stp>
        <stp>.XLI201120C84.5</stp>
        <tr r="U816" s="1"/>
      </tp>
      <tp t="s">
        <v>N/A</v>
        <stp/>
        <stp>PROB_OTM</stp>
        <stp>.XLE201120C34.5</stp>
        <tr r="U808" s="1"/>
      </tp>
      <tp t="s">
        <v>N/A</v>
        <stp/>
        <stp>PROB_OTM</stp>
        <stp>.XRT201120C54.5</stp>
        <tr r="U905" s="1"/>
      </tp>
      <tp t="s">
        <v>N/A</v>
        <stp/>
        <stp>PROB_OTM</stp>
        <stp>.XLI201120P84.5</stp>
        <tr r="U817" s="1"/>
      </tp>
      <tp t="s">
        <v>N/A</v>
        <stp/>
        <stp>PROB_OTM</stp>
        <stp>.XLE201120P34.5</stp>
        <tr r="U809" s="1"/>
      </tp>
      <tp>
        <v>41294750</v>
        <stp/>
        <stp>VOLUME</stp>
        <stp>EEM</stp>
        <tr r="F94" s="1"/>
      </tp>
      <tp t="s">
        <v>N/A</v>
        <stp/>
        <stp>PROB_OF_TOUCHING</stp>
        <stp>.SSO201120P82.5</stp>
        <tr r="V650" s="1"/>
      </tp>
      <tp t="s">
        <v>N/A</v>
        <stp/>
        <stp>PROB_OF_TOUCHING</stp>
        <stp>.SSO201120C82.5</stp>
        <tr r="V649" s="1"/>
      </tp>
      <tp t="s">
        <v>N/A</v>
        <stp/>
        <stp>LAST</stp>
        <stp>.XLY201120C152.5</stp>
        <tr r="E872" s="1"/>
      </tp>
      <tp>
        <v>0.98</v>
        <stp/>
        <stp>LAST</stp>
        <stp>.XLK201120C122.5</stp>
        <tr r="E837" s="1"/>
      </tp>
      <tp>
        <v>2893730</v>
        <stp/>
        <stp>VOLUME</stp>
        <stp>EFV</stp>
        <tr r="F108" s="1"/>
      </tp>
      <tp>
        <v>24076685</v>
        <stp/>
        <stp>VOLUME</stp>
        <stp>EFA</stp>
        <tr r="F101" s="1"/>
      </tp>
      <tp t="s">
        <v>N/A</v>
        <stp/>
        <stp>PROB_OF_TOUCHING</stp>
        <stp>.RSX201120P22.5</stp>
        <tr r="V516" s="1"/>
      </tp>
      <tp>
        <v>0</v>
        <stp/>
        <stp>THETA</stp>
        <stp>VGIT</stp>
        <tr r="O718" s="1"/>
      </tp>
      <tp>
        <v>1.39</v>
        <stp/>
        <stp>HIGH</stp>
        <stp>.IWM201120C175</stp>
        <tr r="J358" s="1"/>
      </tp>
      <tp>
        <v>6.85</v>
        <stp/>
        <stp>HIGH</stp>
        <stp>.IWM201120P175</stp>
        <tr r="J359" s="1"/>
      </tp>
      <tp>
        <v>1.78</v>
        <stp/>
        <stp>HIGH</stp>
        <stp>.IWM201120C174</stp>
        <tr r="J356" s="1"/>
      </tp>
      <tp>
        <v>6.56</v>
        <stp/>
        <stp>HIGH</stp>
        <stp>.IWM201120P174</stp>
        <tr r="J357" s="1"/>
      </tp>
      <tp>
        <v>2.2200000000000002</v>
        <stp/>
        <stp>HIGH</stp>
        <stp>.IWM201120C173</stp>
        <tr r="J354" s="1"/>
      </tp>
      <tp>
        <v>6</v>
        <stp/>
        <stp>HIGH</stp>
        <stp>.IWM201120P173</stp>
        <tr r="J355" s="1"/>
      </tp>
      <tp>
        <v>2.73</v>
        <stp/>
        <stp>HIGH</stp>
        <stp>.IWM201120C172</stp>
        <tr r="J350" s="1"/>
      </tp>
      <tp>
        <v>5.26</v>
        <stp/>
        <stp>HIGH</stp>
        <stp>.IWM201120P172</stp>
        <tr r="J351" s="1"/>
      </tp>
      <tp>
        <v>3.26</v>
        <stp/>
        <stp>HIGH</stp>
        <stp>.IWM201120C171</stp>
        <tr r="J348" s="1"/>
      </tp>
      <tp>
        <v>4.6500000000000004</v>
        <stp/>
        <stp>HIGH</stp>
        <stp>.IWM201120P171</stp>
        <tr r="J349" s="1"/>
      </tp>
      <tp>
        <v>3.92</v>
        <stp/>
        <stp>HIGH</stp>
        <stp>.IWM201120C170</stp>
        <tr r="J346" s="1"/>
      </tp>
      <tp>
        <v>4.1900000000000004</v>
        <stp/>
        <stp>HIGH</stp>
        <stp>.IWM201120P170</stp>
        <tr r="J347" s="1"/>
      </tp>
      <tp>
        <v>0</v>
        <stp/>
        <stp>THETA</stp>
        <stp>IGIB</stp>
        <tr r="O261" s="1"/>
      </tp>
      <tp t="s">
        <v>N/A</v>
        <stp/>
        <stp>PROB_OF_TOUCHING</stp>
        <stp>.RSX201120C22.5</stp>
        <tr r="V515" s="1"/>
      </tp>
      <tp t="s">
        <v>N/A</v>
        <stp/>
        <stp>PROB_OTM</stp>
        <stp>.TAN201120C74.5</stp>
        <tr r="U668" s="1"/>
      </tp>
      <tp t="s">
        <v>N/A</v>
        <stp/>
        <stp>PROB_OTM</stp>
        <stp>.TAN201120P74.5</stp>
        <tr r="U669" s="1"/>
      </tp>
      <tp t="s">
        <v>N/A</v>
        <stp/>
        <stp>VEGA</stp>
        <stp>.IWF201120C227.5</stp>
        <tr r="P343" s="1"/>
      </tp>
      <tp>
        <v>3.8</v>
        <stp/>
        <stp>LAST</stp>
        <stp>.XBI201120C122.5</stp>
        <tr r="E766" s="1"/>
      </tp>
      <tp t="s">
        <v>N/A</v>
        <stp/>
        <stp>VEGA</stp>
        <stp>.IVV201120C357.5</stp>
        <tr r="P318" s="1"/>
      </tp>
      <tp t="s">
        <v>N/A</v>
        <stp/>
        <stp>IMPL_VOL</stp>
        <stp>.RSX201120P22.5</stp>
        <tr r="D516" s="1"/>
      </tp>
      <tp>
        <v>3.18</v>
        <stp/>
        <stp>LAST</stp>
        <stp>.XBI201120C122</stp>
        <tr r="E764" s="1"/>
      </tp>
      <tp>
        <v>1.7</v>
        <stp/>
        <stp>LAST</stp>
        <stp>.XBI201120P122</stp>
        <tr r="E765" s="1"/>
      </tp>
      <tp>
        <v>2.69</v>
        <stp/>
        <stp>LAST</stp>
        <stp>.XBI201120C123</stp>
        <tr r="E768" s="1"/>
      </tp>
      <tp>
        <v>2.1</v>
        <stp/>
        <stp>LAST</stp>
        <stp>.XBI201120P123</stp>
        <tr r="E769" s="1"/>
      </tp>
      <tp>
        <v>2.06</v>
        <stp/>
        <stp>LAST</stp>
        <stp>.XBI201120C124</stp>
        <tr r="E772" s="1"/>
      </tp>
      <tp>
        <v>2.3199999999999998</v>
        <stp/>
        <stp>LAST</stp>
        <stp>.XBI201120P124</stp>
        <tr r="E773" s="1"/>
      </tp>
      <tp>
        <v>1.68</v>
        <stp/>
        <stp>LAST</stp>
        <stp>.XBI201120C125</stp>
        <tr r="E776" s="1"/>
      </tp>
      <tp>
        <v>3.5</v>
        <stp/>
        <stp>LAST</stp>
        <stp>.XBI201120P125</stp>
        <tr r="E777" s="1"/>
      </tp>
      <tp t="s">
        <v>N/A</v>
        <stp/>
        <stp>IMPL_VOL</stp>
        <stp>.RSX201120C22.5</stp>
        <tr r="D515" s="1"/>
      </tp>
      <tp t="s">
        <v>N/A</v>
        <stp/>
        <stp>IMPL_VOL</stp>
        <stp>.SSO201120P82.5</stp>
        <tr r="D650" s="1"/>
      </tp>
      <tp t="s">
        <v>N/A</v>
        <stp/>
        <stp>IMPL_VOL</stp>
        <stp>.SSO201120C82.5</stp>
        <tr r="D649" s="1"/>
      </tp>
      <tp t="s">
        <v>N/A</v>
        <stp/>
        <stp>IMPL_VOL</stp>
        <stp>.TAN201120C72.5</stp>
        <tr r="D660" s="1"/>
      </tp>
      <tp>
        <v>1</v>
        <stp/>
        <stp>DELTA</stp>
        <stp>DGRO</stp>
        <tr r="M59" s="1"/>
      </tp>
      <tp t="s">
        <v>N/A</v>
        <stp/>
        <stp>IMPL_VOL</stp>
        <stp>.TAN201120P72.5</stp>
        <tr r="D661" s="1"/>
      </tp>
      <tp t="s">
        <v>N/A</v>
        <stp/>
        <stp>OPEN</stp>
        <stp>.JNK201120P106.5</stp>
        <tr r="L382" s="1"/>
      </tp>
      <tp>
        <v>4903179</v>
        <stp/>
        <stp>VOLUME</stp>
        <stp>EMB</stp>
        <tr r="F111" s="1"/>
      </tp>
      <tp t="s">
        <v>N/A</v>
        <stp/>
        <stp>PROB_OTM</stp>
        <stp>.SSO201120P84.5</stp>
        <tr r="U658" s="1"/>
      </tp>
      <tp t="s">
        <v>N/A</v>
        <stp/>
        <stp>PROB_OTM</stp>
        <stp>.SSO201120C84.5</stp>
        <tr r="U657" s="1"/>
      </tp>
      <tp t="s">
        <v>N/A</v>
        <stp/>
        <stp>PROB_OF_TOUCHING</stp>
        <stp>.EWY201120P72.5</stp>
        <tr r="V167" s="1"/>
      </tp>
      <tp t="s">
        <v>N/A</v>
        <stp/>
        <stp>PROB_OF_TOUCHING</stp>
        <stp>.EWY201120C72.5</stp>
        <tr r="V166" s="1"/>
      </tp>
      <tp>
        <v>0</v>
        <stp/>
        <stp>HIGH</stp>
        <stp>.IWF201120P227.5</stp>
        <tr r="J344" s="1"/>
      </tp>
      <tp>
        <v>0</v>
        <stp/>
        <stp>HIGH</stp>
        <stp>.IVV201120P357.5</stp>
        <tr r="J319" s="1"/>
      </tp>
      <tp t="s">
        <v>N/A</v>
        <stp/>
        <stp>PROB_OTM</stp>
        <stp>.ITB201120P54.5</stp>
        <tr r="U290" s="1"/>
      </tp>
      <tp t="s">
        <v>N/A</v>
        <stp/>
        <stp>PROB_OTM</stp>
        <stp>.IYR201120P84.5</stp>
        <tr r="U370" s="1"/>
      </tp>
      <tp t="s">
        <v>N/A</v>
        <stp/>
        <stp>PROB_OTM</stp>
        <stp>.ITB201120C54.5</stp>
        <tr r="U289" s="1"/>
      </tp>
      <tp t="s">
        <v>N/A</v>
        <stp/>
        <stp>PROB_OTM</stp>
        <stp>.IYR201120C84.5</stp>
        <tr r="U369" s="1"/>
      </tp>
      <tp t="s">
        <v>N/A</v>
        <stp/>
        <stp>LAST</stp>
        <stp>.XLY201120P152.5</stp>
        <tr r="E873" s="1"/>
      </tp>
      <tp>
        <v>3.49</v>
        <stp/>
        <stp>LAST</stp>
        <stp>.XLK201120P122.5</stp>
        <tr r="E838" s="1"/>
      </tp>
      <tp>
        <v>1</v>
        <stp/>
        <stp>DELTA</stp>
        <stp>VGIT</stp>
        <tr r="M718" s="1"/>
      </tp>
      <tp>
        <v>1</v>
        <stp/>
        <stp>DELTA</stp>
        <stp>IGIB</stp>
        <tr r="M261" s="1"/>
      </tp>
      <tp>
        <v>3005962</v>
        <stp/>
        <stp>VOLUME</stp>
        <stp>EWY</stp>
        <tr r="F161" s="1"/>
      </tp>
      <tp>
        <v>21657499</v>
        <stp/>
        <stp>VOLUME</stp>
        <stp>EWZ</stp>
        <tr r="F172" s="1"/>
      </tp>
      <tp>
        <v>4631335</v>
        <stp/>
        <stp>VOLUME</stp>
        <stp>EWU</stp>
        <tr r="F151" s="1"/>
      </tp>
      <tp>
        <v>4529076</v>
        <stp/>
        <stp>VOLUME</stp>
        <stp>EWT</stp>
        <tr r="F148" s="1"/>
      </tp>
      <tp>
        <v>2438806</v>
        <stp/>
        <stp>VOLUME</stp>
        <stp>EWW</stp>
        <tr r="F154" s="1"/>
      </tp>
      <tp>
        <v>1545374</v>
        <stp/>
        <stp>VOLUME</stp>
        <stp>EWP</stp>
        <tr r="F145" s="1"/>
      </tp>
      <tp>
        <v>1299986</v>
        <stp/>
        <stp>VOLUME</stp>
        <stp>EWL</stp>
        <tr r="F142" s="1"/>
      </tp>
      <tp>
        <v>1068035</v>
        <stp/>
        <stp>VOLUME</stp>
        <stp>EWI</stp>
        <tr r="F132" s="1"/>
      </tp>
      <tp>
        <v>10090239</v>
        <stp/>
        <stp>VOLUME</stp>
        <stp>EWH</stp>
        <tr r="F129" s="1"/>
      </tp>
      <tp>
        <v>9942669</v>
        <stp/>
        <stp>VOLUME</stp>
        <stp>EWJ</stp>
        <tr r="F135" s="1"/>
      </tp>
      <tp>
        <v>5645624</v>
        <stp/>
        <stp>VOLUME</stp>
        <stp>EWG</stp>
        <tr r="F126" s="1"/>
      </tp>
      <tp>
        <v>1915590</v>
        <stp/>
        <stp>VOLUME</stp>
        <stp>EWA</stp>
        <tr r="F120" s="1"/>
      </tp>
      <tp>
        <v>2585665</v>
        <stp/>
        <stp>VOLUME</stp>
        <stp>EWC</stp>
        <tr r="F123" s="1"/>
      </tp>
      <tp t="s">
        <v>N/A</v>
        <stp/>
        <stp>VEGA</stp>
        <stp>.IVV201120P357.5</stp>
        <tr r="P319" s="1"/>
      </tp>
      <tp>
        <v>7479192</v>
        <stp/>
        <stp>VOLUME</stp>
        <stp>EZU</stp>
        <tr r="F177" s="1"/>
      </tp>
      <tp t="s">
        <v>N/A</v>
        <stp/>
        <stp>VEGA</stp>
        <stp>.IWF201120P227.5</stp>
        <tr r="P344" s="1"/>
      </tp>
      <tp>
        <v>2.16</v>
        <stp/>
        <stp>LAST</stp>
        <stp>.XBI201120P122.5</stp>
        <tr r="E767" s="1"/>
      </tp>
      <tp>
        <v>0</v>
        <stp/>
        <stp>THETA</stp>
        <stp>DGRO</stp>
        <tr r="O59" s="1"/>
      </tp>
      <tp t="s">
        <v>N/A</v>
        <stp/>
        <stp>OPEN_INT</stp>
        <stp>.SH201120P19</stp>
        <tr r="G544" s="1"/>
      </tp>
      <tp t="s">
        <v>N/A</v>
        <stp/>
        <stp>IMPL_VOL</stp>
        <stp>.EWY201120P72.5</stp>
        <tr r="D167" s="1"/>
      </tp>
      <tp t="s">
        <v>N/A</v>
        <stp/>
        <stp>IMPL_VOL</stp>
        <stp>.EWY201120C72.5</stp>
        <tr r="D166" s="1"/>
      </tp>
      <tp t="s">
        <v>N/A</v>
        <stp/>
        <stp>OPEN</stp>
        <stp>.JNK201120C106.5</stp>
        <tr r="L381" s="1"/>
      </tp>
      <tp t="s">
        <v>N/A</v>
        <stp/>
        <stp>GAMMA</stp>
        <stp>.SMH201120C198</stp>
        <tr r="N574" s="1"/>
      </tp>
      <tp t="s">
        <v>N/A</v>
        <stp/>
        <stp>GAMMA</stp>
        <stp>.SMH201120P198</stp>
        <tr r="N575" s="1"/>
      </tp>
      <tp t="s">
        <v>N/A</v>
        <stp/>
        <stp>GAMMA</stp>
        <stp>.SMH201120C195</stp>
        <tr r="N562" s="1"/>
      </tp>
      <tp t="s">
        <v>N/A</v>
        <stp/>
        <stp>GAMMA</stp>
        <stp>.SMH201120P195</stp>
        <tr r="N563" s="1"/>
      </tp>
      <tp t="s">
        <v>N/A</v>
        <stp/>
        <stp>GAMMA</stp>
        <stp>.SMH201120C194</stp>
        <tr r="N558" s="1"/>
      </tp>
      <tp t="s">
        <v>N/A</v>
        <stp/>
        <stp>GAMMA</stp>
        <stp>.SMH201120P194</stp>
        <tr r="N559" s="1"/>
      </tp>
      <tp t="s">
        <v>N/A</v>
        <stp/>
        <stp>GAMMA</stp>
        <stp>.SMH201120C197</stp>
        <tr r="N570" s="1"/>
      </tp>
      <tp t="s">
        <v>N/A</v>
        <stp/>
        <stp>GAMMA</stp>
        <stp>.SMH201120P197</stp>
        <tr r="N571" s="1"/>
      </tp>
      <tp t="s">
        <v>N/A</v>
        <stp/>
        <stp>GAMMA</stp>
        <stp>.SMH201120C196</stp>
        <tr r="N566" s="1"/>
      </tp>
      <tp t="s">
        <v>N/A</v>
        <stp/>
        <stp>GAMMA</stp>
        <stp>.SMH201120P196</stp>
        <tr r="N567" s="1"/>
      </tp>
      <tp t="s">
        <v>N/A</v>
        <stp/>
        <stp>GAMMA</stp>
        <stp>.SMH201120C193</stp>
        <tr r="N554" s="1"/>
      </tp>
      <tp t="s">
        <v>N/A</v>
        <stp/>
        <stp>GAMMA</stp>
        <stp>.SMH201120P193</stp>
        <tr r="N555" s="1"/>
      </tp>
      <tp>
        <v>46.93</v>
        <stp/>
        <stp>LOW</stp>
        <stp>FXI</stp>
        <tr r="K188" s="1"/>
      </tp>
      <tp>
        <v>37.19</v>
        <stp/>
        <stp>ASK</stp>
        <stp>KBE</stp>
        <tr r="I385" s="1"/>
      </tp>
      <tp>
        <v>85.17</v>
        <stp/>
        <stp>BID</stp>
        <stp>HYG</stp>
        <tr r="H220" s="1"/>
      </tp>
      <tp>
        <v>0</v>
        <stp/>
        <stp>RHO</stp>
        <stp>XRT</stp>
        <tr r="Q902" s="1"/>
      </tp>
      <tp>
        <v>33.840000000000003</v>
        <stp/>
        <stp>LOW</stp>
        <stp>FVD</stp>
        <tr r="K185" s="1"/>
      </tp>
      <tp>
        <v>0</v>
        <stp/>
        <stp>RHO</stp>
        <stp>XOP</stp>
        <tr r="Q889" s="1"/>
      </tp>
      <tp>
        <v>0</v>
        <stp/>
        <stp>RHO</stp>
        <stp>XME</stp>
        <tr r="Q884" s="1"/>
      </tp>
      <tp>
        <v>0</v>
        <stp/>
        <stp>RHO</stp>
        <stp>XLF</stp>
        <tr r="Q810" s="1"/>
      </tp>
      <tp>
        <v>0</v>
        <stp/>
        <stp>RHO</stp>
        <stp>XLE</stp>
        <tr r="Q803" s="1"/>
      </tp>
      <tp>
        <v>0</v>
        <stp/>
        <stp>RHO</stp>
        <stp>XLB</stp>
        <tr r="Q787" s="1"/>
      </tp>
      <tp>
        <v>0</v>
        <stp/>
        <stp>RHO</stp>
        <stp>XLC</stp>
        <tr r="Q796" s="1"/>
      </tp>
      <tp>
        <v>0</v>
        <stp/>
        <stp>RHO</stp>
        <stp>XLK</stp>
        <tr r="Q824" s="1"/>
      </tp>
      <tp>
        <v>0</v>
        <stp/>
        <stp>RHO</stp>
        <stp>XLI</stp>
        <tr r="Q813" s="1"/>
      </tp>
      <tp>
        <v>0</v>
        <stp/>
        <stp>RHO</stp>
        <stp>XLV</stp>
        <tr r="Q856" s="1"/>
      </tp>
      <tp>
        <v>0</v>
        <stp/>
        <stp>RHO</stp>
        <stp>XLU</stp>
        <tr r="Q849" s="1"/>
      </tp>
      <tp>
        <v>0</v>
        <stp/>
        <stp>RHO</stp>
        <stp>XLP</stp>
        <tr r="Q841" s="1"/>
      </tp>
      <tp>
        <v>0</v>
        <stp/>
        <stp>RHO</stp>
        <stp>XLY</stp>
        <tr r="Q867" s="1"/>
      </tp>
      <tp>
        <v>45.93</v>
        <stp/>
        <stp>ASK</stp>
        <stp>KRE</stp>
        <tr r="I388" s="1"/>
      </tp>
      <tp>
        <v>0</v>
        <stp/>
        <stp>RHO</stp>
        <stp>XHB</stp>
        <tr r="Q780" s="1"/>
      </tp>
      <tp>
        <v>38.94</v>
        <stp/>
        <stp>LOW</stp>
        <stp>FEZ</stp>
        <tr r="K180" s="1"/>
      </tp>
      <tp>
        <v>0</v>
        <stp/>
        <stp>RHO</stp>
        <stp>XBI</stp>
        <tr r="Q763" s="1"/>
      </tp>
      <tp>
        <v>83.88</v>
        <stp/>
        <stp>OPEN</stp>
        <stp>VNQ</stp>
        <tr r="L724" s="1"/>
      </tp>
      <tp>
        <v>0</v>
        <stp/>
        <stp>RHO</stp>
        <stp>INDA</stp>
        <tr r="Q280" s="1"/>
      </tp>
      <tp>
        <v>0</v>
        <stp/>
        <stp>RHO</stp>
        <stp>INDY</stp>
        <tr r="Q285" s="1"/>
      </tp>
      <tp t="s">
        <v>N/A</v>
        <stp/>
        <stp>DESCRIPTION</stp>
        <stp>IEFA</stp>
        <tr r="B251" s="1"/>
      </tp>
      <tp>
        <v>326.74</v>
        <stp/>
        <stp>OPEN</stp>
        <stp>VOO</stp>
        <tr r="L729" s="1"/>
      </tp>
      <tp>
        <v>116.57</v>
        <stp/>
        <stp>ASK</stp>
        <stp>QUAL</stp>
        <tr r="I498" s="1"/>
      </tp>
      <tp t="s">
        <v>N/A</v>
        <stp/>
        <stp>VEGA</stp>
        <stp>.INDA201120P36.5</stp>
        <tr r="P284" s="1"/>
      </tp>
      <tp t="s">
        <v>N/A</v>
        <stp/>
        <stp>VEGA</stp>
        <stp>.INDA201120C36.5</stp>
        <tr r="P283" s="1"/>
      </tp>
      <tp>
        <v>17</v>
        <stp/>
        <stp>ASK</stp>
        <stp>EUFN</stp>
        <tr r="I117" s="1"/>
      </tp>
      <tp>
        <v>43.97</v>
        <stp/>
        <stp>OPEN</stp>
        <stp>VEA</stp>
        <tr r="L707" s="1"/>
      </tp>
      <tp>
        <v>54.56</v>
        <stp/>
        <stp>OPEN</stp>
        <stp>VEU</stp>
        <tr r="L710" s="1"/>
      </tp>
      <tp t="s">
        <v>N/A</v>
        <stp/>
        <stp>DESCRIPTION</stp>
        <stp>IEMG</stp>
        <tr r="B256" s="1"/>
      </tp>
      <tp>
        <v>65.89</v>
        <stp/>
        <stp>OPEN</stp>
        <stp>VFH</stp>
        <tr r="L713" s="1"/>
      </tp>
      <tp t="s">
        <v>N/A</v>
        <stp/>
        <stp>HIGH</stp>
        <stp>.INDA201120C36.5</stp>
        <tr r="J283" s="1"/>
      </tp>
      <tp>
        <v>0</v>
        <stp/>
        <stp>HIGH</stp>
        <stp>.INDA201120P36.5</stp>
        <tr r="J284" s="1"/>
      </tp>
      <tp>
        <v>56.48</v>
        <stp/>
        <stp>OPEN</stp>
        <stp>VGK</stp>
        <tr r="L721" s="1"/>
      </tp>
      <tp t="s">
        <v>N/A</v>
        <stp/>
        <stp>DESCRIPTION</stp>
        <stp>JETS</stp>
        <tr r="B375" s="1"/>
      </tp>
      <tp>
        <v>24.75</v>
        <stp/>
        <stp>ASK</stp>
        <stp>GUSH</stp>
        <tr r="I213" s="1"/>
      </tp>
      <tp>
        <v>87.09</v>
        <stp/>
        <stp>OPEN</stp>
        <stp>VYM</stp>
        <tr r="L758" s="1"/>
      </tp>
      <tp>
        <v>181.95</v>
        <stp/>
        <stp>OPEN</stp>
        <stp>VTI</stp>
        <tr r="L739" s="1"/>
      </tp>
      <tp>
        <v>47</v>
        <stp/>
        <stp>OPEN</stp>
        <stp>VWO</stp>
        <tr r="L748" s="1"/>
      </tp>
      <tp>
        <v>37.49</v>
        <stp/>
        <stp>LAST</stp>
        <stp>GDX</stp>
        <tr r="E195" s="1"/>
      </tp>
      <tp t="s">
        <v>N/A</v>
        <stp/>
        <stp>IMPL_VOL</stp>
        <stp>.XLE201120C33.5</stp>
        <tr r="D804" s="1"/>
      </tp>
      <tp t="s">
        <v>N/A</v>
        <stp/>
        <stp>IMPL_VOL</stp>
        <stp>.XLC201120C63.5</stp>
        <tr r="D799" s="1"/>
      </tp>
      <tp t="s">
        <v>N/A</v>
        <stp/>
        <stp>IMPL_VOL</stp>
        <stp>.XLE201120P33.5</stp>
        <tr r="D805" s="1"/>
      </tp>
      <tp t="s">
        <v>N/A</v>
        <stp/>
        <stp>IMPL_VOL</stp>
        <stp>.XLC201120P63.5</stp>
        <tr r="D800" s="1"/>
      </tp>
      <tp t="s">
        <v>N/A</v>
        <stp/>
        <stp>PROB_OF_TOUCHING</stp>
        <stp>.TAN201120C73.5</stp>
        <tr r="V664" s="1"/>
      </tp>
      <tp>
        <v>1.62</v>
        <stp/>
        <stp>LAST</stp>
        <stp>.SMH201120C198</stp>
        <tr r="E574" s="1"/>
      </tp>
      <tp>
        <v>0</v>
        <stp/>
        <stp>LAST</stp>
        <stp>.SMH201120P198</stp>
        <tr r="E575" s="1"/>
      </tp>
      <tp t="s">
        <v>N/A</v>
        <stp/>
        <stp>PROB_OF_TOUCHING</stp>
        <stp>.TAN201120P73.5</stp>
        <tr r="V665" s="1"/>
      </tp>
      <tp>
        <v>3.55</v>
        <stp/>
        <stp>LAST</stp>
        <stp>.SMH201120C193</stp>
        <tr r="E554" s="1"/>
      </tp>
      <tp>
        <v>2.72</v>
        <stp/>
        <stp>LAST</stp>
        <stp>.SMH201120P193</stp>
        <tr r="E555" s="1"/>
      </tp>
      <tp>
        <v>2.5</v>
        <stp/>
        <stp>LAST</stp>
        <stp>.SMH201120C195</stp>
        <tr r="E562" s="1"/>
      </tp>
      <tp>
        <v>3.85</v>
        <stp/>
        <stp>LAST</stp>
        <stp>.SMH201120P195</stp>
        <tr r="E563" s="1"/>
      </tp>
      <tp>
        <v>3.01</v>
        <stp/>
        <stp>LAST</stp>
        <stp>.SMH201120C194</stp>
        <tr r="E558" s="1"/>
      </tp>
      <tp>
        <v>3.78</v>
        <stp/>
        <stp>LAST</stp>
        <stp>.SMH201120P194</stp>
        <tr r="E559" s="1"/>
      </tp>
      <tp>
        <v>1.95</v>
        <stp/>
        <stp>LAST</stp>
        <stp>.SMH201120C197</stp>
        <tr r="E570" s="1"/>
      </tp>
      <tp>
        <v>0</v>
        <stp/>
        <stp>LAST</stp>
        <stp>.SMH201120P197</stp>
        <tr r="E571" s="1"/>
      </tp>
      <tp>
        <v>2.15</v>
        <stp/>
        <stp>LAST</stp>
        <stp>.SMH201120C196</stp>
        <tr r="E566" s="1"/>
      </tp>
      <tp>
        <v>0</v>
        <stp/>
        <stp>LAST</stp>
        <stp>.SMH201120P196</stp>
        <tr r="E567" s="1"/>
      </tp>
      <tp t="s">
        <v>N/A</v>
        <stp/>
        <stp>HIGH</stp>
        <stp>.MDY201120P382.5</stp>
        <tr r="J418" s="1"/>
      </tp>
      <tp t="s">
        <v>N/A</v>
        <stp/>
        <stp>STRIKE</stp>
        <stp>XBI</stp>
        <tr r="W763" s="1"/>
      </tp>
      <tp t="s">
        <v>N/A</v>
        <stp/>
        <stp>VEGA</stp>
        <stp>.QQQ201120C289</stp>
        <tr r="P484" s="1"/>
      </tp>
      <tp t="s">
        <v>N/A</v>
        <stp/>
        <stp>VEGA</stp>
        <stp>.QQQ201120P289</stp>
        <tr r="P485" s="1"/>
      </tp>
      <tp t="s">
        <v>N/A</v>
        <stp/>
        <stp>PROB_OTM</stp>
        <stp>.XRT201120P55.5</stp>
        <tr r="U910" s="1"/>
      </tp>
      <tp t="s">
        <v>N/A</v>
        <stp/>
        <stp>VEGA</stp>
        <stp>.QQQ201120C288</stp>
        <tr r="P482" s="1"/>
      </tp>
      <tp t="s">
        <v>N/A</v>
        <stp/>
        <stp>VEGA</stp>
        <stp>.QQQ201120P288</stp>
        <tr r="P483" s="1"/>
      </tp>
      <tp t="s">
        <v>N/A</v>
        <stp/>
        <stp>VEGA</stp>
        <stp>.QQQ201120C287</stp>
        <tr r="P478" s="1"/>
      </tp>
      <tp t="s">
        <v>N/A</v>
        <stp/>
        <stp>VEGA</stp>
        <stp>.QQQ201120P287</stp>
        <tr r="P479" s="1"/>
      </tp>
      <tp t="s">
        <v>N/A</v>
        <stp/>
        <stp>VEGA</stp>
        <stp>.QQQ201120C286</stp>
        <tr r="P476" s="1"/>
      </tp>
      <tp t="s">
        <v>N/A</v>
        <stp/>
        <stp>VEGA</stp>
        <stp>.QQQ201120P286</stp>
        <tr r="P477" s="1"/>
      </tp>
      <tp t="s">
        <v>N/A</v>
        <stp/>
        <stp>PROB_OTM</stp>
        <stp>.XLI201120C85.5</stp>
        <tr r="U820" s="1"/>
      </tp>
      <tp t="s">
        <v>N/A</v>
        <stp/>
        <stp>PROB_OTM</stp>
        <stp>.XHB201120C55.5</stp>
        <tr r="U783" s="1"/>
      </tp>
      <tp t="s">
        <v>N/A</v>
        <stp/>
        <stp>PROB_OTM</stp>
        <stp>.XRT201120C55.5</stp>
        <tr r="U909" s="1"/>
      </tp>
      <tp t="s">
        <v>N/A</v>
        <stp/>
        <stp>PROB_OTM</stp>
        <stp>.XLI201120P85.5</stp>
        <tr r="U821" s="1"/>
      </tp>
      <tp t="s">
        <v>N/A</v>
        <stp/>
        <stp>PROB_OTM</stp>
        <stp>.XHB201120P55.5</stp>
        <tr r="U784" s="1"/>
      </tp>
      <tp t="s">
        <v>N/A</v>
        <stp/>
        <stp>VEGA</stp>
        <stp>.QQQ201120C294</stp>
        <tr r="P496" s="1"/>
      </tp>
      <tp t="s">
        <v>N/A</v>
        <stp/>
        <stp>VEGA</stp>
        <stp>.QQQ201120P294</stp>
        <tr r="P497" s="1"/>
      </tp>
      <tp t="s">
        <v>N/A</v>
        <stp/>
        <stp>VEGA</stp>
        <stp>.QQQ201120C293</stp>
        <tr r="P494" s="1"/>
      </tp>
      <tp t="s">
        <v>N/A</v>
        <stp/>
        <stp>VEGA</stp>
        <stp>.QQQ201120P293</stp>
        <tr r="P495" s="1"/>
      </tp>
      <tp t="s">
        <v>N/A</v>
        <stp/>
        <stp>VEGA</stp>
        <stp>.QQQ201120C292</stp>
        <tr r="P490" s="1"/>
      </tp>
      <tp t="s">
        <v>N/A</v>
        <stp/>
        <stp>VEGA</stp>
        <stp>.QQQ201120P292</stp>
        <tr r="P491" s="1"/>
      </tp>
      <tp t="s">
        <v>N/A</v>
        <stp/>
        <stp>VEGA</stp>
        <stp>.QQQ201120C291</stp>
        <tr r="P488" s="1"/>
      </tp>
      <tp t="s">
        <v>N/A</v>
        <stp/>
        <stp>VEGA</stp>
        <stp>.QQQ201120P291</stp>
        <tr r="P489" s="1"/>
      </tp>
      <tp t="s">
        <v>N/A</v>
        <stp/>
        <stp>VEGA</stp>
        <stp>.QQQ201120C290</stp>
        <tr r="P486" s="1"/>
      </tp>
      <tp t="s">
        <v>N/A</v>
        <stp/>
        <stp>VEGA</stp>
        <stp>.QQQ201120P290</stp>
        <tr r="P487" s="1"/>
      </tp>
      <tp t="s">
        <v>N/A</v>
        <stp/>
        <stp>PROB_OF_TOUCHING</stp>
        <stp>.SSO201120P83.5</stp>
        <tr r="V654" s="1"/>
      </tp>
      <tp t="s">
        <v>N/A</v>
        <stp/>
        <stp>PROB_OF_TOUCHING</stp>
        <stp>.SDS201120C13.5</stp>
        <tr r="V538" s="1"/>
      </tp>
      <tp t="s">
        <v>N/A</v>
        <stp/>
        <stp>PROB_OF_TOUCHING</stp>
        <stp>.SSO201120C83.5</stp>
        <tr r="V653" s="1"/>
      </tp>
      <tp t="s">
        <v>N/A</v>
        <stp/>
        <stp>PROB_OF_TOUCHING</stp>
        <stp>.SDS201120P13.5</stp>
        <tr r="V539" s="1"/>
      </tp>
      <tp t="s">
        <v>N/A</v>
        <stp/>
        <stp>LAST</stp>
        <stp>.XLY201120C153.5</stp>
        <tr r="E876" s="1"/>
      </tp>
      <tp>
        <v>2.0099999999999998</v>
        <stp/>
        <stp>LAST</stp>
        <stp>.SMH201120C198.5</stp>
        <tr r="E576" s="1"/>
      </tp>
      <tp t="s">
        <v>N/A</v>
        <stp/>
        <stp>PROB_OTM</stp>
        <stp>.TAN201120C75.5</stp>
        <tr r="U672" s="1"/>
      </tp>
      <tp t="s">
        <v>N/A</v>
        <stp/>
        <stp>PROB_OTM</stp>
        <stp>.TAN201120P75.5</stp>
        <tr r="U673" s="1"/>
      </tp>
      <tp t="s">
        <v>N/A</v>
        <stp/>
        <stp>VEGA</stp>
        <stp>.MDY201120P382.5</stp>
        <tr r="P418" s="1"/>
      </tp>
      <tp>
        <v>2.81</v>
        <stp/>
        <stp>LAST</stp>
        <stp>.XBI201120C123.5</stp>
        <tr r="E770" s="1"/>
      </tp>
      <tp t="s">
        <v>N/A</v>
        <stp/>
        <stp>OPEN_INT</stp>
        <stp>.EWY201120C71.5</stp>
        <tr r="G162" s="1"/>
      </tp>
      <tp>
        <v>12678</v>
        <stp/>
        <stp>OPEN_INT</stp>
        <stp>.EWZ201120C31.5</stp>
        <tr r="G173" s="1"/>
      </tp>
      <tp>
        <v>5</v>
        <stp/>
        <stp>OPEN_INT</stp>
        <stp>.EWY201120P71.5</stp>
        <tr r="G163" s="1"/>
      </tp>
      <tp>
        <v>714</v>
        <stp/>
        <stp>OPEN_INT</stp>
        <stp>.EWZ201120P31.5</stp>
        <tr r="G174" s="1"/>
      </tp>
      <tp>
        <v>4401456</v>
        <stp/>
        <stp>VOLUME</stp>
        <stp>DIA</stp>
        <tr r="F62" s="1"/>
      </tp>
      <tp t="s">
        <v>N/A</v>
        <stp/>
        <stp>IMPL_VOL</stp>
        <stp>.SSO201120P83.5</stp>
        <tr r="D654" s="1"/>
      </tp>
      <tp t="s">
        <v>N/A</v>
        <stp/>
        <stp>IMPL_VOL</stp>
        <stp>.SDS201120C13.5</stp>
        <tr r="D538" s="1"/>
      </tp>
      <tp>
        <v>0</v>
        <stp/>
        <stp>THETA</stp>
        <stp>DFEN</stp>
        <tr r="O54" s="1"/>
      </tp>
      <tp t="s">
        <v>N/A</v>
        <stp/>
        <stp>IMPL_VOL</stp>
        <stp>.SSO201120C83.5</stp>
        <tr r="D653" s="1"/>
      </tp>
      <tp t="s">
        <v>N/A</v>
        <stp/>
        <stp>IMPL_VOL</stp>
        <stp>.SDS201120P13.5</stp>
        <tr r="D539" s="1"/>
      </tp>
      <tp t="s">
        <v>N/A</v>
        <stp/>
        <stp>STRIKE</stp>
        <stp>XHB</stp>
        <tr r="W780" s="1"/>
      </tp>
      <tp t="s">
        <v>N/A</v>
        <stp/>
        <stp>IMPL_VOL</stp>
        <stp>.TAN201120C73.5</stp>
        <tr r="D664" s="1"/>
      </tp>
      <tp t="s">
        <v>N/A</v>
        <stp/>
        <stp>IMPL_VOL</stp>
        <stp>.TAN201120P73.5</stp>
        <tr r="D665" s="1"/>
      </tp>
      <tp t="s">
        <v>N/A</v>
        <stp/>
        <stp>STRIKE</stp>
        <stp>XOP</stp>
        <tr r="W889" s="1"/>
      </tp>
      <tp t="s">
        <v>N/A</v>
        <stp/>
        <stp>PROB_OF_TOUCHING</stp>
        <stp>.XLE201120C33.5</stp>
        <tr r="V804" s="1"/>
      </tp>
      <tp t="s">
        <v>N/A</v>
        <stp/>
        <stp>PROB_OF_TOUCHING</stp>
        <stp>.XLC201120C63.5</stp>
        <tr r="V799" s="1"/>
      </tp>
      <tp t="s">
        <v>N/A</v>
        <stp/>
        <stp>PROB_OF_TOUCHING</stp>
        <stp>.XLE201120P33.5</stp>
        <tr r="V805" s="1"/>
      </tp>
      <tp t="s">
        <v>N/A</v>
        <stp/>
        <stp>PROB_OF_TOUCHING</stp>
        <stp>.XLC201120P63.5</stp>
        <tr r="V800" s="1"/>
      </tp>
      <tp t="s">
        <v>N/A</v>
        <stp/>
        <stp>STRIKE</stp>
        <stp>XME</stp>
        <tr r="W884" s="1"/>
      </tp>
      <tp t="s">
        <v>N/A</v>
        <stp/>
        <stp>STRIKE</stp>
        <stp>XLF</stp>
        <tr r="W810" s="1"/>
      </tp>
      <tp t="s">
        <v>N/A</v>
        <stp/>
        <stp>STRIKE</stp>
        <stp>XLE</stp>
        <tr r="W803" s="1"/>
      </tp>
      <tp t="s">
        <v>N/A</v>
        <stp/>
        <stp>STRIKE</stp>
        <stp>XLB</stp>
        <tr r="W787" s="1"/>
      </tp>
      <tp t="s">
        <v>N/A</v>
        <stp/>
        <stp>STRIKE</stp>
        <stp>XLC</stp>
        <tr r="W796" s="1"/>
      </tp>
      <tp t="s">
        <v>N/A</v>
        <stp/>
        <stp>STRIKE</stp>
        <stp>XLK</stp>
        <tr r="W824" s="1"/>
      </tp>
      <tp t="s">
        <v>N/A</v>
        <stp/>
        <stp>STRIKE</stp>
        <stp>XLI</stp>
        <tr r="W813" s="1"/>
      </tp>
      <tp t="s">
        <v>N/A</v>
        <stp/>
        <stp>STRIKE</stp>
        <stp>XLV</stp>
        <tr r="W856" s="1"/>
      </tp>
      <tp t="s">
        <v>N/A</v>
        <stp/>
        <stp>STRIKE</stp>
        <stp>XLU</stp>
        <tr r="W849" s="1"/>
      </tp>
      <tp t="s">
        <v>N/A</v>
        <stp/>
        <stp>STRIKE</stp>
        <stp>XLP</stp>
        <tr r="W841" s="1"/>
      </tp>
      <tp t="s">
        <v>N/A</v>
        <stp/>
        <stp>STRIKE</stp>
        <stp>XLY</stp>
        <tr r="W867" s="1"/>
      </tp>
      <tp t="s">
        <v>N/A</v>
        <stp/>
        <stp>PROB_OF_TOUCHING</stp>
        <stp>.EWJ201120P63.5</stp>
        <tr r="V139" s="1"/>
      </tp>
      <tp t="s">
        <v>N/A</v>
        <stp/>
        <stp>PROB_OF_TOUCHING</stp>
        <stp>.EWY201120P73.5</stp>
        <tr r="V171" s="1"/>
      </tp>
      <tp t="s">
        <v>N/A</v>
        <stp/>
        <stp>PROB_OF_TOUCHING</stp>
        <stp>.EWJ201120C63.5</stp>
        <tr r="V138" s="1"/>
      </tp>
      <tp t="s">
        <v>N/A</v>
        <stp/>
        <stp>PROB_OF_TOUCHING</stp>
        <stp>.EWY201120C73.5</stp>
        <tr r="V170" s="1"/>
      </tp>
      <tp t="s">
        <v>N/A</v>
        <stp/>
        <stp>STRIKE</stp>
        <stp>XRT</stp>
        <tr r="W902" s="1"/>
      </tp>
      <tp t="s">
        <v>N/A</v>
        <stp/>
        <stp>HIGH</stp>
        <stp>.MDY201120C382.5</stp>
        <tr r="J417" s="1"/>
      </tp>
      <tp t="s">
        <v>N/A</v>
        <stp/>
        <stp>PROB_OTM</stp>
        <stp>.HYG201120P85.5</stp>
        <tr r="U222" s="1"/>
      </tp>
      <tp t="s">
        <v>N/A</v>
        <stp/>
        <stp>PROB_OTM</stp>
        <stp>.HYG201120C85.5</stp>
        <tr r="U221" s="1"/>
      </tp>
      <tp>
        <v>0</v>
        <stp/>
        <stp>LAST</stp>
        <stp>.SMH201120P198.5</stp>
        <tr r="E577" s="1"/>
      </tp>
      <tp t="s">
        <v>N/A</v>
        <stp/>
        <stp>PROB_OTM</stp>
        <stp>.ITB201120P55.5</stp>
        <tr r="U294" s="1"/>
      </tp>
      <tp t="s">
        <v>N/A</v>
        <stp/>
        <stp>PROB_OTM</stp>
        <stp>.IYR201120P85.5</stp>
        <tr r="U374" s="1"/>
      </tp>
      <tp t="s">
        <v>N/A</v>
        <stp/>
        <stp>PROB_OTM</stp>
        <stp>.ITB201120C55.5</stp>
        <tr r="U293" s="1"/>
      </tp>
      <tp t="s">
        <v>N/A</v>
        <stp/>
        <stp>PROB_OTM</stp>
        <stp>.IYR201120C85.5</stp>
        <tr r="U373" s="1"/>
      </tp>
      <tp>
        <v>0</v>
        <stp/>
        <stp>LAST</stp>
        <stp>.XLY201120P153.5</stp>
        <tr r="E877" s="1"/>
      </tp>
      <tp>
        <v>2419509</v>
        <stp/>
        <stp>VOLUME</stp>
        <stp>DVY</stp>
        <tr r="F84" s="1"/>
      </tp>
      <tp t="s">
        <v>N/A</v>
        <stp/>
        <stp>OPEN</stp>
        <stp>.IJH201120P210</stp>
        <tr r="L273" s="1"/>
      </tp>
      <tp t="s">
        <v>N/A</v>
        <stp/>
        <stp>OPEN</stp>
        <stp>.IJH201120C210</stp>
        <tr r="L272" s="1"/>
      </tp>
      <tp>
        <v>2036438</v>
        <stp/>
        <stp>VOLUME</stp>
        <stp>DXD</stp>
        <tr r="F91" s="1"/>
      </tp>
      <tp t="s">
        <v>N/A</v>
        <stp/>
        <stp>OPEN</stp>
        <stp>.JNK201120P107</stp>
        <tr r="L384" s="1"/>
      </tp>
      <tp t="s">
        <v>N/A</v>
        <stp/>
        <stp>OPEN</stp>
        <stp>.JNK201120C107</stp>
        <tr r="L383" s="1"/>
      </tp>
      <tp>
        <v>1.4</v>
        <stp/>
        <stp>OPEN</stp>
        <stp>.XLK201120P120</stp>
        <tr r="L828" s="1"/>
      </tp>
      <tp>
        <v>2.71</v>
        <stp/>
        <stp>OPEN</stp>
        <stp>.XLK201120C120</stp>
        <tr r="L827" s="1"/>
      </tp>
      <tp>
        <v>1.86</v>
        <stp/>
        <stp>OPEN</stp>
        <stp>.XLK201120P121</stp>
        <tr r="L832" s="1"/>
      </tp>
      <tp>
        <v>2.08</v>
        <stp/>
        <stp>OPEN</stp>
        <stp>.XLK201120C121</stp>
        <tr r="L831" s="1"/>
      </tp>
      <tp>
        <v>2.27</v>
        <stp/>
        <stp>OPEN</stp>
        <stp>.XLK201120P122</stp>
        <tr r="L836" s="1"/>
      </tp>
      <tp>
        <v>1.59</v>
        <stp/>
        <stp>OPEN</stp>
        <stp>.XLK201120C122</stp>
        <tr r="L835" s="1"/>
      </tp>
      <tp>
        <v>2.5499999999999998</v>
        <stp/>
        <stp>OPEN</stp>
        <stp>.XLK201120P123</stp>
        <tr r="L840" s="1"/>
      </tp>
      <tp>
        <v>1.08</v>
        <stp/>
        <stp>OPEN</stp>
        <stp>.XLK201120C123</stp>
        <tr r="L839" s="1"/>
      </tp>
      <tp>
        <v>1</v>
        <stp/>
        <stp>DELTA</stp>
        <stp>DFEN</stp>
        <tr r="M54" s="1"/>
      </tp>
      <tp t="s">
        <v>N/A</v>
        <stp/>
        <stp>VEGA</stp>
        <stp>.MDY201120C382.5</stp>
        <tr r="P417" s="1"/>
      </tp>
      <tp>
        <v>2.38</v>
        <stp/>
        <stp>LAST</stp>
        <stp>.XBI201120P123.5</stp>
        <tr r="E771" s="1"/>
      </tp>
      <tp t="s">
        <v>N/A</v>
        <stp/>
        <stp>IMPL_VOL</stp>
        <stp>.EWJ201120P63.5</stp>
        <tr r="D139" s="1"/>
      </tp>
      <tp t="s">
        <v>N/A</v>
        <stp/>
        <stp>IMPL_VOL</stp>
        <stp>.EWY201120P73.5</stp>
        <tr r="D171" s="1"/>
      </tp>
      <tp t="s">
        <v>N/A</v>
        <stp/>
        <stp>IMPL_VOL</stp>
        <stp>.EWJ201120C63.5</stp>
        <tr r="D138" s="1"/>
      </tp>
      <tp t="s">
        <v>N/A</v>
        <stp/>
        <stp>IMPL_VOL</stp>
        <stp>.EWY201120C73.5</stp>
        <tr r="D170" s="1"/>
      </tp>
      <tp t="s">
        <v>N/A</v>
        <stp/>
        <stp>OPEN_INT</stp>
        <stp>.SSO201120C81.5</stp>
        <tr r="G645" s="1"/>
      </tp>
      <tp t="s">
        <v>N/A</v>
        <stp/>
        <stp>OPEN_INT</stp>
        <stp>.SSO201120P81.5</stp>
        <tr r="G646" s="1"/>
      </tp>
      <tp t="s">
        <v>N/A</v>
        <stp/>
        <stp>GAMMA</stp>
        <stp>.VTI201120P181</stp>
        <tr r="N741" s="1"/>
      </tp>
      <tp t="s">
        <v>N/A</v>
        <stp/>
        <stp>GAMMA</stp>
        <stp>.VTI201120C181</stp>
        <tr r="N740" s="1"/>
      </tp>
      <tp t="s">
        <v>N/A</v>
        <stp/>
        <stp>GAMMA</stp>
        <stp>.VTI201120P182</stp>
        <tr r="N743" s="1"/>
      </tp>
      <tp t="s">
        <v>N/A</v>
        <stp/>
        <stp>GAMMA</stp>
        <stp>.VTI201120C182</stp>
        <tr r="N742" s="1"/>
      </tp>
      <tp t="s">
        <v>N/A</v>
        <stp/>
        <stp>GAMMA</stp>
        <stp>.VTI201120P183</stp>
        <tr r="N745" s="1"/>
      </tp>
      <tp t="s">
        <v>N/A</v>
        <stp/>
        <stp>GAMMA</stp>
        <stp>.VTI201120C183</stp>
        <tr r="N744" s="1"/>
      </tp>
      <tp t="s">
        <v>N/A</v>
        <stp/>
        <stp>GAMMA</stp>
        <stp>.VTI201120P184</stp>
        <tr r="N747" s="1"/>
      </tp>
      <tp t="s">
        <v>N/A</v>
        <stp/>
        <stp>GAMMA</stp>
        <stp>.VTI201120C184</stp>
        <tr r="N746" s="1"/>
      </tp>
      <tp t="s">
        <v>N/A</v>
        <stp/>
        <stp>GAMMA</stp>
        <stp>.XBI201120C124</stp>
        <tr r="N772" s="1"/>
      </tp>
      <tp t="s">
        <v>N/A</v>
        <stp/>
        <stp>GAMMA</stp>
        <stp>.XBI201120P124</stp>
        <tr r="N773" s="1"/>
      </tp>
      <tp t="s">
        <v>N/A</v>
        <stp/>
        <stp>GAMMA</stp>
        <stp>.XBI201120C125</stp>
        <tr r="N776" s="1"/>
      </tp>
      <tp t="s">
        <v>N/A</v>
        <stp/>
        <stp>GAMMA</stp>
        <stp>.XBI201120P125</stp>
        <tr r="N777" s="1"/>
      </tp>
      <tp t="s">
        <v>N/A</v>
        <stp/>
        <stp>GAMMA</stp>
        <stp>.XBI201120C122</stp>
        <tr r="N764" s="1"/>
      </tp>
      <tp t="s">
        <v>N/A</v>
        <stp/>
        <stp>GAMMA</stp>
        <stp>.XBI201120P122</stp>
        <tr r="N765" s="1"/>
      </tp>
      <tp t="s">
        <v>N/A</v>
        <stp/>
        <stp>GAMMA</stp>
        <stp>.XBI201120C123</stp>
        <tr r="N768" s="1"/>
      </tp>
      <tp t="s">
        <v>N/A</v>
        <stp/>
        <stp>GAMMA</stp>
        <stp>.XBI201120P123</stp>
        <tr r="N769" s="1"/>
      </tp>
      <tp t="s">
        <v>N/A</v>
        <stp/>
        <stp>DELTA</stp>
        <stp>.VOO201120C330</stp>
        <tr r="M732" s="1"/>
      </tp>
      <tp t="s">
        <v>N/A</v>
        <stp/>
        <stp>DELTA</stp>
        <stp>.VOO201120P330</stp>
        <tr r="M733" s="1"/>
      </tp>
      <tp t="s">
        <v>N/A</v>
        <stp/>
        <stp>DELTA</stp>
        <stp>.VOO201120C325</stp>
        <tr r="M730" s="1"/>
      </tp>
      <tp t="s">
        <v>N/A</v>
        <stp/>
        <stp>DELTA</stp>
        <stp>.VOO201120P325</stp>
        <tr r="M731" s="1"/>
      </tp>
      <tp t="s">
        <v>N/A</v>
        <stp/>
        <stp>DELTA</stp>
        <stp>.IWM201120P174</stp>
        <tr r="M357" s="1"/>
      </tp>
      <tp t="s">
        <v>N/A</v>
        <stp/>
        <stp>DELTA</stp>
        <stp>.IWM201120C174</stp>
        <tr r="M356" s="1"/>
      </tp>
      <tp t="s">
        <v>N/A</v>
        <stp/>
        <stp>DELTA</stp>
        <stp>.IWM201120P175</stp>
        <tr r="M359" s="1"/>
      </tp>
      <tp t="s">
        <v>N/A</v>
        <stp/>
        <stp>DELTA</stp>
        <stp>.IWM201120C175</stp>
        <tr r="M358" s="1"/>
      </tp>
      <tp t="s">
        <v>N/A</v>
        <stp/>
        <stp>DELTA</stp>
        <stp>.IWM201120P172</stp>
        <tr r="M351" s="1"/>
      </tp>
      <tp t="s">
        <v>N/A</v>
        <stp/>
        <stp>DELTA</stp>
        <stp>.IWM201120C172</stp>
        <tr r="M350" s="1"/>
      </tp>
      <tp t="s">
        <v>N/A</v>
        <stp/>
        <stp>DELTA</stp>
        <stp>.IWM201120P173</stp>
        <tr r="M355" s="1"/>
      </tp>
      <tp t="s">
        <v>N/A</v>
        <stp/>
        <stp>DELTA</stp>
        <stp>.IWM201120C173</stp>
        <tr r="M354" s="1"/>
      </tp>
      <tp t="s">
        <v>N/A</v>
        <stp/>
        <stp>DELTA</stp>
        <stp>.IWM201120P170</stp>
        <tr r="M347" s="1"/>
      </tp>
      <tp t="s">
        <v>N/A</v>
        <stp/>
        <stp>DELTA</stp>
        <stp>.IWM201120C170</stp>
        <tr r="M346" s="1"/>
      </tp>
      <tp t="s">
        <v>N/A</v>
        <stp/>
        <stp>DELTA</stp>
        <stp>.IWM201120P171</stp>
        <tr r="M349" s="1"/>
      </tp>
      <tp t="s">
        <v>N/A</v>
        <stp/>
        <stp>DELTA</stp>
        <stp>.IWM201120C171</stp>
        <tr r="M348" s="1"/>
      </tp>
      <tp t="s">
        <v>N/A</v>
        <stp/>
        <stp>DESCRIPTION</stp>
        <stp>VTI</stp>
        <tr r="B739" s="1"/>
      </tp>
      <tp>
        <v>41.115000000000002</v>
        <stp/>
        <stp>LOW</stp>
        <stp>EZU</stp>
        <tr r="K177" s="1"/>
      </tp>
      <tp t="s">
        <v>N/A</v>
        <stp/>
        <stp>DESCRIPTION</stp>
        <stp>VWO</stp>
        <tr r="B748" s="1"/>
      </tp>
      <tp>
        <v>45.49</v>
        <stp/>
        <stp>BID</stp>
        <stp>KRE</stp>
        <tr r="H388" s="1"/>
      </tp>
      <tp t="s">
        <v>N/A</v>
        <stp/>
        <stp>DESCRIPTION</stp>
        <stp>VYM</stp>
        <tr r="B758" s="1"/>
      </tp>
      <tp>
        <v>30.475000000000001</v>
        <stp/>
        <stp>LOW</stp>
        <stp>EWZ</stp>
        <tr r="K172" s="1"/>
      </tp>
      <tp>
        <v>71.644999999999996</v>
        <stp/>
        <stp>LOW</stp>
        <stp>EWY</stp>
        <tr r="K161" s="1"/>
      </tp>
      <tp>
        <v>38.104999999999997</v>
        <stp/>
        <stp>LOW</stp>
        <stp>EWW</stp>
        <tr r="K154" s="1"/>
      </tp>
      <tp>
        <v>47.81</v>
        <stp/>
        <stp>LOW</stp>
        <stp>EWT</stp>
        <tr r="K148" s="1"/>
      </tp>
      <tp>
        <v>27.78</v>
        <stp/>
        <stp>LOW</stp>
        <stp>EWU</stp>
        <tr r="K151" s="1"/>
      </tp>
      <tp>
        <v>25.19</v>
        <stp/>
        <stp>LOW</stp>
        <stp>EWP</stp>
        <tr r="K145" s="1"/>
      </tp>
      <tp>
        <v>42.28</v>
        <stp/>
        <stp>LOW</stp>
        <stp>EWL</stp>
        <tr r="K142" s="1"/>
      </tp>
      <tp>
        <v>62.4</v>
        <stp/>
        <stp>LOW</stp>
        <stp>EWJ</stp>
        <tr r="K135" s="1"/>
      </tp>
      <tp>
        <v>23.52</v>
        <stp/>
        <stp>LOW</stp>
        <stp>EWH</stp>
        <tr r="K129" s="1"/>
      </tp>
      <tp>
        <v>26.58</v>
        <stp/>
        <stp>LOW</stp>
        <stp>EWI</stp>
        <tr r="K132" s="1"/>
      </tp>
      <tp>
        <v>29.35</v>
        <stp/>
        <stp>LOW</stp>
        <stp>EWG</stp>
        <tr r="K126" s="1"/>
      </tp>
      <tp>
        <v>28.535</v>
        <stp/>
        <stp>LOW</stp>
        <stp>EWC</stp>
        <tr r="K123" s="1"/>
      </tp>
      <tp>
        <v>21.83</v>
        <stp/>
        <stp>LOW</stp>
        <stp>EWA</stp>
        <tr r="K120" s="1"/>
      </tp>
      <tp t="s">
        <v>N/A</v>
        <stp/>
        <stp>DESCRIPTION</stp>
        <stp>VEA</stp>
        <tr r="B707" s="1"/>
      </tp>
      <tp t="s">
        <v>N/A</v>
        <stp/>
        <stp>DESCRIPTION</stp>
        <stp>VEU</stp>
        <tr r="B710" s="1"/>
      </tp>
      <tp t="s">
        <v>N/A</v>
        <stp/>
        <stp>DESCRIPTION</stp>
        <stp>VFH</stp>
        <tr r="B713" s="1"/>
      </tp>
      <tp t="s">
        <v>N/A</v>
        <stp/>
        <stp>DESCRIPTION</stp>
        <stp>VGK</stp>
        <tr r="B721" s="1"/>
      </tp>
      <tp>
        <v>113.31</v>
        <stp/>
        <stp>LOW</stp>
        <stp>EMB</stp>
        <tr r="K111" s="1"/>
      </tp>
      <tp t="s">
        <v>N/A</v>
        <stp/>
        <stp>DESCRIPTION</stp>
        <stp>VNQ</stp>
        <tr r="B724" s="1"/>
      </tp>
      <tp t="s">
        <v>N/A</v>
        <stp/>
        <stp>DESCRIPTION</stp>
        <stp>VOO</stp>
        <tr r="B729" s="1"/>
      </tp>
      <tp>
        <v>36.86</v>
        <stp/>
        <stp>BID</stp>
        <stp>KBE</stp>
        <tr r="H385" s="1"/>
      </tp>
      <tp>
        <v>85.32</v>
        <stp/>
        <stp>ASK</stp>
        <stp>HYG</stp>
        <tr r="I220" s="1"/>
      </tp>
      <tp>
        <v>47.54</v>
        <stp/>
        <stp>LOW</stp>
        <stp>EEM</stp>
        <tr r="K94" s="1"/>
      </tp>
      <tp>
        <v>43.88</v>
        <stp/>
        <stp>LOW</stp>
        <stp>EFV</stp>
        <tr r="K108" s="1"/>
      </tp>
      <tp>
        <v>68.16</v>
        <stp/>
        <stp>LOW</stp>
        <stp>EFA</stp>
        <tr r="K101" s="1"/>
      </tp>
      <tp t="s">
        <v>N/A</v>
        <stp/>
        <stp>DESCRIPTION</stp>
        <stp>DFEN</stp>
        <tr r="B54" s="1"/>
      </tp>
      <tp>
        <v>13.99</v>
        <stp/>
        <stp>LAST</stp>
        <stp>DXD</stp>
        <tr r="E91" s="1"/>
      </tp>
      <tp>
        <v>0</v>
        <stp/>
        <stp>RHO</stp>
        <stp>EMLC</stp>
        <tr r="Q114" s="1"/>
      </tp>
      <tp>
        <v>0</v>
        <stp/>
        <stp>RHO</stp>
        <stp>AMLP</stp>
        <tr r="Q18" s="1"/>
      </tp>
      <tp>
        <v>89.82</v>
        <stp/>
        <stp>LAST</stp>
        <stp>DVY</stp>
        <tr r="E84" s="1"/>
      </tp>
      <tp>
        <v>291.05</v>
        <stp/>
        <stp>LAST</stp>
        <stp>DIA</stp>
        <tr r="E62" s="1"/>
      </tp>
      <tp>
        <v>135.6</v>
        <stp/>
        <stp>HIGH</stp>
        <stp>LQD</stp>
        <tr r="J404" s="1"/>
      </tp>
      <tp>
        <v>36.4</v>
        <stp/>
        <stp>BID</stp>
        <stp>XLRE</stp>
        <tr r="H846" s="1"/>
      </tp>
      <tp t="s">
        <v>N/A</v>
        <stp/>
        <stp>VEGA</stp>
        <stp>.JNK201120P106.5</stp>
        <tr r="P382" s="1"/>
      </tp>
      <tp>
        <v>0</v>
        <stp/>
        <stp>THETA</stp>
        <stp>IEMG</stp>
        <tr r="O256" s="1"/>
      </tp>
      <tp t="s">
        <v>N/A</v>
        <stp/>
        <stp>PROB_OTM</stp>
        <stp>.XLU201120C66.5</stp>
        <tr r="U852" s="1"/>
      </tp>
      <tp t="s">
        <v>N/A</v>
        <stp/>
        <stp>PROB_OTM</stp>
        <stp>.XLP201120C66.5</stp>
        <tr r="U842" s="1"/>
      </tp>
      <tp t="s">
        <v>N/A</v>
        <stp/>
        <stp>PROB_OTM</stp>
        <stp>.XME201120C26.5</stp>
        <tr r="U885" s="1"/>
      </tp>
      <tp t="s">
        <v>N/A</v>
        <stp/>
        <stp>PROB_OTM</stp>
        <stp>.XME201120P26.5</stp>
        <tr r="U886" s="1"/>
      </tp>
      <tp t="s">
        <v>N/A</v>
        <stp/>
        <stp>PROB_OTM</stp>
        <stp>.XLU201120P66.5</stp>
        <tr r="U853" s="1"/>
      </tp>
      <tp t="s">
        <v>N/A</v>
        <stp/>
        <stp>PROB_OTM</stp>
        <stp>.XLP201120P66.5</stp>
        <tr r="U843" s="1"/>
      </tp>
      <tp>
        <v>21204910</v>
        <stp/>
        <stp>VOLUME</stp>
        <stp>GDX</stp>
        <tr r="F195" s="1"/>
      </tp>
      <tp>
        <v>1.21</v>
        <stp/>
        <stp>LAST</stp>
        <stp>.XLV201120C110.5</stp>
        <tr r="E859" s="1"/>
      </tp>
      <tp>
        <v>0</v>
        <stp/>
        <stp>OPEN</stp>
        <stp>.IVV201120C357.5</stp>
        <tr r="L318" s="1"/>
      </tp>
      <tp>
        <v>1.82</v>
        <stp/>
        <stp>LAST</stp>
        <stp>.XLK201120C120.5</stp>
        <tr r="E829" s="1"/>
      </tp>
      <tp t="s">
        <v>N/A</v>
        <stp/>
        <stp>OPEN</stp>
        <stp>.IWF201120C227.5</stp>
        <tr r="L343" s="1"/>
      </tp>
      <tp t="s">
        <v>N/A</v>
        <stp/>
        <stp>PROB_OTM</stp>
        <stp>.TAN201120C76.5</stp>
        <tr r="U676" s="1"/>
      </tp>
      <tp>
        <v>0</v>
        <stp/>
        <stp>LAST</stp>
        <stp>.JNK201120C107</stp>
        <tr r="E383" s="1"/>
      </tp>
      <tp t="s">
        <v>N/A</v>
        <stp/>
        <stp>LAST</stp>
        <stp>.JNK201120P107</stp>
        <tr r="E384" s="1"/>
      </tp>
      <tp t="s">
        <v>N/A</v>
        <stp/>
        <stp>PROB_OTM</stp>
        <stp>.TAN201120P76.5</stp>
        <tr r="U677" s="1"/>
      </tp>
      <tp>
        <v>0</v>
        <stp/>
        <stp>THETA</stp>
        <stp>IEFA</stp>
        <tr r="O251" s="1"/>
      </tp>
      <tp t="s">
        <v>N/A</v>
        <stp/>
        <stp>LAST</stp>
        <stp>.IJH201120C210</stp>
        <tr r="E272" s="1"/>
      </tp>
      <tp t="s">
        <v>N/A</v>
        <stp/>
        <stp>LAST</stp>
        <stp>.IJH201120P210</stp>
        <tr r="E273" s="1"/>
      </tp>
      <tp t="s">
        <v>N/A</v>
        <stp/>
        <stp>OPEN_INT</stp>
        <stp>.EWY201120C72.5</stp>
        <tr r="G166" s="1"/>
      </tp>
      <tp t="s">
        <v>N/A</v>
        <stp/>
        <stp>OPEN_INT</stp>
        <stp>.EWY201120P72.5</stp>
        <tr r="G167" s="1"/>
      </tp>
      <tp t="s">
        <v>N/A</v>
        <stp/>
        <stp>PROB_OTM</stp>
        <stp>.VWO201120P46.5</stp>
        <tr r="U750" s="1"/>
      </tp>
      <tp>
        <v>1</v>
        <stp/>
        <stp>DELTA</stp>
        <stp>JETS</stp>
        <tr r="M375" s="1"/>
      </tp>
      <tp>
        <v>1.18</v>
        <stp/>
        <stp>LAST</stp>
        <stp>.XLK201120C122</stp>
        <tr r="E835" s="1"/>
      </tp>
      <tp>
        <v>3.15</v>
        <stp/>
        <stp>LAST</stp>
        <stp>.XLK201120P122</stp>
        <tr r="E836" s="1"/>
      </tp>
      <tp t="s">
        <v>N/A</v>
        <stp/>
        <stp>PROB_OTM</stp>
        <stp>.VWO201120C46.5</stp>
        <tr r="U749" s="1"/>
      </tp>
      <tp>
        <v>0.75</v>
        <stp/>
        <stp>LAST</stp>
        <stp>.XLK201120C123</stp>
        <tr r="E839" s="1"/>
      </tp>
      <tp>
        <v>3.72</v>
        <stp/>
        <stp>LAST</stp>
        <stp>.XLK201120P123</stp>
        <tr r="E840" s="1"/>
      </tp>
      <tp>
        <v>2.4300000000000002</v>
        <stp/>
        <stp>LAST</stp>
        <stp>.XLK201120C120</stp>
        <tr r="E827" s="1"/>
      </tp>
      <tp>
        <v>2.0099999999999998</v>
        <stp/>
        <stp>LAST</stp>
        <stp>.XLK201120P120</stp>
        <tr r="E828" s="1"/>
      </tp>
      <tp>
        <v>1.57</v>
        <stp/>
        <stp>LAST</stp>
        <stp>.XLK201120C121</stp>
        <tr r="E831" s="1"/>
      </tp>
      <tp>
        <v>2.5</v>
        <stp/>
        <stp>LAST</stp>
        <stp>.XLK201120P121</stp>
        <tr r="E832" s="1"/>
      </tp>
      <tp t="s">
        <v>N/A</v>
        <stp/>
        <stp>HIGH</stp>
        <stp>.JNK201120P106.5</stp>
        <tr r="J382" s="1"/>
      </tp>
      <tp t="s">
        <v>N/A</v>
        <stp/>
        <stp>PROB_OTM</stp>
        <stp>.SHY201120C86.5</stp>
        <tr r="U546" s="1"/>
      </tp>
      <tp t="s">
        <v>N/A</v>
        <stp/>
        <stp>PROB_OTM</stp>
        <stp>.SHY201120P86.5</stp>
        <tr r="U547" s="1"/>
      </tp>
      <tp t="s">
        <v>N/A</v>
        <stp/>
        <stp>PROB_OF_EXPIRING</stp>
        <stp>.MJ201120P13</stp>
        <tr r="T425" s="1"/>
      </tp>
      <tp>
        <v>0</v>
        <stp/>
        <stp>OPEN</stp>
        <stp>.SMH201120P198</stp>
        <tr r="L575" s="1"/>
      </tp>
      <tp>
        <v>2.2999999999999998</v>
        <stp/>
        <stp>OPEN</stp>
        <stp>.SMH201120C198</stp>
        <tr r="L574" s="1"/>
      </tp>
      <tp>
        <v>0</v>
        <stp/>
        <stp>OPEN</stp>
        <stp>.SMH201120P197</stp>
        <tr r="L571" s="1"/>
      </tp>
      <tp>
        <v>2.15</v>
        <stp/>
        <stp>OPEN</stp>
        <stp>.SMH201120C197</stp>
        <tr r="L570" s="1"/>
      </tp>
      <tp>
        <v>0</v>
        <stp/>
        <stp>OPEN</stp>
        <stp>.SMH201120P196</stp>
        <tr r="L567" s="1"/>
      </tp>
      <tp>
        <v>3.1</v>
        <stp/>
        <stp>OPEN</stp>
        <stp>.SMH201120C196</stp>
        <tr r="L566" s="1"/>
      </tp>
      <tp>
        <v>2.9</v>
        <stp/>
        <stp>OPEN</stp>
        <stp>.SMH201120P195</stp>
        <tr r="L563" s="1"/>
      </tp>
      <tp>
        <v>3.7</v>
        <stp/>
        <stp>OPEN</stp>
        <stp>.SMH201120C195</stp>
        <tr r="L562" s="1"/>
      </tp>
      <tp>
        <v>3.1</v>
        <stp/>
        <stp>OPEN</stp>
        <stp>.SMH201120P194</stp>
        <tr r="L559" s="1"/>
      </tp>
      <tp>
        <v>2.89</v>
        <stp/>
        <stp>OPEN</stp>
        <stp>.SMH201120C194</stp>
        <tr r="L558" s="1"/>
      </tp>
      <tp>
        <v>2.2799999999999998</v>
        <stp/>
        <stp>OPEN</stp>
        <stp>.SMH201120P193</stp>
        <tr r="L555" s="1"/>
      </tp>
      <tp>
        <v>3.38</v>
        <stp/>
        <stp>OPEN</stp>
        <stp>.SMH201120C193</stp>
        <tr r="L554" s="1"/>
      </tp>
      <tp t="s">
        <v>N/A</v>
        <stp/>
        <stp>VEGA</stp>
        <stp>.JNK201120C106.5</stp>
        <tr r="P381" s="1"/>
      </tp>
      <tp>
        <v>1</v>
        <stp/>
        <stp>DELTA</stp>
        <stp>IEMG</stp>
        <tr r="M256" s="1"/>
      </tp>
      <tp t="s">
        <v>N/A</v>
        <stp/>
        <stp>IMPL_VOL</stp>
        <stp>.VT201120C87</stp>
        <tr r="D737" s="1"/>
      </tp>
      <tp t="s">
        <v>N/A</v>
        <stp/>
        <stp>IMPL_VOL</stp>
        <stp>.VT201120C86</stp>
        <tr r="D735" s="1"/>
      </tp>
      <tp>
        <v>0</v>
        <stp/>
        <stp>OPEN</stp>
        <stp>.IWF201120P227.5</stp>
        <tr r="L344" s="1"/>
      </tp>
      <tp>
        <v>1</v>
        <stp/>
        <stp>LAST</stp>
        <stp>.XLV201120P110.5</stp>
        <tr r="E860" s="1"/>
      </tp>
      <tp>
        <v>0</v>
        <stp/>
        <stp>OPEN</stp>
        <stp>.IVV201120P357.5</stp>
        <tr r="L319" s="1"/>
      </tp>
      <tp>
        <v>2.23</v>
        <stp/>
        <stp>LAST</stp>
        <stp>.XLK201120P120.5</stp>
        <tr r="E830" s="1"/>
      </tp>
      <tp t="s">
        <v>N/A</v>
        <stp/>
        <stp>PROB_OTM</stp>
        <stp>.KRE201120P46.5</stp>
        <tr r="U392" s="1"/>
      </tp>
      <tp t="s">
        <v>N/A</v>
        <stp/>
        <stp>PROB_OTM</stp>
        <stp>.KRE201120C46.5</stp>
        <tr r="U391" s="1"/>
      </tp>
      <tp t="s">
        <v>N/A</v>
        <stp/>
        <stp>OPEN_INT</stp>
        <stp>.TAN201120P72.5</stp>
        <tr r="G661" s="1"/>
      </tp>
      <tp>
        <v>206</v>
        <stp/>
        <stp>OPEN_INT</stp>
        <stp>.TAN201120C72.5</stp>
        <tr r="G660" s="1"/>
      </tp>
      <tp>
        <v>1</v>
        <stp/>
        <stp>DELTA</stp>
        <stp>IEFA</stp>
        <tr r="M251" s="1"/>
      </tp>
      <tp t="s">
        <v>N/A</v>
        <stp/>
        <stp>HIGH</stp>
        <stp>.JNK201120C106.5</stp>
        <tr r="J381" s="1"/>
      </tp>
      <tp>
        <v>0</v>
        <stp/>
        <stp>THETA</stp>
        <stp>JETS</stp>
        <tr r="O375" s="1"/>
      </tp>
      <tp t="s">
        <v>N/A</v>
        <stp/>
        <stp>PROB_OTM</stp>
        <stp>.GDX201120C36.5</stp>
        <tr r="U196" s="1"/>
      </tp>
      <tp t="s">
        <v>N/A</v>
        <stp/>
        <stp>PROB_OTM</stp>
        <stp>.GDX201120P36.5</stp>
        <tr r="U197" s="1"/>
      </tp>
      <tp t="s">
        <v>N/A</v>
        <stp/>
        <stp>OPEN_INT</stp>
        <stp>.RSX201120C22.5</stp>
        <tr r="G515" s="1"/>
      </tp>
      <tp t="s">
        <v>N/A</v>
        <stp/>
        <stp>OPEN_INT</stp>
        <stp>.RSX201120P22.5</stp>
        <tr r="G516" s="1"/>
      </tp>
      <tp t="s">
        <v>N/A</v>
        <stp/>
        <stp>OPEN_INT</stp>
        <stp>.SSO201120C82.5</stp>
        <tr r="G649" s="1"/>
      </tp>
      <tp t="s">
        <v>N/A</v>
        <stp/>
        <stp>OPEN_INT</stp>
        <stp>.SSO201120P82.5</stp>
        <tr r="G650" s="1"/>
      </tp>
      <tp>
        <v>13.7799</v>
        <stp/>
        <stp>LOW</stp>
        <stp>DXD</stp>
        <tr r="K91" s="1"/>
      </tp>
      <tp>
        <v>120.5</v>
        <stp/>
        <stp>ASK</stp>
        <stp>IEF</stp>
        <tr r="I248" s="1"/>
      </tp>
      <tp>
        <v>322.54000000000002</v>
        <stp/>
        <stp>ASK</stp>
        <stp>IGV</stp>
        <tr r="I264" s="1"/>
      </tp>
      <tp>
        <v>140.06</v>
        <stp/>
        <stp>ASK</stp>
        <stp>IBB</stp>
        <tr r="I228" s="1"/>
      </tp>
      <tp>
        <v>26.58</v>
        <stp/>
        <stp>ASK</stp>
        <stp>ILF</stp>
        <tr r="I277" s="1"/>
      </tp>
      <tp>
        <v>88.8429</v>
        <stp/>
        <stp>LOW</stp>
        <stp>DVY</stp>
        <tr r="K84" s="1"/>
      </tp>
      <tp>
        <v>208.6</v>
        <stp/>
        <stp>ASK</stp>
        <stp>IJH</stp>
        <tr r="I271" s="1"/>
      </tp>
      <tp>
        <v>79.989999999999995</v>
        <stp/>
        <stp>ASK</stp>
        <stp>IJR</stp>
        <tr r="I274" s="1"/>
      </tp>
      <tp>
        <v>55.16</v>
        <stp/>
        <stp>ASK</stp>
        <stp>ITB</stp>
        <tr r="I288" s="1"/>
      </tp>
      <tp>
        <v>106.11</v>
        <stp/>
        <stp>BID</stp>
        <stp>JNK</stp>
        <tr r="H380" s="1"/>
      </tp>
      <tp>
        <v>289.19</v>
        <stp/>
        <stp>LOW</stp>
        <stp>DIA</stp>
        <tr r="K62" s="1"/>
      </tp>
      <tp>
        <v>121.29</v>
        <stp/>
        <stp>ASK</stp>
        <stp>IVE</stp>
        <tr r="I302" s="1"/>
      </tp>
      <tp>
        <v>353.96</v>
        <stp/>
        <stp>ASK</stp>
        <stp>IVV</stp>
        <tr r="I309" s="1"/>
      </tp>
      <tp>
        <v>61.2</v>
        <stp/>
        <stp>ASK</stp>
        <stp>IVW</stp>
        <tr r="I330" s="1"/>
      </tp>
      <tp>
        <v>228.53</v>
        <stp/>
        <stp>ASK</stp>
        <stp>IWF</stp>
        <tr r="I340" s="1"/>
      </tp>
      <tp>
        <v>128.75</v>
        <stp/>
        <stp>ASK</stp>
        <stp>IWD</stp>
        <tr r="I333" s="1"/>
      </tp>
      <tp>
        <v>169.79</v>
        <stp/>
        <stp>ASK</stp>
        <stp>IWM</stp>
        <tr r="I345" s="1"/>
      </tp>
      <tp>
        <v>18.11</v>
        <stp/>
        <stp>ASK</stp>
        <stp>IYE</stp>
        <tr r="I363" s="1"/>
      </tp>
      <tp>
        <v>84.31</v>
        <stp/>
        <stp>ASK</stp>
        <stp>IYR</stp>
        <tr r="I366" s="1"/>
      </tp>
      <tp>
        <v>41.23</v>
        <stp/>
        <stp>LAST</stp>
        <stp>EZU</stp>
        <tr r="E177" s="1"/>
      </tp>
      <tp>
        <v>156.94</v>
        <stp/>
        <stp>OPEN</stp>
        <stp>TLT</stp>
        <tr r="L689" s="1"/>
      </tp>
      <tp>
        <v>30.75</v>
        <stp/>
        <stp>BID</stp>
        <stp>EMLC</stp>
        <tr r="H114" s="1"/>
      </tp>
      <tp>
        <v>22.06</v>
        <stp/>
        <stp>BID</stp>
        <stp>AMLP</stp>
        <tr r="H18" s="1"/>
      </tp>
      <tp>
        <v>125.2</v>
        <stp/>
        <stp>OPEN</stp>
        <stp>TIP</stp>
        <tr r="L686" s="1"/>
      </tp>
      <tp>
        <v>76.27</v>
        <stp/>
        <stp>ASK</stp>
        <stp>KWEB</stp>
        <tr r="I397" s="1"/>
      </tp>
      <tp>
        <v>0</v>
        <stp/>
        <stp>VEGA</stp>
        <stp>AGG</stp>
        <tr r="P15" s="1"/>
      </tp>
      <tp>
        <v>382.1</v>
        <stp/>
        <stp>HIGH</stp>
        <stp>MDY</stp>
        <tr r="J414" s="1"/>
      </tp>
      <tp t="s">
        <v>N/A</v>
        <stp/>
        <stp>OPEN</stp>
        <stp>.INDA201120C36.5</stp>
        <tr r="L283" s="1"/>
      </tp>
      <tp>
        <v>0</v>
        <stp/>
        <stp>OPEN</stp>
        <stp>.INDA201120P36.5</stp>
        <tr r="L284" s="1"/>
      </tp>
      <tp>
        <v>38.19</v>
        <stp/>
        <stp>LAST</stp>
        <stp>EWW</stp>
        <tr r="E154" s="1"/>
      </tp>
      <tp>
        <v>47.88</v>
        <stp/>
        <stp>LAST</stp>
        <stp>EWT</stp>
        <tr r="E148" s="1"/>
      </tp>
      <tp>
        <v>75.91</v>
        <stp/>
        <stp>OPEN</stp>
        <stp>TAN</stp>
        <tr r="L659" s="1"/>
      </tp>
      <tp>
        <v>27.88</v>
        <stp/>
        <stp>LAST</stp>
        <stp>EWU</stp>
        <tr r="E151" s="1"/>
      </tp>
      <tp>
        <v>25.26</v>
        <stp/>
        <stp>LAST</stp>
        <stp>EWP</stp>
        <tr r="E145" s="1"/>
      </tp>
      <tp>
        <v>30.74</v>
        <stp/>
        <stp>LAST</stp>
        <stp>EWZ</stp>
        <tr r="E172" s="1"/>
      </tp>
      <tp>
        <v>71.81</v>
        <stp/>
        <stp>LAST</stp>
        <stp>EWY</stp>
        <tr r="E161" s="1"/>
      </tp>
      <tp>
        <v>29.48</v>
        <stp/>
        <stp>LAST</stp>
        <stp>EWG</stp>
        <tr r="E126" s="1"/>
      </tp>
      <tp>
        <v>28.65</v>
        <stp/>
        <stp>LAST</stp>
        <stp>EWC</stp>
        <tr r="E123" s="1"/>
      </tp>
      <tp>
        <v>21.91</v>
        <stp/>
        <stp>LAST</stp>
        <stp>EWA</stp>
        <tr r="E120" s="1"/>
      </tp>
      <tp>
        <v>42.31</v>
        <stp/>
        <stp>LAST</stp>
        <stp>EWL</stp>
        <tr r="E142" s="1"/>
      </tp>
      <tp>
        <v>62.49</v>
        <stp/>
        <stp>LAST</stp>
        <stp>EWJ</stp>
        <tr r="E135" s="1"/>
      </tp>
      <tp>
        <v>23.55</v>
        <stp/>
        <stp>LAST</stp>
        <stp>EWH</stp>
        <tr r="E129" s="1"/>
      </tp>
      <tp>
        <v>26.63</v>
        <stp/>
        <stp>LAST</stp>
        <stp>EWI</stp>
        <tr r="E132" s="1"/>
      </tp>
      <tp t="s">
        <v>N/A</v>
        <stp/>
        <stp>DESCRIPTION</stp>
        <stp>VGIT</stp>
        <tr r="B718" s="1"/>
      </tp>
      <tp t="s">
        <v>N/A</v>
        <stp/>
        <stp>DESCRIPTION</stp>
        <stp>IGIB</stp>
        <tr r="B261" s="1"/>
      </tp>
      <tp>
        <v>15.89</v>
        <stp/>
        <stp>OPEN</stp>
        <stp>TBF</stp>
        <tr r="L680" s="1"/>
      </tp>
      <tp>
        <v>16.760000000000002</v>
        <stp/>
        <stp>OPEN</stp>
        <stp>TBT</stp>
        <tr r="L683" s="1"/>
      </tp>
      <tp>
        <v>21.94</v>
        <stp/>
        <stp>LOW</stp>
        <stp>BKLN</stp>
        <tr r="K48" s="1"/>
      </tp>
      <tp>
        <v>0</v>
        <stp/>
        <stp>RHO</stp>
        <stp>XLRE</stp>
        <tr r="Q846" s="1"/>
      </tp>
      <tp t="s">
        <v>N/A</v>
        <stp/>
        <stp>DESCRIPTION</stp>
        <stp>DGRO</stp>
        <tr r="B59" s="1"/>
      </tp>
      <tp>
        <v>113.39</v>
        <stp/>
        <stp>LAST</stp>
        <stp>EMB</stp>
        <tr r="E111" s="1"/>
      </tp>
      <tp>
        <v>116.09</v>
        <stp/>
        <stp>HIGH</stp>
        <stp>MUB</stp>
        <tr r="J435" s="1"/>
      </tp>
      <tp>
        <v>43.99</v>
        <stp/>
        <stp>LAST</stp>
        <stp>EFV</stp>
        <tr r="E108" s="1"/>
      </tp>
      <tp>
        <v>68.319999999999993</v>
        <stp/>
        <stp>LAST</stp>
        <stp>EFA</stp>
        <tr r="E101" s="1"/>
      </tp>
      <tp>
        <v>47.66</v>
        <stp/>
        <stp>LAST</stp>
        <stp>EEM</stp>
        <tr r="E94" s="1"/>
      </tp>
      <tp t="s">
        <v>N/A</v>
        <stp/>
        <stp>PROB_OTM</stp>
        <stp>.XOP201120C47.5</stp>
        <tr r="U892" s="1"/>
      </tp>
      <tp t="s">
        <v>N/A</v>
        <stp/>
        <stp>PROB_OTM</stp>
        <stp>.XOP201120P47.5</stp>
        <tr r="U893" s="1"/>
      </tp>
      <tp>
        <v>3537710</v>
        <stp/>
        <stp>VOLUME</stp>
        <stp>FEZ</stp>
        <tr r="F180" s="1"/>
      </tp>
      <tp t="s">
        <v>N/A</v>
        <stp/>
        <stp>PROB_OF_TOUCHING</stp>
        <stp>.SSO201120P81.5</stp>
        <tr r="V646" s="1"/>
      </tp>
      <tp t="s">
        <v>N/A</v>
        <stp/>
        <stp>PROB_OF_TOUCHING</stp>
        <stp>.SSO201120C81.5</stp>
        <tr r="V645" s="1"/>
      </tp>
      <tp>
        <v>1</v>
        <stp/>
        <stp>DELTA</stp>
        <stp>GDXJ</stp>
        <tr r="M202" s="1"/>
      </tp>
      <tp>
        <v>0.82</v>
        <stp/>
        <stp>LAST</stp>
        <stp>.XLV201120C111.5</stp>
        <tr r="E863" s="1"/>
      </tp>
      <tp>
        <v>1.65</v>
        <stp/>
        <stp>LAST</stp>
        <stp>.XLY201120C151.5</stp>
        <tr r="E868" s="1"/>
      </tp>
      <tp>
        <v>1.29</v>
        <stp/>
        <stp>LAST</stp>
        <stp>.XLK201120C121.5</stp>
        <tr r="E833" s="1"/>
      </tp>
      <tp t="s">
        <v>N/A</v>
        <stp/>
        <stp>OPEN</stp>
        <stp>.MDY201120P382.5</stp>
        <tr r="L418" s="1"/>
      </tp>
      <tp>
        <v>15</v>
        <stp/>
        <stp>OPEN_INT</stp>
        <stp>.EWJ201120C63.5</stp>
        <tr r="G138" s="1"/>
      </tp>
      <tp t="s">
        <v>N/A</v>
        <stp/>
        <stp>OPEN_INT</stp>
        <stp>.EWY201120C73.5</stp>
        <tr r="G170" s="1"/>
      </tp>
      <tp t="s">
        <v>N/A</v>
        <stp/>
        <stp>OPEN_INT</stp>
        <stp>.EWJ201120P63.5</stp>
        <tr r="G139" s="1"/>
      </tp>
      <tp t="s">
        <v>N/A</v>
        <stp/>
        <stp>OPEN_INT</stp>
        <stp>.EWY201120P73.5</stp>
        <tr r="G171" s="1"/>
      </tp>
      <tp t="s">
        <v>N/A</v>
        <stp/>
        <stp>PROB_OTM</stp>
        <stp>.SH201120C19</stp>
        <tr r="U543" s="1"/>
      </tp>
      <tp t="s">
        <v>N/A</v>
        <stp/>
        <stp>IMPL_VOL</stp>
        <stp>.SSO201120P81.5</stp>
        <tr r="D646" s="1"/>
      </tp>
      <tp t="s">
        <v>N/A</v>
        <stp/>
        <stp>IMPL_VOL</stp>
        <stp>.SSO201120C81.5</stp>
        <tr r="D645" s="1"/>
      </tp>
      <tp>
        <v>0</v>
        <stp/>
        <stp>THETA</stp>
        <stp>PDBC</stp>
        <tr r="O451" s="1"/>
      </tp>
      <tp t="s">
        <v>N/A</v>
        <stp/>
        <stp>VEGA</stp>
        <stp>.RSP201120C118</stp>
        <tr r="P506" s="1"/>
      </tp>
      <tp t="s">
        <v>N/A</v>
        <stp/>
        <stp>VEGA</stp>
        <stp>.RSP201120P118</stp>
        <tr r="P507" s="1"/>
      </tp>
      <tp t="s">
        <v>N/A</v>
        <stp/>
        <stp>VEGA</stp>
        <stp>.RSP201120C119</stp>
        <tr r="P508" s="1"/>
      </tp>
      <tp t="s">
        <v>N/A</v>
        <stp/>
        <stp>VEGA</stp>
        <stp>.RSP201120P119</stp>
        <tr r="P509" s="1"/>
      </tp>
      <tp t="s">
        <v>N/A</v>
        <stp/>
        <stp>VEGA</stp>
        <stp>.RSP201120C120</stp>
        <tr r="P510" s="1"/>
      </tp>
      <tp t="s">
        <v>N/A</v>
        <stp/>
        <stp>VEGA</stp>
        <stp>.RSP201120P120</stp>
        <tr r="P511" s="1"/>
      </tp>
      <tp t="s">
        <v>N/A</v>
        <stp/>
        <stp>VEGA</stp>
        <stp>.TIP201120P125</stp>
        <tr r="P688" s="1"/>
      </tp>
      <tp t="s">
        <v>N/A</v>
        <stp/>
        <stp>VEGA</stp>
        <stp>.TIP201120C125</stp>
        <tr r="P687" s="1"/>
      </tp>
      <tp t="s">
        <v>N/A</v>
        <stp/>
        <stp>PROB_OF_TOUCHING</stp>
        <stp>.EWY201120P71.5</stp>
        <tr r="V163" s="1"/>
      </tp>
      <tp t="s">
        <v>N/A</v>
        <stp/>
        <stp>PROB_OF_TOUCHING</stp>
        <stp>.EWZ201120P31.5</stp>
        <tr r="V174" s="1"/>
      </tp>
      <tp t="s">
        <v>N/A</v>
        <stp/>
        <stp>PROB_OF_TOUCHING</stp>
        <stp>.EWY201120C71.5</stp>
        <tr r="V162" s="1"/>
      </tp>
      <tp t="s">
        <v>N/A</v>
        <stp/>
        <stp>PROB_OF_TOUCHING</stp>
        <stp>.EWZ201120C31.5</stp>
        <tr r="V173" s="1"/>
      </tp>
      <tp t="s">
        <v>N/A</v>
        <stp/>
        <stp>OPEN</stp>
        <stp>.VTI201120C182</stp>
        <tr r="L742" s="1"/>
      </tp>
      <tp t="s">
        <v>N/A</v>
        <stp/>
        <stp>OPEN</stp>
        <stp>.VTI201120P182</stp>
        <tr r="L743" s="1"/>
      </tp>
      <tp t="s">
        <v>N/A</v>
        <stp/>
        <stp>OPEN</stp>
        <stp>.VTI201120C183</stp>
        <tr r="L744" s="1"/>
      </tp>
      <tp t="s">
        <v>N/A</v>
        <stp/>
        <stp>OPEN</stp>
        <stp>.VTI201120P183</stp>
        <tr r="L745" s="1"/>
      </tp>
      <tp t="s">
        <v>N/A</v>
        <stp/>
        <stp>OPEN</stp>
        <stp>.VTI201120C181</stp>
        <tr r="L740" s="1"/>
      </tp>
      <tp t="s">
        <v>N/A</v>
        <stp/>
        <stp>OPEN</stp>
        <stp>.VTI201120P181</stp>
        <tr r="L741" s="1"/>
      </tp>
      <tp t="s">
        <v>N/A</v>
        <stp/>
        <stp>OPEN</stp>
        <stp>.VTI201120C184</stp>
        <tr r="L746" s="1"/>
      </tp>
      <tp>
        <v>0</v>
        <stp/>
        <stp>OPEN</stp>
        <stp>.VTI201120P184</stp>
        <tr r="L747" s="1"/>
      </tp>
      <tp>
        <v>127</v>
        <stp/>
        <stp>OPEN_INT</stp>
        <stp>.XLC201120P63.5</stp>
        <tr r="G800" s="1"/>
      </tp>
      <tp>
        <v>811</v>
        <stp/>
        <stp>OPEN_INT</stp>
        <stp>.XLE201120P33.5</stp>
        <tr r="G805" s="1"/>
      </tp>
      <tp t="s">
        <v>N/A</v>
        <stp/>
        <stp>OPEN_INT</stp>
        <stp>.XLC201120C63.5</stp>
        <tr r="G799" s="1"/>
      </tp>
      <tp>
        <v>7124</v>
        <stp/>
        <stp>OPEN_INT</stp>
        <stp>.XLE201120C33.5</stp>
        <tr r="G804" s="1"/>
      </tp>
      <tp t="s">
        <v>N/A</v>
        <stp/>
        <stp>OPEN</stp>
        <stp>.MDY201120C382.5</stp>
        <tr r="L417" s="1"/>
      </tp>
      <tp>
        <v>1.41</v>
        <stp/>
        <stp>LAST</stp>
        <stp>.XLV201120P111.5</stp>
        <tr r="E864" s="1"/>
      </tp>
      <tp t="s">
        <v>N/A</v>
        <stp/>
        <stp>LAST</stp>
        <stp>.XLY201120P151.5</stp>
        <tr r="E869" s="1"/>
      </tp>
      <tp>
        <v>2.71</v>
        <stp/>
        <stp>LAST</stp>
        <stp>.XLK201120P121.5</stp>
        <tr r="E834" s="1"/>
      </tp>
      <tp>
        <v>0</v>
        <stp/>
        <stp>THETA</stp>
        <stp>GDXJ</stp>
        <tr r="O202" s="1"/>
      </tp>
      <tp>
        <v>1131983</v>
        <stp/>
        <stp>VOLUME</stp>
        <stp>FVD</stp>
        <tr r="F185" s="1"/>
      </tp>
      <tp t="s">
        <v>N/A</v>
        <stp/>
        <stp>PROB_OTM</stp>
        <stp>.KRE201120P47.5</stp>
        <tr r="U396" s="1"/>
      </tp>
      <tp t="s">
        <v>N/A</v>
        <stp/>
        <stp>PROB_OTM</stp>
        <stp>.KRE201120C47.5</stp>
        <tr r="U395" s="1"/>
      </tp>
      <tp t="s">
        <v>N/A</v>
        <stp/>
        <stp>OPEN_INT</stp>
        <stp>.TAN201120P73.5</stp>
        <tr r="G665" s="1"/>
      </tp>
      <tp t="s">
        <v>N/A</v>
        <stp/>
        <stp>OPEN_INT</stp>
        <stp>.TAN201120C73.5</stp>
        <tr r="G664" s="1"/>
      </tp>
      <tp>
        <v>18036258</v>
        <stp/>
        <stp>VOLUME</stp>
        <stp>FXI</stp>
        <tr r="F188" s="1"/>
      </tp>
      <tp t="s">
        <v>N/A</v>
        <stp/>
        <stp>PROB_OTM</stp>
        <stp>.EEM201120C47.5</stp>
        <tr r="U95" s="1"/>
      </tp>
      <tp t="s">
        <v>N/A</v>
        <stp/>
        <stp>PROB_OTM</stp>
        <stp>.EEM201120P47.5</stp>
        <tr r="U96" s="1"/>
      </tp>
      <tp t="s">
        <v>N/A</v>
        <stp/>
        <stp>PROB_OTM</stp>
        <stp>.FXI201120P47.5</stp>
        <tr r="U192" s="1"/>
      </tp>
      <tp t="s">
        <v>N/A</v>
        <stp/>
        <stp>PROB_OTM</stp>
        <stp>.FXI201120C47.5</stp>
        <tr r="U191" s="1"/>
      </tp>
      <tp>
        <v>1.88</v>
        <stp/>
        <stp>OPEN</stp>
        <stp>.XBI201120P124</stp>
        <tr r="L773" s="1"/>
      </tp>
      <tp>
        <v>2.91</v>
        <stp/>
        <stp>OPEN</stp>
        <stp>.XBI201120C124</stp>
        <tr r="L772" s="1"/>
      </tp>
      <tp>
        <v>3</v>
        <stp/>
        <stp>OPEN</stp>
        <stp>.XBI201120P125</stp>
        <tr r="L777" s="1"/>
      </tp>
      <tp>
        <v>2.09</v>
        <stp/>
        <stp>OPEN</stp>
        <stp>.XBI201120C125</stp>
        <tr r="L776" s="1"/>
      </tp>
      <tp t="s">
        <v>N/A</v>
        <stp/>
        <stp>PROB_OTM</stp>
        <stp>.GDX201120C37.5</stp>
        <tr r="U200" s="1"/>
      </tp>
      <tp>
        <v>1.63</v>
        <stp/>
        <stp>OPEN</stp>
        <stp>.XBI201120P122</stp>
        <tr r="L765" s="1"/>
      </tp>
      <tp>
        <v>4.3</v>
        <stp/>
        <stp>OPEN</stp>
        <stp>.XBI201120C122</stp>
        <tr r="L764" s="1"/>
      </tp>
      <tp>
        <v>1.6</v>
        <stp/>
        <stp>OPEN</stp>
        <stp>.XBI201120P123</stp>
        <tr r="L769" s="1"/>
      </tp>
      <tp>
        <v>3.28</v>
        <stp/>
        <stp>OPEN</stp>
        <stp>.XBI201120C123</stp>
        <tr r="L768" s="1"/>
      </tp>
      <tp t="s">
        <v>N/A</v>
        <stp/>
        <stp>PROB_OTM</stp>
        <stp>.GDX201120P37.5</stp>
        <tr r="U201" s="1"/>
      </tp>
      <tp>
        <v>1</v>
        <stp/>
        <stp>DELTA</stp>
        <stp>PDBC</stp>
        <tr r="M451" s="1"/>
      </tp>
      <tp t="s">
        <v>N/A</v>
        <stp/>
        <stp>IMPL_VOL</stp>
        <stp>.EWZ201120P31.5</stp>
        <tr r="D174" s="1"/>
      </tp>
      <tp t="s">
        <v>N/A</v>
        <stp/>
        <stp>IMPL_VOL</stp>
        <stp>.EWY201120P71.5</stp>
        <tr r="D163" s="1"/>
      </tp>
      <tp t="s">
        <v>N/A</v>
        <stp/>
        <stp>IMPL_VOL</stp>
        <stp>.EWZ201120C31.5</stp>
        <tr r="D173" s="1"/>
      </tp>
      <tp t="s">
        <v>N/A</v>
        <stp/>
        <stp>IMPL_VOL</stp>
        <stp>.EWY201120C71.5</stp>
        <tr r="D162" s="1"/>
      </tp>
      <tp t="s">
        <v>N/A</v>
        <stp/>
        <stp>OPEN_INT</stp>
        <stp>.SSO201120C83.5</stp>
        <tr r="G653" s="1"/>
      </tp>
      <tp t="s">
        <v>N/A</v>
        <stp/>
        <stp>OPEN_INT</stp>
        <stp>.SDS201120P13.5</stp>
        <tr r="G539" s="1"/>
      </tp>
      <tp t="s">
        <v>N/A</v>
        <stp/>
        <stp>OPEN_INT</stp>
        <stp>.SSO201120P83.5</stp>
        <tr r="G654" s="1"/>
      </tp>
      <tp t="s">
        <v>N/A</v>
        <stp/>
        <stp>OPEN_INT</stp>
        <stp>.SDS201120C13.5</stp>
        <tr r="G538" s="1"/>
      </tp>
      <tp t="s">
        <v>N/A</v>
        <stp/>
        <stp>THETA</stp>
        <stp>.IBB201120P138</stp>
        <tr r="O230" s="1"/>
      </tp>
      <tp t="s">
        <v>N/A</v>
        <stp/>
        <stp>THETA</stp>
        <stp>.IBB201120C138</stp>
        <tr r="O229" s="1"/>
      </tp>
      <tp t="s">
        <v>N/A</v>
        <stp/>
        <stp>THETA</stp>
        <stp>.IBB201120P139</stp>
        <tr r="O234" s="1"/>
      </tp>
      <tp t="s">
        <v>N/A</v>
        <stp/>
        <stp>THETA</stp>
        <stp>.IBB201120C139</stp>
        <tr r="O233" s="1"/>
      </tp>
      <tp t="s">
        <v>N/A</v>
        <stp/>
        <stp>THETA</stp>
        <stp>.EMB201120P114</stp>
        <tr r="O113" s="1"/>
      </tp>
      <tp t="s">
        <v>N/A</v>
        <stp/>
        <stp>THETA</stp>
        <stp>.EMB201120C114</stp>
        <tr r="O112" s="1"/>
      </tp>
      <tp t="s">
        <v>N/A</v>
        <stp/>
        <stp>THETA</stp>
        <stp>.MUB201120C116</stp>
        <tr r="O436" s="1"/>
      </tp>
      <tp t="s">
        <v>N/A</v>
        <stp/>
        <stp>THETA</stp>
        <stp>.MUB201120P116</stp>
        <tr r="O437" s="1"/>
      </tp>
      <tp t="s">
        <v>N/A</v>
        <stp/>
        <stp>THETA</stp>
        <stp>.IBB201120P140</stp>
        <tr r="O238" s="1"/>
      </tp>
      <tp t="s">
        <v>N/A</v>
        <stp/>
        <stp>THETA</stp>
        <stp>.IBB201120C140</stp>
        <tr r="O237" s="1"/>
      </tp>
      <tp t="s">
        <v>N/A</v>
        <stp/>
        <stp>THETA</stp>
        <stp>.IBB201120P141</stp>
        <tr r="O242" s="1"/>
      </tp>
      <tp t="s">
        <v>N/A</v>
        <stp/>
        <stp>THETA</stp>
        <stp>.IBB201120C141</stp>
        <tr r="O241" s="1"/>
      </tp>
      <tp t="s">
        <v>N/A</v>
        <stp/>
        <stp>GAMMA</stp>
        <stp>.XLK201120C122</stp>
        <tr r="N835" s="1"/>
      </tp>
      <tp t="s">
        <v>N/A</v>
        <stp/>
        <stp>GAMMA</stp>
        <stp>.XLK201120P122</stp>
        <tr r="N836" s="1"/>
      </tp>
      <tp t="s">
        <v>N/A</v>
        <stp/>
        <stp>GAMMA</stp>
        <stp>.XLK201120C123</stp>
        <tr r="N839" s="1"/>
      </tp>
      <tp t="s">
        <v>N/A</v>
        <stp/>
        <stp>GAMMA</stp>
        <stp>.XLK201120P123</stp>
        <tr r="N840" s="1"/>
      </tp>
      <tp t="s">
        <v>N/A</v>
        <stp/>
        <stp>GAMMA</stp>
        <stp>.XLK201120C120</stp>
        <tr r="N827" s="1"/>
      </tp>
      <tp t="s">
        <v>N/A</v>
        <stp/>
        <stp>GAMMA</stp>
        <stp>.XLK201120P120</stp>
        <tr r="N828" s="1"/>
      </tp>
      <tp t="s">
        <v>N/A</v>
        <stp/>
        <stp>GAMMA</stp>
        <stp>.XLK201120C121</stp>
        <tr r="N831" s="1"/>
      </tp>
      <tp t="s">
        <v>N/A</v>
        <stp/>
        <stp>GAMMA</stp>
        <stp>.XLK201120P121</stp>
        <tr r="N832" s="1"/>
      </tp>
      <tp t="s">
        <v>N/A</v>
        <stp/>
        <stp>GAMMA</stp>
        <stp>.JNK201120C107</stp>
        <tr r="N383" s="1"/>
      </tp>
      <tp t="s">
        <v>N/A</v>
        <stp/>
        <stp>GAMMA</stp>
        <stp>.JNK201120P107</stp>
        <tr r="N384" s="1"/>
      </tp>
      <tp t="s">
        <v>N/A</v>
        <stp/>
        <stp>THETA</stp>
        <stp>.DIA201120P293</stp>
        <tr r="O70" s="1"/>
      </tp>
      <tp t="s">
        <v>N/A</v>
        <stp/>
        <stp>THETA</stp>
        <stp>.DIA201120C293</stp>
        <tr r="O69" s="1"/>
      </tp>
      <tp t="s">
        <v>N/A</v>
        <stp/>
        <stp>THETA</stp>
        <stp>.DIA201120P292</stp>
        <tr r="O66" s="1"/>
      </tp>
      <tp t="s">
        <v>N/A</v>
        <stp/>
        <stp>THETA</stp>
        <stp>.DIA201120C292</stp>
        <tr r="O65" s="1"/>
      </tp>
      <tp t="s">
        <v>N/A</v>
        <stp/>
        <stp>THETA</stp>
        <stp>.DIA201120P291</stp>
        <tr r="O64" s="1"/>
      </tp>
      <tp t="s">
        <v>N/A</v>
        <stp/>
        <stp>THETA</stp>
        <stp>.DIA201120C291</stp>
        <tr r="O63" s="1"/>
      </tp>
      <tp t="s">
        <v>N/A</v>
        <stp/>
        <stp>THETA</stp>
        <stp>.DIA201120P297</stp>
        <tr r="O78" s="1"/>
      </tp>
      <tp t="s">
        <v>N/A</v>
        <stp/>
        <stp>THETA</stp>
        <stp>.DIA201120C297</stp>
        <tr r="O77" s="1"/>
      </tp>
      <tp t="s">
        <v>N/A</v>
        <stp/>
        <stp>THETA</stp>
        <stp>.DIA201120P296</stp>
        <tr r="O76" s="1"/>
      </tp>
      <tp t="s">
        <v>N/A</v>
        <stp/>
        <stp>THETA</stp>
        <stp>.DIA201120C296</stp>
        <tr r="O75" s="1"/>
      </tp>
      <tp t="s">
        <v>N/A</v>
        <stp/>
        <stp>THETA</stp>
        <stp>.DIA201120P295</stp>
        <tr r="O74" s="1"/>
      </tp>
      <tp t="s">
        <v>N/A</v>
        <stp/>
        <stp>THETA</stp>
        <stp>.DIA201120C295</stp>
        <tr r="O73" s="1"/>
      </tp>
      <tp t="s">
        <v>N/A</v>
        <stp/>
        <stp>THETA</stp>
        <stp>.DIA201120P294</stp>
        <tr r="O72" s="1"/>
      </tp>
      <tp t="s">
        <v>N/A</v>
        <stp/>
        <stp>THETA</stp>
        <stp>.DIA201120C294</stp>
        <tr r="O71" s="1"/>
      </tp>
      <tp t="s">
        <v>N/A</v>
        <stp/>
        <stp>GAMMA</stp>
        <stp>.IJH201120C210</stp>
        <tr r="N272" s="1"/>
      </tp>
      <tp t="s">
        <v>N/A</v>
        <stp/>
        <stp>GAMMA</stp>
        <stp>.IJH201120P210</stp>
        <tr r="N273" s="1"/>
      </tp>
      <tp>
        <v>115.8</v>
        <stp/>
        <stp>BID</stp>
        <stp>MUB</stp>
        <tr r="H435" s="1"/>
      </tp>
      <tp t="s">
        <v>N/A</v>
        <stp/>
        <stp>DESCRIPTION</stp>
        <stp>PXH</stp>
        <tr r="B457" s="1"/>
      </tp>
      <tp t="s">
        <v>N/A</v>
        <stp/>
        <stp>DESCRIPTION</stp>
        <stp>PGX</stp>
        <tr r="B454" s="1"/>
      </tp>
      <tp>
        <v>350</v>
        <stp/>
        <stp>BID</stp>
        <stp>MDY</stp>
        <tr r="H414" s="1"/>
      </tp>
      <tp>
        <v>106.61499999999999</v>
        <stp/>
        <stp>HIGH</stp>
        <stp>JNK</stp>
        <tr r="J380" s="1"/>
      </tp>
      <tp>
        <v>13.21</v>
        <stp/>
        <stp>LAST</stp>
        <stp>BZQ</stp>
        <tr r="E51" s="1"/>
      </tp>
      <tp>
        <v>195.69</v>
        <stp/>
        <stp>OPEN</stp>
        <stp>SMH</stp>
        <tr r="L551" s="1"/>
      </tp>
      <tp>
        <v>86.35</v>
        <stp/>
        <stp>OPEN</stp>
        <stp>SHY</stp>
        <tr r="L545" s="1"/>
      </tp>
      <tp>
        <v>32</v>
        <stp/>
        <stp>ASK</stp>
        <stp>SPDW</stp>
        <tr r="I578" s="1"/>
      </tp>
      <tp>
        <v>13.92</v>
        <stp/>
        <stp>OPEN</stp>
        <stp>SDS</stp>
        <tr r="L537" s="1"/>
      </tp>
      <tp>
        <v>36</v>
        <stp/>
        <stp>ASK</stp>
        <stp>SPHD</stp>
        <tr r="I581" s="1"/>
      </tp>
      <tp>
        <v>0</v>
        <stp/>
        <stp>RHO</stp>
        <stp>BKLN</stp>
        <tr r="Q48" s="1"/>
      </tp>
      <tp>
        <v>0</v>
        <stp/>
        <stp>VEGA</stp>
        <stp>FEZ</stp>
        <tr r="P180" s="1"/>
      </tp>
      <tp>
        <v>36.450000000000003</v>
        <stp/>
        <stp>LOW</stp>
        <stp>XLRE</stp>
        <tr r="K846" s="1"/>
      </tp>
      <tp>
        <v>41.46</v>
        <stp/>
        <stp>ASK</stp>
        <stp>SPLG</stp>
        <tr r="I584" s="1"/>
      </tp>
      <tp>
        <v>55.14</v>
        <stp/>
        <stp>ASK</stp>
        <stp>SPLV</stp>
        <tr r="I587" s="1"/>
      </tp>
      <tp>
        <v>62.49</v>
        <stp/>
        <stp>OPEN</stp>
        <stp>SCZ</stp>
        <tr r="L534" s="1"/>
      </tp>
      <tp>
        <v>0</v>
        <stp/>
        <stp>VEGA</stp>
        <stp>FXI</stp>
        <tr r="P188" s="1"/>
      </tp>
      <tp>
        <v>0</v>
        <stp/>
        <stp>VEGA</stp>
        <stp>FVD</stp>
        <tr r="P185" s="1"/>
      </tp>
      <tp>
        <v>52.67</v>
        <stp/>
        <stp>ASK</stp>
        <stp>SPYG</stp>
        <tr r="I629" s="1"/>
      </tp>
      <tp>
        <v>32.630000000000003</v>
        <stp/>
        <stp>ASK</stp>
        <stp>SPYV</stp>
        <tr r="I634" s="1"/>
      </tp>
      <tp>
        <v>355.58</v>
        <stp/>
        <stp>OPEN</stp>
        <stp>SPY</stp>
        <tr r="L590" s="1"/>
      </tp>
      <tp>
        <v>82.31</v>
        <stp/>
        <stp>OPEN</stp>
        <stp>SSO</stp>
        <tr r="L642" s="1"/>
      </tp>
      <tp t="s">
        <v>N/A</v>
        <stp/>
        <stp>IMPL_VOL</stp>
        <stp>.XME201120C26.5</stp>
        <tr r="D885" s="1"/>
      </tp>
      <tp t="s">
        <v>N/A</v>
        <stp/>
        <stp>IMPL_VOL</stp>
        <stp>.XLU201120C66.5</stp>
        <tr r="D852" s="1"/>
      </tp>
      <tp t="s">
        <v>N/A</v>
        <stp/>
        <stp>IMPL_VOL</stp>
        <stp>.XLP201120C66.5</stp>
        <tr r="D842" s="1"/>
      </tp>
      <tp t="s">
        <v>N/A</v>
        <stp/>
        <stp>IMPL_VOL</stp>
        <stp>.XLU201120P66.5</stp>
        <tr r="D853" s="1"/>
      </tp>
      <tp t="s">
        <v>N/A</v>
        <stp/>
        <stp>IMPL_VOL</stp>
        <stp>.XLP201120P66.5</stp>
        <tr r="D843" s="1"/>
      </tp>
      <tp t="s">
        <v>N/A</v>
        <stp/>
        <stp>IMPL_VOL</stp>
        <stp>.XME201120P26.5</stp>
        <tr r="D886" s="1"/>
      </tp>
      <tp t="s">
        <v>N/A</v>
        <stp/>
        <stp>PROB_OF_TOUCHING</stp>
        <stp>.TAN201120C76.5</stp>
        <tr r="V676" s="1"/>
      </tp>
      <tp t="s">
        <v>N/A</v>
        <stp/>
        <stp>PROB_OF_TOUCHING</stp>
        <stp>.TAN201120P76.5</stp>
        <tr r="V677" s="1"/>
      </tp>
      <tp t="s">
        <v>N/A</v>
        <stp/>
        <stp>HIGH</stp>
        <stp>.MDY201120P387.5</stp>
        <tr r="J422" s="1"/>
      </tp>
      <tp>
        <v>0</v>
        <stp/>
        <stp>OPEN</stp>
        <stp>.IBB201120P141.5</stp>
        <tr r="L244" s="1"/>
      </tp>
      <tp t="s">
        <v>N/A</v>
        <stp/>
        <stp>OPEN</stp>
        <stp>.LQD201120C134.5</stp>
        <tr r="L405" s="1"/>
      </tp>
      <tp>
        <v>2.3199999999999998</v>
        <stp/>
        <stp>HIGH</stp>
        <stp>.XBI201120P124</stp>
        <tr r="J773" s="1"/>
      </tp>
      <tp>
        <v>3.15</v>
        <stp/>
        <stp>HIGH</stp>
        <stp>.XBI201120C124</stp>
        <tr r="J772" s="1"/>
      </tp>
      <tp>
        <v>3.5</v>
        <stp/>
        <stp>HIGH</stp>
        <stp>.XBI201120P125</stp>
        <tr r="J777" s="1"/>
      </tp>
      <tp>
        <v>2.6</v>
        <stp/>
        <stp>HIGH</stp>
        <stp>.XBI201120C125</stp>
        <tr r="J776" s="1"/>
      </tp>
      <tp>
        <v>1.95</v>
        <stp/>
        <stp>HIGH</stp>
        <stp>.XBI201120P122</stp>
        <tr r="J765" s="1"/>
      </tp>
      <tp>
        <v>4.5</v>
        <stp/>
        <stp>HIGH</stp>
        <stp>.XBI201120C122</stp>
        <tr r="J764" s="1"/>
      </tp>
      <tp>
        <v>2.1</v>
        <stp/>
        <stp>HIGH</stp>
        <stp>.XBI201120P123</stp>
        <tr r="J769" s="1"/>
      </tp>
      <tp>
        <v>3.72</v>
        <stp/>
        <stp>HIGH</stp>
        <stp>.XBI201120C123</stp>
        <tr r="J768" s="1"/>
      </tp>
      <tp>
        <v>0</v>
        <stp/>
        <stp>THETA</stp>
        <stp>VCLT</stp>
        <tr r="O704" s="1"/>
      </tp>
      <tp>
        <v>0</v>
        <stp/>
        <stp>THETA</stp>
        <stp>ICLN</stp>
        <tr r="O245" s="1"/>
      </tp>
      <tp t="s">
        <v>N/A</v>
        <stp/>
        <stp>PROB_OF_TOUCHING</stp>
        <stp>.VWO201120P46.5</stp>
        <tr r="V750" s="1"/>
      </tp>
      <tp t="s">
        <v>N/A</v>
        <stp/>
        <stp>PROB_OF_TOUCHING</stp>
        <stp>.VWO201120C46.5</stp>
        <tr r="V749" s="1"/>
      </tp>
      <tp t="s">
        <v>N/A</v>
        <stp/>
        <stp>OPEN_INT</stp>
        <stp>.ITB201120C54.5</stp>
        <tr r="G289" s="1"/>
      </tp>
      <tp t="s">
        <v>N/A</v>
        <stp/>
        <stp>OPEN_INT</stp>
        <stp>.IYR201120C84.5</stp>
        <tr r="G369" s="1"/>
      </tp>
      <tp t="s">
        <v>N/A</v>
        <stp/>
        <stp>OPEN_INT</stp>
        <stp>.ITB201120P54.5</stp>
        <tr r="G290" s="1"/>
      </tp>
      <tp t="s">
        <v>N/A</v>
        <stp/>
        <stp>OPEN_INT</stp>
        <stp>.IYR201120P84.5</stp>
        <tr r="G370" s="1"/>
      </tp>
      <tp t="s">
        <v>N/A</v>
        <stp/>
        <stp>PROB_OF_TOUCHING</stp>
        <stp>.SHY201120C86.5</stp>
        <tr r="V546" s="1"/>
      </tp>
      <tp>
        <v>0</v>
        <stp/>
        <stp>THETA</stp>
        <stp>SCHP</stp>
        <tr r="O531" s="1"/>
      </tp>
      <tp>
        <v>0</v>
        <stp/>
        <stp>THETA</stp>
        <stp>MCHI</stp>
        <tr r="O411" s="1"/>
      </tp>
      <tp t="s">
        <v>N/A</v>
        <stp/>
        <stp>PROB_OF_TOUCHING</stp>
        <stp>.SHY201120P86.5</stp>
        <tr r="V547" s="1"/>
      </tp>
      <tp>
        <v>0</v>
        <stp/>
        <stp>THETA</stp>
        <stp>SCHF</stp>
        <tr r="O528" s="1"/>
      </tp>
      <tp>
        <v>0</v>
        <stp/>
        <stp>THETA</stp>
        <stp>SCHE</stp>
        <tr r="O525" s="1"/>
      </tp>
      <tp>
        <v>0</v>
        <stp/>
        <stp>THETA</stp>
        <stp>SCHD</stp>
        <tr r="O520" s="1"/>
      </tp>
      <tp>
        <v>0</v>
        <stp/>
        <stp>THETA</stp>
        <stp>VCIT</stp>
        <tr r="O701" s="1"/>
      </tp>
      <tp>
        <v>7740846</v>
        <stp/>
        <stp>VOLUME</stp>
        <stp>AGG</stp>
        <tr r="F15" s="1"/>
      </tp>
      <tp t="s">
        <v>N/A</v>
        <stp/>
        <stp>HIGH</stp>
        <stp>.VTI201120C181</stp>
        <tr r="J740" s="1"/>
      </tp>
      <tp t="s">
        <v>N/A</v>
        <stp/>
        <stp>HIGH</stp>
        <stp>.VTI201120P181</stp>
        <tr r="J741" s="1"/>
      </tp>
      <tp t="s">
        <v>N/A</v>
        <stp/>
        <stp>HIGH</stp>
        <stp>.VTI201120C182</stp>
        <tr r="J742" s="1"/>
      </tp>
      <tp t="s">
        <v>N/A</v>
        <stp/>
        <stp>HIGH</stp>
        <stp>.VTI201120P182</stp>
        <tr r="J743" s="1"/>
      </tp>
      <tp t="s">
        <v>N/A</v>
        <stp/>
        <stp>HIGH</stp>
        <stp>.VTI201120C183</stp>
        <tr r="J744" s="1"/>
      </tp>
      <tp t="s">
        <v>N/A</v>
        <stp/>
        <stp>HIGH</stp>
        <stp>.VTI201120P183</stp>
        <tr r="J745" s="1"/>
      </tp>
      <tp t="s">
        <v>N/A</v>
        <stp/>
        <stp>HIGH</stp>
        <stp>.VTI201120C184</stp>
        <tr r="J746" s="1"/>
      </tp>
      <tp>
        <v>0</v>
        <stp/>
        <stp>HIGH</stp>
        <stp>.VTI201120P184</stp>
        <tr r="J747" s="1"/>
      </tp>
      <tp t="s">
        <v>N/A</v>
        <stp/>
        <stp>VEGA</stp>
        <stp>.MDY201120P387.5</stp>
        <tr r="P422" s="1"/>
      </tp>
      <tp>
        <v>1</v>
        <stp/>
        <stp>DELTA</stp>
        <stp>ACWX</stp>
        <tr r="M12" s="1"/>
      </tp>
      <tp>
        <v>1</v>
        <stp/>
        <stp>DELTA</stp>
        <stp>ACWI</stp>
        <tr r="M7" s="1"/>
      </tp>
      <tp>
        <v>3.6</v>
        <stp/>
        <stp>LAST</stp>
        <stp>.VOO201120C325</stp>
        <tr r="E730" s="1"/>
      </tp>
      <tp t="s">
        <v>N/A</v>
        <stp/>
        <stp>LAST</stp>
        <stp>.VOO201120P325</stp>
        <tr r="E731" s="1"/>
      </tp>
      <tp t="s">
        <v>N/A</v>
        <stp/>
        <stp>IMPL_VOL</stp>
        <stp>.SHY201120C86.5</stp>
        <tr r="D546" s="1"/>
      </tp>
      <tp t="s">
        <v>N/A</v>
        <stp/>
        <stp>IMPL_VOL</stp>
        <stp>.SHY201120P86.5</stp>
        <tr r="D547" s="1"/>
      </tp>
      <tp>
        <v>1.4</v>
        <stp/>
        <stp>LAST</stp>
        <stp>.VOO201120C330</stp>
        <tr r="E732" s="1"/>
      </tp>
      <tp t="s">
        <v>N/A</v>
        <stp/>
        <stp>LAST</stp>
        <stp>.VOO201120P330</stp>
        <tr r="E733" s="1"/>
      </tp>
      <tp t="s">
        <v>N/A</v>
        <stp/>
        <stp>IMPL_VOL</stp>
        <stp>.TAN201120C76.5</stp>
        <tr r="D676" s="1"/>
      </tp>
      <tp t="s">
        <v>N/A</v>
        <stp/>
        <stp>IMPL_VOL</stp>
        <stp>.TAN201120P76.5</stp>
        <tr r="D677" s="1"/>
      </tp>
      <tp t="s">
        <v>N/A</v>
        <stp/>
        <stp>PROB_OF_TOUCHING</stp>
        <stp>.XLP201120C66.5</stp>
        <tr r="V842" s="1"/>
      </tp>
      <tp t="s">
        <v>N/A</v>
        <stp/>
        <stp>PROB_OF_TOUCHING</stp>
        <stp>.XLU201120C66.5</stp>
        <tr r="V852" s="1"/>
      </tp>
      <tp t="s">
        <v>N/A</v>
        <stp/>
        <stp>PROB_OF_TOUCHING</stp>
        <stp>.XME201120C26.5</stp>
        <tr r="V885" s="1"/>
      </tp>
      <tp t="s">
        <v>N/A</v>
        <stp/>
        <stp>PROB_OF_TOUCHING</stp>
        <stp>.XME201120P26.5</stp>
        <tr r="V886" s="1"/>
      </tp>
      <tp t="s">
        <v>N/A</v>
        <stp/>
        <stp>PROB_OF_TOUCHING</stp>
        <stp>.XLP201120P66.5</stp>
        <tr r="V843" s="1"/>
      </tp>
      <tp t="s">
        <v>N/A</v>
        <stp/>
        <stp>PROB_OF_TOUCHING</stp>
        <stp>.XLU201120P66.5</stp>
        <tr r="V853" s="1"/>
      </tp>
      <tp t="s">
        <v>N/A</v>
        <stp/>
        <stp>IMPL_VOL</stp>
        <stp>.VWO201120P46.5</stp>
        <tr r="D750" s="1"/>
      </tp>
      <tp t="s">
        <v>N/A</v>
        <stp/>
        <stp>IMPL_VOL</stp>
        <stp>.VWO201120C46.5</stp>
        <tr r="D749" s="1"/>
      </tp>
      <tp>
        <v>4.72</v>
        <stp/>
        <stp>LAST</stp>
        <stp>.IWM201120P173</stp>
        <tr r="E355" s="1"/>
      </tp>
      <tp>
        <v>1.69</v>
        <stp/>
        <stp>LAST</stp>
        <stp>.IWM201120C173</stp>
        <tr r="E354" s="1"/>
      </tp>
      <tp>
        <v>4</v>
        <stp/>
        <stp>LAST</stp>
        <stp>.IWM201120P172</stp>
        <tr r="E351" s="1"/>
      </tp>
      <tp>
        <v>2.15</v>
        <stp/>
        <stp>LAST</stp>
        <stp>.IWM201120C172</stp>
        <tr r="E350" s="1"/>
      </tp>
      <tp>
        <v>3.47</v>
        <stp/>
        <stp>LAST</stp>
        <stp>.IWM201120P171</stp>
        <tr r="E349" s="1"/>
      </tp>
      <tp>
        <v>2.58</v>
        <stp/>
        <stp>LAST</stp>
        <stp>.IWM201120C171</stp>
        <tr r="E348" s="1"/>
      </tp>
      <tp>
        <v>3.04</v>
        <stp/>
        <stp>LAST</stp>
        <stp>.IWM201120P170</stp>
        <tr r="E347" s="1"/>
      </tp>
      <tp>
        <v>3.08</v>
        <stp/>
        <stp>LAST</stp>
        <stp>.IWM201120C170</stp>
        <tr r="E346" s="1"/>
      </tp>
      <tp>
        <v>6.14</v>
        <stp/>
        <stp>LAST</stp>
        <stp>.IWM201120P175</stp>
        <tr r="E359" s="1"/>
      </tp>
      <tp>
        <v>1.07</v>
        <stp/>
        <stp>LAST</stp>
        <stp>.IWM201120C175</stp>
        <tr r="E358" s="1"/>
      </tp>
      <tp>
        <v>5.25</v>
        <stp/>
        <stp>LAST</stp>
        <stp>.IWM201120P174</stp>
        <tr r="E357" s="1"/>
      </tp>
      <tp>
        <v>1.31</v>
        <stp/>
        <stp>LAST</stp>
        <stp>.IWM201120C174</stp>
        <tr r="E356" s="1"/>
      </tp>
      <tp>
        <v>1</v>
        <stp/>
        <stp>DELTA</stp>
        <stp>VCLT</stp>
        <tr r="M704" s="1"/>
      </tp>
      <tp t="s">
        <v>N/A</v>
        <stp/>
        <stp>PROB_OF_TOUCHING</stp>
        <stp>.GDX201120C36.5</stp>
        <tr r="V196" s="1"/>
      </tp>
      <tp>
        <v>1</v>
        <stp/>
        <stp>DELTA</stp>
        <stp>ICLN</stp>
        <tr r="M245" s="1"/>
      </tp>
      <tp t="s">
        <v>N/A</v>
        <stp/>
        <stp>PROB_OF_TOUCHING</stp>
        <stp>.GDX201120P36.5</stp>
        <tr r="V197" s="1"/>
      </tp>
      <tp t="s">
        <v>N/A</v>
        <stp/>
        <stp>HIGH</stp>
        <stp>.MDY201120C387.5</stp>
        <tr r="J421" s="1"/>
      </tp>
      <tp t="s">
        <v>N/A</v>
        <stp/>
        <stp>OPEN</stp>
        <stp>.IBB201120C141.5</stp>
        <tr r="L243" s="1"/>
      </tp>
      <tp t="s">
        <v>N/A</v>
        <stp/>
        <stp>OPEN</stp>
        <stp>.LQD201120P134.5</stp>
        <tr r="L406" s="1"/>
      </tp>
      <tp t="s">
        <v>N/A</v>
        <stp/>
        <stp>IMPL_VOL</stp>
        <stp>.KRE201120P46.5</stp>
        <tr r="D392" s="1"/>
      </tp>
      <tp t="s">
        <v>N/A</v>
        <stp/>
        <stp>IMPL_VOL</stp>
        <stp>.KRE201120C46.5</stp>
        <tr r="D391" s="1"/>
      </tp>
      <tp t="s">
        <v>N/A</v>
        <stp/>
        <stp>OPEN_INT</stp>
        <stp>.XRT201120C54.5</stp>
        <tr r="G905" s="1"/>
      </tp>
      <tp>
        <v>17</v>
        <stp/>
        <stp>OPEN_INT</stp>
        <stp>.XLE201120P34.5</stp>
        <tr r="G809" s="1"/>
      </tp>
      <tp t="s">
        <v>N/A</v>
        <stp/>
        <stp>OPEN_INT</stp>
        <stp>.XLI201120P84.5</stp>
        <tr r="G817" s="1"/>
      </tp>
      <tp t="s">
        <v>N/A</v>
        <stp/>
        <stp>OPEN_INT</stp>
        <stp>.XRT201120P54.5</stp>
        <tr r="G906" s="1"/>
      </tp>
      <tp>
        <v>651</v>
        <stp/>
        <stp>OPEN_INT</stp>
        <stp>.XLE201120C34.5</stp>
        <tr r="G808" s="1"/>
      </tp>
      <tp t="s">
        <v>N/A</v>
        <stp/>
        <stp>OPEN_INT</stp>
        <stp>.XLI201120C84.5</stp>
        <tr r="G816" s="1"/>
      </tp>
      <tp>
        <v>1</v>
        <stp/>
        <stp>DELTA</stp>
        <stp>SCHP</stp>
        <tr r="M531" s="1"/>
      </tp>
      <tp>
        <v>1</v>
        <stp/>
        <stp>DELTA</stp>
        <stp>SCHF</stp>
        <tr r="M528" s="1"/>
      </tp>
      <tp>
        <v>1</v>
        <stp/>
        <stp>DELTA</stp>
        <stp>SCHD</stp>
        <tr r="M520" s="1"/>
      </tp>
      <tp>
        <v>1</v>
        <stp/>
        <stp>DELTA</stp>
        <stp>SCHE</stp>
        <tr r="M525" s="1"/>
      </tp>
      <tp>
        <v>1</v>
        <stp/>
        <stp>DELTA</stp>
        <stp>MCHI</stp>
        <tr r="M411" s="1"/>
      </tp>
      <tp>
        <v>1</v>
        <stp/>
        <stp>DELTA</stp>
        <stp>VCIT</stp>
        <tr r="M701" s="1"/>
      </tp>
      <tp t="s">
        <v>N/A</v>
        <stp/>
        <stp>OPEN_INT</stp>
        <stp>.TAN201120P74.5</stp>
        <tr r="G669" s="1"/>
      </tp>
      <tp t="s">
        <v>N/A</v>
        <stp/>
        <stp>OPEN_INT</stp>
        <stp>.TAN201120C74.5</stp>
        <tr r="G668" s="1"/>
      </tp>
      <tp>
        <v>0</v>
        <stp/>
        <stp>THETA</stp>
        <stp>ACWX</stp>
        <tr r="O12" s="1"/>
      </tp>
      <tp>
        <v>0</v>
        <stp/>
        <stp>THETA</stp>
        <stp>ACWI</stp>
        <tr r="O7" s="1"/>
      </tp>
      <tp t="s">
        <v>N/A</v>
        <stp/>
        <stp>VEGA</stp>
        <stp>.MDY201120C387.5</stp>
        <tr r="P421" s="1"/>
      </tp>
      <tp t="s">
        <v>N/A</v>
        <stp/>
        <stp>PROB_OF_TOUCHING</stp>
        <stp>.KRE201120P46.5</stp>
        <tr r="V392" s="1"/>
      </tp>
      <tp t="s">
        <v>N/A</v>
        <stp/>
        <stp>PROB_OF_TOUCHING</stp>
        <stp>.KRE201120C46.5</stp>
        <tr r="V391" s="1"/>
      </tp>
      <tp t="s">
        <v>N/A</v>
        <stp/>
        <stp>OPEN_INT</stp>
        <stp>.SSO201120C84.5</stp>
        <tr r="G657" s="1"/>
      </tp>
      <tp t="s">
        <v>N/A</v>
        <stp/>
        <stp>IMPL_VOL</stp>
        <stp>.GDX201120C36.5</stp>
        <tr r="D196" s="1"/>
      </tp>
      <tp t="s">
        <v>N/A</v>
        <stp/>
        <stp>OPEN_INT</stp>
        <stp>.SSO201120P84.5</stp>
        <tr r="G658" s="1"/>
      </tp>
      <tp t="s">
        <v>N/A</v>
        <stp/>
        <stp>IMPL_VOL</stp>
        <stp>.GDX201120P36.5</stp>
        <tr r="D197" s="1"/>
      </tp>
      <tp t="s">
        <v>N/A</v>
        <stp/>
        <stp>THETA</stp>
        <stp>.IWF201120C225</stp>
        <tr r="O341" s="1"/>
      </tp>
      <tp t="s">
        <v>N/A</v>
        <stp/>
        <stp>THETA</stp>
        <stp>.IWF201120P225</stp>
        <tr r="O342" s="1"/>
      </tp>
      <tp t="s">
        <v>N/A</v>
        <stp/>
        <stp>THETA</stp>
        <stp>.IVE201120C122</stp>
        <tr r="O305" s="1"/>
      </tp>
      <tp t="s">
        <v>N/A</v>
        <stp/>
        <stp>THETA</stp>
        <stp>.IVE201120P122</stp>
        <tr r="O306" s="1"/>
      </tp>
      <tp t="s">
        <v>N/A</v>
        <stp/>
        <stp>THETA</stp>
        <stp>.IVE201120C123</stp>
        <tr r="O307" s="1"/>
      </tp>
      <tp t="s">
        <v>N/A</v>
        <stp/>
        <stp>THETA</stp>
        <stp>.IVE201120P123</stp>
        <tr r="O308" s="1"/>
      </tp>
      <tp t="s">
        <v>N/A</v>
        <stp/>
        <stp>THETA</stp>
        <stp>.IVE201120C121</stp>
        <tr r="O303" s="1"/>
      </tp>
      <tp t="s">
        <v>N/A</v>
        <stp/>
        <stp>THETA</stp>
        <stp>.IVE201120P121</stp>
        <tr r="O304" s="1"/>
      </tp>
      <tp t="s">
        <v>N/A</v>
        <stp/>
        <stp>DELTA</stp>
        <stp>.SMH201120C194</stp>
        <tr r="M558" s="1"/>
      </tp>
      <tp t="s">
        <v>N/A</v>
        <stp/>
        <stp>DELTA</stp>
        <stp>.SMH201120P194</stp>
        <tr r="M559" s="1"/>
      </tp>
      <tp t="s">
        <v>N/A</v>
        <stp/>
        <stp>DELTA</stp>
        <stp>.SMH201120C195</stp>
        <tr r="M562" s="1"/>
      </tp>
      <tp t="s">
        <v>N/A</v>
        <stp/>
        <stp>DELTA</stp>
        <stp>.SMH201120P195</stp>
        <tr r="M563" s="1"/>
      </tp>
      <tp t="s">
        <v>N/A</v>
        <stp/>
        <stp>DELTA</stp>
        <stp>.SMH201120C196</stp>
        <tr r="M566" s="1"/>
      </tp>
      <tp t="s">
        <v>N/A</v>
        <stp/>
        <stp>DELTA</stp>
        <stp>.SMH201120P196</stp>
        <tr r="M567" s="1"/>
      </tp>
      <tp t="s">
        <v>N/A</v>
        <stp/>
        <stp>DELTA</stp>
        <stp>.SMH201120C197</stp>
        <tr r="M570" s="1"/>
      </tp>
      <tp t="s">
        <v>N/A</v>
        <stp/>
        <stp>DELTA</stp>
        <stp>.SMH201120P197</stp>
        <tr r="M571" s="1"/>
      </tp>
      <tp t="s">
        <v>N/A</v>
        <stp/>
        <stp>DELTA</stp>
        <stp>.SMH201120C193</stp>
        <tr r="M554" s="1"/>
      </tp>
      <tp t="s">
        <v>N/A</v>
        <stp/>
        <stp>DELTA</stp>
        <stp>.SMH201120P193</stp>
        <tr r="M555" s="1"/>
      </tp>
      <tp t="s">
        <v>N/A</v>
        <stp/>
        <stp>DELTA</stp>
        <stp>.SMH201120C198</stp>
        <tr r="M574" s="1"/>
      </tp>
      <tp t="s">
        <v>N/A</v>
        <stp/>
        <stp>DELTA</stp>
        <stp>.SMH201120P198</stp>
        <tr r="M575" s="1"/>
      </tp>
      <tp>
        <v>12.58</v>
        <stp/>
        <stp>LOW</stp>
        <stp>BZQ</stp>
        <tr r="K51" s="1"/>
      </tp>
      <tp t="s">
        <v>INVESCO QQQ TRUST UNIT SER 1 ETF</v>
        <stp/>
        <stp>DESCRIPTION</stp>
        <stp>QQQ</stp>
        <tr r="B475" s="1"/>
      </tp>
      <tp>
        <v>134.56</v>
        <stp/>
        <stp>BID</stp>
        <stp>LQD</stp>
        <tr r="H404" s="1"/>
      </tp>
      <tp t="s">
        <v>N/A</v>
        <stp/>
        <stp>DESCRIPTION</stp>
        <stp>QLD</stp>
        <tr r="B462" s="1"/>
      </tp>
      <tp>
        <v>21.9</v>
        <stp/>
        <stp>BID</stp>
        <stp>BKLN</stp>
        <tr r="H48" s="1"/>
      </tp>
      <tp t="s">
        <v>N/A</v>
        <stp/>
        <stp>THETA</stp>
        <stp>.ARKW201120C118</stp>
        <tr r="O39" s="1"/>
      </tp>
      <tp t="s">
        <v>N/A</v>
        <stp/>
        <stp>THETA</stp>
        <stp>.ARKW201120P118</stp>
        <tr r="O40" s="1"/>
      </tp>
      <tp t="s">
        <v>N/A</v>
        <stp/>
        <stp>THETA</stp>
        <stp>.ARKW201120C119</stp>
        <tr r="O41" s="1"/>
      </tp>
      <tp t="s">
        <v>N/A</v>
        <stp/>
        <stp>THETA</stp>
        <stp>.ARKW201120P119</stp>
        <tr r="O42" s="1"/>
      </tp>
      <tp t="s">
        <v>N/A</v>
        <stp/>
        <stp>THETA</stp>
        <stp>.ARKW201120C116</stp>
        <tr r="O35" s="1"/>
      </tp>
      <tp t="s">
        <v>N/A</v>
        <stp/>
        <stp>THETA</stp>
        <stp>.ARKW201120P116</stp>
        <tr r="O36" s="1"/>
      </tp>
      <tp t="s">
        <v>N/A</v>
        <stp/>
        <stp>THETA</stp>
        <stp>.ARKW201120C117</stp>
        <tr r="O37" s="1"/>
      </tp>
      <tp t="s">
        <v>N/A</v>
        <stp/>
        <stp>THETA</stp>
        <stp>.ARKW201120P117</stp>
        <tr r="O38" s="1"/>
      </tp>
      <tp>
        <v>0</v>
        <stp/>
        <stp>VEGA</stp>
        <stp>GDX</stp>
        <tr r="P195" s="1"/>
      </tp>
      <tp>
        <v>37.445</v>
        <stp/>
        <stp>HIGH</stp>
        <stp>KBE</stp>
        <tr r="J385" s="1"/>
      </tp>
      <tp t="s">
        <v>N/A</v>
        <stp/>
        <stp>DESCRIPTION</stp>
        <stp>NAIL</stp>
        <tr r="B438" s="1"/>
      </tp>
      <tp>
        <v>31.94</v>
        <stp/>
        <stp>LOW</stp>
        <stp>EMLC</stp>
        <tr r="K114" s="1"/>
      </tp>
      <tp>
        <v>22.16</v>
        <stp/>
        <stp>LOW</stp>
        <stp>AMLP</stp>
        <tr r="K18" s="1"/>
      </tp>
      <tp>
        <v>29.36</v>
        <stp/>
        <stp>OPEN</stp>
        <stp>RWM</stp>
        <tr r="L517" s="1"/>
      </tp>
      <tp>
        <v>46.33</v>
        <stp/>
        <stp>HIGH</stp>
        <stp>KRE</stp>
        <tr r="J388" s="1"/>
      </tp>
      <tp t="s">
        <v>N/A</v>
        <stp/>
        <stp>DESCRIPTION</stp>
        <stp>AAXJ</stp>
        <tr r="B2" s="1"/>
      </tp>
      <tp>
        <v>22.26</v>
        <stp/>
        <stp>OPEN</stp>
        <stp>RSX</stp>
        <tr r="L512" s="1"/>
      </tp>
      <tp>
        <v>118.56</v>
        <stp/>
        <stp>OPEN</stp>
        <stp>RSP</stp>
        <tr r="L505" s="1"/>
      </tp>
      <tp t="s">
        <v>N/A</v>
        <stp/>
        <stp>IMPL_VOL</stp>
        <stp>.XOP201120C47.5</stp>
        <tr r="D892" s="1"/>
      </tp>
      <tp t="s">
        <v>N/A</v>
        <stp/>
        <stp>IMPL_VOL</stp>
        <stp>.XOP201120P47.5</stp>
        <tr r="D893" s="1"/>
      </tp>
      <tp>
        <v>0</v>
        <stp/>
        <stp>OPEN</stp>
        <stp>.IBB201120P140.5</stp>
        <tr r="L240" s="1"/>
      </tp>
      <tp>
        <v>0.38</v>
        <stp/>
        <stp>OPEN</stp>
        <stp>.LQD201120C135.5</stp>
        <tr r="L409" s="1"/>
      </tp>
      <tp>
        <v>2.4700000000000002</v>
        <stp/>
        <stp>HIGH</stp>
        <stp>.IWM201120C172.5</stp>
        <tr r="J352" s="1"/>
      </tp>
      <tp>
        <v>46027</v>
        <stp/>
        <stp>OPEN_INT</stp>
        <stp>.HYG201120C85.5</stp>
        <tr r="G221" s="1"/>
      </tp>
      <tp>
        <v>3481</v>
        <stp/>
        <stp>OPEN_INT</stp>
        <stp>.HYG201120P85.5</stp>
        <tr r="G222" s="1"/>
      </tp>
      <tp>
        <v>48</v>
        <stp/>
        <stp>OPEN_INT</stp>
        <stp>.ITB201120C55.5</stp>
        <tr r="G293" s="1"/>
      </tp>
      <tp t="s">
        <v>N/A</v>
        <stp/>
        <stp>OPEN_INT</stp>
        <stp>.IYR201120C85.5</stp>
        <tr r="G373" s="1"/>
      </tp>
      <tp t="s">
        <v>N/A</v>
        <stp/>
        <stp>OPEN_INT</stp>
        <stp>.ITB201120P55.5</stp>
        <tr r="G294" s="1"/>
      </tp>
      <tp t="s">
        <v>N/A</v>
        <stp/>
        <stp>OPEN_INT</stp>
        <stp>.IYR201120P85.5</stp>
        <tr r="G374" s="1"/>
      </tp>
      <tp t="s">
        <v>N/A</v>
        <stp/>
        <stp>VEGA</stp>
        <stp>.IWM201120C172.5</stp>
        <tr r="P352" s="1"/>
      </tp>
      <tp>
        <v>0</v>
        <stp/>
        <stp>HIGH</stp>
        <stp>.SMH201120P198</stp>
        <tr r="J575" s="1"/>
      </tp>
      <tp>
        <v>2.2999999999999998</v>
        <stp/>
        <stp>HIGH</stp>
        <stp>.SMH201120C198</stp>
        <tr r="J574" s="1"/>
      </tp>
      <tp>
        <v>4</v>
        <stp/>
        <stp>HIGH</stp>
        <stp>.SMH201120P195</stp>
        <tr r="J563" s="1"/>
      </tp>
      <tp>
        <v>3.7</v>
        <stp/>
        <stp>HIGH</stp>
        <stp>.SMH201120C195</stp>
        <tr r="J562" s="1"/>
      </tp>
      <tp>
        <v>3.78</v>
        <stp/>
        <stp>HIGH</stp>
        <stp>.SMH201120P194</stp>
        <tr r="J559" s="1"/>
      </tp>
      <tp>
        <v>3.01</v>
        <stp/>
        <stp>HIGH</stp>
        <stp>.SMH201120C194</stp>
        <tr r="J558" s="1"/>
      </tp>
      <tp>
        <v>0</v>
        <stp/>
        <stp>HIGH</stp>
        <stp>.SMH201120P197</stp>
        <tr r="J571" s="1"/>
      </tp>
      <tp>
        <v>3.16</v>
        <stp/>
        <stp>HIGH</stp>
        <stp>.SMH201120C197</stp>
        <tr r="J570" s="1"/>
      </tp>
      <tp>
        <v>0</v>
        <stp/>
        <stp>HIGH</stp>
        <stp>.SMH201120P196</stp>
        <tr r="J567" s="1"/>
      </tp>
      <tp>
        <v>3.5</v>
        <stp/>
        <stp>HIGH</stp>
        <stp>.SMH201120C196</stp>
        <tr r="J566" s="1"/>
      </tp>
      <tp>
        <v>3</v>
        <stp/>
        <stp>HIGH</stp>
        <stp>.SMH201120P193</stp>
        <tr r="J555" s="1"/>
      </tp>
      <tp>
        <v>3.55</v>
        <stp/>
        <stp>HIGH</stp>
        <stp>.SMH201120C193</stp>
        <tr r="J554" s="1"/>
      </tp>
      <tp>
        <v>0</v>
        <stp/>
        <stp>OPEN_INT</stp>
        <stp>.VT201120P87</stp>
        <tr r="G738" s="1"/>
      </tp>
      <tp>
        <v>0</v>
        <stp/>
        <stp>OPEN_INT</stp>
        <stp>.VT201120P86</stp>
        <tr r="G736" s="1"/>
      </tp>
      <tp t="s">
        <v>N/A</v>
        <stp/>
        <stp>VEGA</stp>
        <stp>.XLV201120P112</stp>
        <tr r="P866" s="1"/>
      </tp>
      <tp t="s">
        <v>N/A</v>
        <stp/>
        <stp>VEGA</stp>
        <stp>.XLV201120C112</stp>
        <tr r="P865" s="1"/>
      </tp>
      <tp t="s">
        <v>N/A</v>
        <stp/>
        <stp>VEGA</stp>
        <stp>.XLV201120P110</stp>
        <tr r="P858" s="1"/>
      </tp>
      <tp t="s">
        <v>N/A</v>
        <stp/>
        <stp>VEGA</stp>
        <stp>.XLV201120C110</stp>
        <tr r="P857" s="1"/>
      </tp>
      <tp t="s">
        <v>N/A</v>
        <stp/>
        <stp>PROB_OF_TOUCHING</stp>
        <stp>.XOP201120C47.5</stp>
        <tr r="V892" s="1"/>
      </tp>
      <tp t="s">
        <v>N/A</v>
        <stp/>
        <stp>VEGA</stp>
        <stp>.XLV201120P111</stp>
        <tr r="P862" s="1"/>
      </tp>
      <tp t="s">
        <v>N/A</v>
        <stp/>
        <stp>VEGA</stp>
        <stp>.XLV201120C111</stp>
        <tr r="P861" s="1"/>
      </tp>
      <tp t="s">
        <v>N/A</v>
        <stp/>
        <stp>PROB_OF_TOUCHING</stp>
        <stp>.XOP201120P47.5</stp>
        <tr r="V893" s="1"/>
      </tp>
      <tp t="s">
        <v>N/A</v>
        <stp/>
        <stp>PROB_OTM</stp>
        <stp>.SSO201120P81.5</stp>
        <tr r="U646" s="1"/>
      </tp>
      <tp t="s">
        <v>N/A</v>
        <stp/>
        <stp>PROB_OTM</stp>
        <stp>.SSO201120C81.5</stp>
        <tr r="U645" s="1"/>
      </tp>
      <tp t="s">
        <v>N/A</v>
        <stp/>
        <stp>PROB_OF_TOUCHING</stp>
        <stp>.EEM201120C47.5</stp>
        <tr r="V95" s="1"/>
      </tp>
      <tp t="s">
        <v>N/A</v>
        <stp/>
        <stp>PROB_OF_TOUCHING</stp>
        <stp>.EEM201120P47.5</stp>
        <tr r="V96" s="1"/>
      </tp>
      <tp t="s">
        <v>N/A</v>
        <stp/>
        <stp>PROB_OF_TOUCHING</stp>
        <stp>.GDX201120C37.5</stp>
        <tr r="V200" s="1"/>
      </tp>
      <tp t="s">
        <v>N/A</v>
        <stp/>
        <stp>PROB_OF_TOUCHING</stp>
        <stp>.GDX201120P37.5</stp>
        <tr r="V201" s="1"/>
      </tp>
      <tp t="s">
        <v>N/A</v>
        <stp/>
        <stp>OPEN</stp>
        <stp>.IBB201120C140.5</stp>
        <tr r="L239" s="1"/>
      </tp>
      <tp t="s">
        <v>N/A</v>
        <stp/>
        <stp>OPEN</stp>
        <stp>.LQD201120P135.5</stp>
        <tr r="L410" s="1"/>
      </tp>
      <tp>
        <v>5</v>
        <stp/>
        <stp>HIGH</stp>
        <stp>.IWM201120P172.5</stp>
        <tr r="J353" s="1"/>
      </tp>
      <tp t="s">
        <v>N/A</v>
        <stp/>
        <stp>PROB_OF_TOUCHING</stp>
        <stp>.FXI201120P47.5</stp>
        <tr r="V192" s="1"/>
      </tp>
      <tp t="s">
        <v>N/A</v>
        <stp/>
        <stp>IMPL_VOL</stp>
        <stp>.KRE201120P47.5</stp>
        <tr r="D396" s="1"/>
      </tp>
      <tp t="s">
        <v>N/A</v>
        <stp/>
        <stp>PROB_OF_TOUCHING</stp>
        <stp>.FXI201120C47.5</stp>
        <tr r="V191" s="1"/>
      </tp>
      <tp t="s">
        <v>N/A</v>
        <stp/>
        <stp>IMPL_VOL</stp>
        <stp>.KRE201120C47.5</stp>
        <tr r="D395" s="1"/>
      </tp>
      <tp t="s">
        <v>N/A</v>
        <stp/>
        <stp>OPEN_INT</stp>
        <stp>.XRT201120C55.5</stp>
        <tr r="G909" s="1"/>
      </tp>
      <tp>
        <v>90</v>
        <stp/>
        <stp>OPEN_INT</stp>
        <stp>.XHB201120P55.5</stp>
        <tr r="G784" s="1"/>
      </tp>
      <tp t="s">
        <v>N/A</v>
        <stp/>
        <stp>OPEN_INT</stp>
        <stp>.XLI201120P85.5</stp>
        <tr r="G821" s="1"/>
      </tp>
      <tp t="s">
        <v>N/A</v>
        <stp/>
        <stp>OPEN_INT</stp>
        <stp>.XRT201120P55.5</stp>
        <tr r="G910" s="1"/>
      </tp>
      <tp>
        <v>63</v>
        <stp/>
        <stp>OPEN_INT</stp>
        <stp>.XHB201120C55.5</stp>
        <tr r="G783" s="1"/>
      </tp>
      <tp>
        <v>177</v>
        <stp/>
        <stp>OPEN_INT</stp>
        <stp>.XLI201120C85.5</stp>
        <tr r="G820" s="1"/>
      </tp>
      <tp t="s">
        <v>N/A</v>
        <stp/>
        <stp>OPEN_INT</stp>
        <stp>.TAN201120P75.5</stp>
        <tr r="G673" s="1"/>
      </tp>
      <tp t="s">
        <v>N/A</v>
        <stp/>
        <stp>OPEN_INT</stp>
        <stp>.TAN201120C75.5</stp>
        <tr r="G672" s="1"/>
      </tp>
      <tp t="s">
        <v>N/A</v>
        <stp/>
        <stp>PROB_OTM</stp>
        <stp>.EWZ201120P31.5</stp>
        <tr r="U174" s="1"/>
      </tp>
      <tp t="s">
        <v>N/A</v>
        <stp/>
        <stp>PROB_OTM</stp>
        <stp>.EWY201120P71.5</stp>
        <tr r="U163" s="1"/>
      </tp>
      <tp t="s">
        <v>N/A</v>
        <stp/>
        <stp>PROB_OTM</stp>
        <stp>.EWZ201120C31.5</stp>
        <tr r="U173" s="1"/>
      </tp>
      <tp t="s">
        <v>N/A</v>
        <stp/>
        <stp>PROB_OTM</stp>
        <stp>.EWY201120C71.5</stp>
        <tr r="U162" s="1"/>
      </tp>
      <tp t="s">
        <v>N/A</v>
        <stp/>
        <stp>VEGA</stp>
        <stp>.IWM201120P172.5</stp>
        <tr r="P353" s="1"/>
      </tp>
      <tp t="s">
        <v>N/A</v>
        <stp/>
        <stp>IMPL_VOL</stp>
        <stp>.EEM201120C47.5</stp>
        <tr r="D95" s="1"/>
      </tp>
      <tp t="s">
        <v>N/A</v>
        <stp/>
        <stp>IMPL_VOL</stp>
        <stp>.EEM201120P47.5</stp>
        <tr r="D96" s="1"/>
      </tp>
      <tp t="s">
        <v>N/A</v>
        <stp/>
        <stp>IMPL_VOL</stp>
        <stp>.FXI201120P47.5</stp>
        <tr r="D192" s="1"/>
      </tp>
      <tp t="s">
        <v>N/A</v>
        <stp/>
        <stp>PROB_OF_TOUCHING</stp>
        <stp>.KRE201120P47.5</stp>
        <tr r="V396" s="1"/>
      </tp>
      <tp t="s">
        <v>N/A</v>
        <stp/>
        <stp>IMPL_VOL</stp>
        <stp>.FXI201120C47.5</stp>
        <tr r="D191" s="1"/>
      </tp>
      <tp t="s">
        <v>N/A</v>
        <stp/>
        <stp>PROB_OF_TOUCHING</stp>
        <stp>.KRE201120C47.5</stp>
        <tr r="V395" s="1"/>
      </tp>
      <tp t="s">
        <v>N/A</v>
        <stp/>
        <stp>IMPL_VOL</stp>
        <stp>.GDX201120C37.5</stp>
        <tr r="D200" s="1"/>
      </tp>
      <tp t="s">
        <v>N/A</v>
        <stp/>
        <stp>IMPL_VOL</stp>
        <stp>.GDX201120P37.5</stp>
        <tr r="D201" s="1"/>
      </tp>
      <tp t="s">
        <v>N/A</v>
        <stp/>
        <stp>INTRINSIC</stp>
        <stp>MJ</stp>
        <tr r="R423" s="1"/>
      </tp>
      <tp t="s">
        <v>N/A</v>
        <stp/>
        <stp>THETA</stp>
        <stp>.IWD201120C128</stp>
        <tr r="O334" s="1"/>
      </tp>
      <tp t="s">
        <v>N/A</v>
        <stp/>
        <stp>THETA</stp>
        <stp>.IWD201120P128</stp>
        <tr r="O335" s="1"/>
      </tp>
      <tp t="s">
        <v>N/A</v>
        <stp/>
        <stp>THETA</stp>
        <stp>.IWD201120C129</stp>
        <tr r="O336" s="1"/>
      </tp>
      <tp t="s">
        <v>N/A</v>
        <stp/>
        <stp>THETA</stp>
        <stp>.IWD201120P129</stp>
        <tr r="O337" s="1"/>
      </tp>
      <tp t="s">
        <v>N/A</v>
        <stp/>
        <stp>THETA</stp>
        <stp>.IWD201120C130</stp>
        <tr r="O338" s="1"/>
      </tp>
      <tp t="s">
        <v>N/A</v>
        <stp/>
        <stp>THETA</stp>
        <stp>.LQD201120C135</stp>
        <tr r="O407" s="1"/>
      </tp>
      <tp t="s">
        <v>N/A</v>
        <stp/>
        <stp>THETA</stp>
        <stp>.IWD201120P130</stp>
        <tr r="O339" s="1"/>
      </tp>
      <tp t="s">
        <v>N/A</v>
        <stp/>
        <stp>THETA</stp>
        <stp>.LQD201120P135</stp>
        <tr r="O408" s="1"/>
      </tp>
      <tp t="s">
        <v>N/A</v>
        <stp/>
        <stp>THETA</stp>
        <stp>.QLD201120P100</stp>
        <tr r="O472" s="1"/>
      </tp>
      <tp t="s">
        <v>N/A</v>
        <stp/>
        <stp>THETA</stp>
        <stp>.QLD201120C100</stp>
        <tr r="O471" s="1"/>
      </tp>
      <tp t="s">
        <v>N/A</v>
        <stp/>
        <stp>THETA</stp>
        <stp>.QLD201120P101</stp>
        <tr r="O474" s="1"/>
      </tp>
      <tp t="s">
        <v>N/A</v>
        <stp/>
        <stp>THETA</stp>
        <stp>.QLD201120C101</stp>
        <tr r="O473" s="1"/>
      </tp>
      <tp t="s">
        <v>N/A</v>
        <stp/>
        <stp>DELTA</stp>
        <stp>.VTI201120P181</stp>
        <tr r="M741" s="1"/>
      </tp>
      <tp t="s">
        <v>N/A</v>
        <stp/>
        <stp>DELTA</stp>
        <stp>.VTI201120C181</stp>
        <tr r="M740" s="1"/>
      </tp>
      <tp t="s">
        <v>N/A</v>
        <stp/>
        <stp>DELTA</stp>
        <stp>.VTI201120P183</stp>
        <tr r="M745" s="1"/>
      </tp>
      <tp t="s">
        <v>N/A</v>
        <stp/>
        <stp>DELTA</stp>
        <stp>.VTI201120C183</stp>
        <tr r="M744" s="1"/>
      </tp>
      <tp t="s">
        <v>N/A</v>
        <stp/>
        <stp>DELTA</stp>
        <stp>.VTI201120P182</stp>
        <tr r="M743" s="1"/>
      </tp>
      <tp t="s">
        <v>N/A</v>
        <stp/>
        <stp>DELTA</stp>
        <stp>.VTI201120C182</stp>
        <tr r="M742" s="1"/>
      </tp>
      <tp t="s">
        <v>N/A</v>
        <stp/>
        <stp>DELTA</stp>
        <stp>.VTI201120P184</stp>
        <tr r="M747" s="1"/>
      </tp>
      <tp t="s">
        <v>N/A</v>
        <stp/>
        <stp>DELTA</stp>
        <stp>.VTI201120C184</stp>
        <tr r="M746" s="1"/>
      </tp>
      <tp t="s">
        <v>N/A</v>
        <stp/>
        <stp>GAMMA</stp>
        <stp>.VOO201120C325</stp>
        <tr r="N730" s="1"/>
      </tp>
      <tp t="s">
        <v>N/A</v>
        <stp/>
        <stp>GAMMA</stp>
        <stp>.VOO201120P325</stp>
        <tr r="N731" s="1"/>
      </tp>
      <tp t="s">
        <v>N/A</v>
        <stp/>
        <stp>INTRINSIC</stp>
        <stp>VT</stp>
        <tr r="R734" s="1"/>
      </tp>
      <tp t="s">
        <v>N/A</v>
        <stp/>
        <stp>GAMMA</stp>
        <stp>.VOO201120C330</stp>
        <tr r="N732" s="1"/>
      </tp>
      <tp t="s">
        <v>N/A</v>
        <stp/>
        <stp>GAMMA</stp>
        <stp>.VOO201120P330</stp>
        <tr r="N733" s="1"/>
      </tp>
      <tp t="s">
        <v>N/A</v>
        <stp/>
        <stp>DELTA</stp>
        <stp>.XBI201120C125</stp>
        <tr r="M776" s="1"/>
      </tp>
      <tp t="s">
        <v>N/A</v>
        <stp/>
        <stp>DELTA</stp>
        <stp>.XBI201120P125</stp>
        <tr r="M777" s="1"/>
      </tp>
      <tp t="s">
        <v>N/A</v>
        <stp/>
        <stp>DELTA</stp>
        <stp>.XBI201120C124</stp>
        <tr r="M772" s="1"/>
      </tp>
      <tp t="s">
        <v>N/A</v>
        <stp/>
        <stp>DELTA</stp>
        <stp>.XBI201120P124</stp>
        <tr r="M773" s="1"/>
      </tp>
      <tp t="s">
        <v>N/A</v>
        <stp/>
        <stp>DELTA</stp>
        <stp>.XBI201120C123</stp>
        <tr r="M768" s="1"/>
      </tp>
      <tp t="s">
        <v>N/A</v>
        <stp/>
        <stp>DELTA</stp>
        <stp>.XBI201120P123</stp>
        <tr r="M769" s="1"/>
      </tp>
      <tp t="s">
        <v>N/A</v>
        <stp/>
        <stp>DELTA</stp>
        <stp>.XBI201120C122</stp>
        <tr r="M764" s="1"/>
      </tp>
      <tp t="s">
        <v>N/A</v>
        <stp/>
        <stp>DELTA</stp>
        <stp>.XBI201120P122</stp>
        <tr r="M765" s="1"/>
      </tp>
      <tp t="s">
        <v>N/A</v>
        <stp/>
        <stp>GAMMA</stp>
        <stp>.IWM201120P175</stp>
        <tr r="N359" s="1"/>
      </tp>
      <tp t="s">
        <v>N/A</v>
        <stp/>
        <stp>GAMMA</stp>
        <stp>.IWM201120C175</stp>
        <tr r="N358" s="1"/>
      </tp>
      <tp t="s">
        <v>N/A</v>
        <stp/>
        <stp>GAMMA</stp>
        <stp>.IWM201120P174</stp>
        <tr r="N357" s="1"/>
      </tp>
      <tp t="s">
        <v>N/A</v>
        <stp/>
        <stp>GAMMA</stp>
        <stp>.IWM201120C174</stp>
        <tr r="N356" s="1"/>
      </tp>
      <tp t="s">
        <v>N/A</v>
        <stp/>
        <stp>GAMMA</stp>
        <stp>.IWM201120P173</stp>
        <tr r="N355" s="1"/>
      </tp>
      <tp t="s">
        <v>N/A</v>
        <stp/>
        <stp>GAMMA</stp>
        <stp>.IWM201120C173</stp>
        <tr r="N354" s="1"/>
      </tp>
      <tp t="s">
        <v>N/A</v>
        <stp/>
        <stp>GAMMA</stp>
        <stp>.IWM201120P172</stp>
        <tr r="N351" s="1"/>
      </tp>
      <tp t="s">
        <v>N/A</v>
        <stp/>
        <stp>GAMMA</stp>
        <stp>.IWM201120C172</stp>
        <tr r="N350" s="1"/>
      </tp>
      <tp t="s">
        <v>N/A</v>
        <stp/>
        <stp>GAMMA</stp>
        <stp>.IWM201120P171</stp>
        <tr r="N349" s="1"/>
      </tp>
      <tp t="s">
        <v>N/A</v>
        <stp/>
        <stp>GAMMA</stp>
        <stp>.IWM201120C171</stp>
        <tr r="N348" s="1"/>
      </tp>
      <tp t="s">
        <v>N/A</v>
        <stp/>
        <stp>GAMMA</stp>
        <stp>.IWM201120P170</stp>
        <tr r="N347" s="1"/>
      </tp>
      <tp t="s">
        <v>N/A</v>
        <stp/>
        <stp>GAMMA</stp>
        <stp>.IWM201120C170</stp>
        <tr r="N346" s="1"/>
      </tp>
      <tp t="s">
        <v>N/A</v>
        <stp/>
        <stp>INTRINSIC</stp>
        <stp>SH</stp>
        <tr r="R542" s="1"/>
      </tp>
      <tp t="s">
        <v>N/A</v>
        <stp/>
        <stp>DESCRIPTION</stp>
        <stp>RWM</stp>
        <tr r="B517" s="1"/>
      </tp>
      <tp t="s">
        <v>N/A</v>
        <stp/>
        <stp>DESCRIPTION</stp>
        <stp>RSP</stp>
        <tr r="B505" s="1"/>
      </tp>
      <tp t="s">
        <v>N/A</v>
        <stp/>
        <stp>DESCRIPTION</stp>
        <stp>RSX</stp>
        <tr r="B512" s="1"/>
      </tp>
      <tp>
        <v>135.75</v>
        <stp/>
        <stp>ASK</stp>
        <stp>LQD</stp>
        <tr r="I404" s="1"/>
      </tp>
      <tp>
        <v>117.33</v>
        <stp/>
        <stp>LOW</stp>
        <stp>AGG</stp>
        <tr r="K15" s="1"/>
      </tp>
      <tp>
        <v>98.84</v>
        <stp/>
        <stp>OPEN</stp>
        <stp>QLD</stp>
        <tr r="L462" s="1"/>
      </tp>
      <tp>
        <v>0</v>
        <stp/>
        <stp>VEGA</stp>
        <stp>DIA</stp>
        <tr r="P62" s="1"/>
      </tp>
      <tp>
        <v>99.3</v>
        <stp/>
        <stp>ASK</stp>
        <stp>ARKK</stp>
        <tr r="I25" s="1"/>
      </tp>
      <tp>
        <v>118.25</v>
        <stp/>
        <stp>ASK</stp>
        <stp>ARKW</stp>
        <tr r="I34" s="1"/>
      </tp>
      <tp>
        <v>49.5</v>
        <stp/>
        <stp>ASK</stp>
        <stp>DRIP</stp>
        <tr r="I81" s="1"/>
      </tp>
      <tp t="s">
        <v>N/A</v>
        <stp/>
        <stp>THETA</stp>
        <stp>.VCLT201120C107</stp>
        <tr r="O705" s="1"/>
      </tp>
      <tp t="s">
        <v>N/A</v>
        <stp/>
        <stp>THETA</stp>
        <stp>.VCLT201120P107</stp>
        <tr r="O706" s="1"/>
      </tp>
      <tp>
        <v>34.229999999999997</v>
        <stp/>
        <stp>BID</stp>
        <stp>SHYG</stp>
        <tr r="H548" s="1"/>
      </tp>
      <tp>
        <v>36.700000000000003</v>
        <stp/>
        <stp>ASK</stp>
        <stp>SRVR</stp>
        <tr r="I637" s="1"/>
      </tp>
      <tp>
        <v>0</v>
        <stp/>
        <stp>VEGA</stp>
        <stp>DXD</stp>
        <tr r="P91" s="1"/>
      </tp>
      <tp>
        <v>85.65</v>
        <stp/>
        <stp>HIGH</stp>
        <stp>HYG</stp>
        <tr r="J220" s="1"/>
      </tp>
      <tp>
        <v>0</v>
        <stp/>
        <stp>VEGA</stp>
        <stp>DVY</stp>
        <tr r="P84" s="1"/>
      </tp>
      <tp>
        <v>35.659999999999997</v>
        <stp/>
        <stp>LOW</stp>
        <stp>INDA</stp>
        <tr r="K280" s="1"/>
      </tp>
      <tp>
        <v>37.799999999999997</v>
        <stp/>
        <stp>LOW</stp>
        <stp>INDY</stp>
        <tr r="K285" s="1"/>
      </tp>
      <tp>
        <v>290.72000000000003</v>
        <stp/>
        <stp>OPEN</stp>
        <stp>QQQ</stp>
        <tr r="L475" s="1"/>
      </tp>
      <tp t="s">
        <v>N/A</v>
        <stp/>
        <stp>IMPL_VOL</stp>
        <stp>.XLI201120C84.5</stp>
        <tr r="D816" s="1"/>
      </tp>
      <tp t="s">
        <v>N/A</v>
        <stp/>
        <stp>IMPL_VOL</stp>
        <stp>.XLE201120C34.5</stp>
        <tr r="D808" s="1"/>
      </tp>
      <tp t="s">
        <v>N/A</v>
        <stp/>
        <stp>IMPL_VOL</stp>
        <stp>.XRT201120P54.5</stp>
        <tr r="D906" s="1"/>
      </tp>
      <tp t="s">
        <v>N/A</v>
        <stp/>
        <stp>HIGH</stp>
        <stp>.JNK201120P107</stp>
        <tr r="J384" s="1"/>
      </tp>
      <tp t="s">
        <v>N/A</v>
        <stp/>
        <stp>HIGH</stp>
        <stp>.JNK201120C107</stp>
        <tr r="J383" s="1"/>
      </tp>
      <tp t="s">
        <v>N/A</v>
        <stp/>
        <stp>IMPL_VOL</stp>
        <stp>.XLI201120P84.5</stp>
        <tr r="D817" s="1"/>
      </tp>
      <tp t="s">
        <v>N/A</v>
        <stp/>
        <stp>IMPL_VOL</stp>
        <stp>.XLE201120P34.5</stp>
        <tr r="D809" s="1"/>
      </tp>
      <tp t="s">
        <v>N/A</v>
        <stp/>
        <stp>IMPL_VOL</stp>
        <stp>.XRT201120C54.5</stp>
        <tr r="D905" s="1"/>
      </tp>
      <tp t="s">
        <v>N/A</v>
        <stp/>
        <stp>PROB_OF_TOUCHING</stp>
        <stp>.TAN201120C74.5</stp>
        <tr r="V668" s="1"/>
      </tp>
      <tp t="s">
        <v>N/A</v>
        <stp/>
        <stp>HIGH</stp>
        <stp>.IJH201120P210</stp>
        <tr r="J273" s="1"/>
      </tp>
      <tp t="s">
        <v>N/A</v>
        <stp/>
        <stp>HIGH</stp>
        <stp>.IJH201120C210</stp>
        <tr r="J272" s="1"/>
      </tp>
      <tp t="s">
        <v>N/A</v>
        <stp/>
        <stp>PROB_OF_TOUCHING</stp>
        <stp>.TAN201120P74.5</stp>
        <tr r="V669" s="1"/>
      </tp>
      <tp>
        <v>3.15</v>
        <stp/>
        <stp>HIGH</stp>
        <stp>.XLK201120P122</stp>
        <tr r="J836" s="1"/>
      </tp>
      <tp>
        <v>1.64</v>
        <stp/>
        <stp>HIGH</stp>
        <stp>.XLK201120C122</stp>
        <tr r="J835" s="1"/>
      </tp>
      <tp>
        <v>3.72</v>
        <stp/>
        <stp>HIGH</stp>
        <stp>.XLK201120P123</stp>
        <tr r="J840" s="1"/>
      </tp>
      <tp>
        <v>1.33</v>
        <stp/>
        <stp>HIGH</stp>
        <stp>.XLK201120C123</stp>
        <tr r="J839" s="1"/>
      </tp>
      <tp>
        <v>2.11</v>
        <stp/>
        <stp>HIGH</stp>
        <stp>.XLK201120P120</stp>
        <tr r="J828" s="1"/>
      </tp>
      <tp>
        <v>2.92</v>
        <stp/>
        <stp>HIGH</stp>
        <stp>.XLK201120C120</stp>
        <tr r="J827" s="1"/>
      </tp>
      <tp>
        <v>2.5</v>
        <stp/>
        <stp>HIGH</stp>
        <stp>.XLK201120P121</stp>
        <tr r="J832" s="1"/>
      </tp>
      <tp>
        <v>2.27</v>
        <stp/>
        <stp>HIGH</stp>
        <stp>.XLK201120C121</stp>
        <tr r="J831" s="1"/>
      </tp>
      <tp t="s">
        <v>N/A</v>
        <stp/>
        <stp>PROB_OF_TOUCHING</stp>
        <stp>.SSO201120P84.5</stp>
        <tr r="V658" s="1"/>
      </tp>
      <tp t="s">
        <v>N/A</v>
        <stp/>
        <stp>PROB_OF_TOUCHING</stp>
        <stp>.SSO201120C84.5</stp>
        <tr r="V657" s="1"/>
      </tp>
      <tp>
        <v>1</v>
        <stp/>
        <stp>DELTA</stp>
        <stp>AAXJ</stp>
        <tr r="M2" s="1"/>
      </tp>
      <tp t="s">
        <v>N/A</v>
        <stp/>
        <stp>LAST</stp>
        <stp>.XLY201120C154.5</stp>
        <tr r="E880" s="1"/>
      </tp>
      <tp>
        <v>4</v>
        <stp/>
        <stp>OPEN_INT</stp>
        <stp>.KRE201120C46.5</stp>
        <tr r="G391" s="1"/>
      </tp>
      <tp>
        <v>26</v>
        <stp/>
        <stp>OPEN_INT</stp>
        <stp>.KRE201120P46.5</stp>
        <tr r="G392" s="1"/>
      </tp>
      <tp>
        <v>0</v>
        <stp/>
        <stp>THETA</stp>
        <stp>NAIL</stp>
        <tr r="O438" s="1"/>
      </tp>
      <tp t="s">
        <v>N/A</v>
        <stp/>
        <stp>OPEN</stp>
        <stp>.MDY201120P387.5</stp>
        <tr r="L422" s="1"/>
      </tp>
      <tp t="s">
        <v>N/A</v>
        <stp/>
        <stp>HIGH</stp>
        <stp>.LQD201120C134.5</stp>
        <tr r="J405" s="1"/>
      </tp>
      <tp>
        <v>0</v>
        <stp/>
        <stp>HIGH</stp>
        <stp>.IBB201120P141.5</stp>
        <tr r="J244" s="1"/>
      </tp>
      <tp t="s">
        <v>N/A</v>
        <stp/>
        <stp>PROB_OTM</stp>
        <stp>MJ</stp>
        <tr r="U423" s="1"/>
      </tp>
      <tp>
        <v>0</v>
        <stp/>
        <stp>GAMMA</stp>
        <stp>IXUS</stp>
        <tr r="N360" s="1"/>
      </tp>
      <tp>
        <v>0</v>
        <stp/>
        <stp>GAMMA</stp>
        <stp>VXUS</stp>
        <tr r="N753" s="1"/>
      </tp>
      <tp t="s">
        <v>N/A</v>
        <stp/>
        <stp>PROB_OTM</stp>
        <stp>.TAN201120C72.5</stp>
        <tr r="U660" s="1"/>
      </tp>
      <tp t="s">
        <v>N/A</v>
        <stp/>
        <stp>PROB_OTM</stp>
        <stp>.TAN201120P72.5</stp>
        <tr r="U661" s="1"/>
      </tp>
      <tp>
        <v>2</v>
        <stp/>
        <stp>LAST</stp>
        <stp>.XBI201120C124.5</stp>
        <tr r="E774" s="1"/>
      </tp>
      <tp>
        <v>8665</v>
        <stp/>
        <stp>OPEN_INT</stp>
        <stp>.GDX201120P36.5</stp>
        <tr r="G197" s="1"/>
      </tp>
      <tp t="s">
        <v>N/A</v>
        <stp/>
        <stp>IMPL_VOL</stp>
        <stp>.SSO201120P84.5</stp>
        <tr r="D658" s="1"/>
      </tp>
      <tp>
        <v>236</v>
        <stp/>
        <stp>OPEN_INT</stp>
        <stp>.GDX201120C36.5</stp>
        <tr r="G196" s="1"/>
      </tp>
      <tp t="s">
        <v>N/A</v>
        <stp/>
        <stp>IMPL_VOL</stp>
        <stp>.SSO201120C84.5</stp>
        <tr r="D657" s="1"/>
      </tp>
      <tp t="s">
        <v>N/A</v>
        <stp/>
        <stp>IMPL_VOL</stp>
        <stp>.TAN201120C74.5</stp>
        <tr r="D668" s="1"/>
      </tp>
      <tp t="s">
        <v>N/A</v>
        <stp/>
        <stp>IMPL_VOL</stp>
        <stp>.TAN201120P74.5</stp>
        <tr r="D669" s="1"/>
      </tp>
      <tp t="s">
        <v>N/A</v>
        <stp/>
        <stp>PROB_OF_TOUCHING</stp>
        <stp>.XLE201120C34.5</stp>
        <tr r="V808" s="1"/>
      </tp>
      <tp t="s">
        <v>N/A</v>
        <stp/>
        <stp>PROB_OF_TOUCHING</stp>
        <stp>.XLI201120C84.5</stp>
        <tr r="V816" s="1"/>
      </tp>
      <tp t="s">
        <v>N/A</v>
        <stp/>
        <stp>PROB_OF_TOUCHING</stp>
        <stp>.XRT201120P54.5</stp>
        <tr r="V906" s="1"/>
      </tp>
      <tp t="s">
        <v>N/A</v>
        <stp/>
        <stp>PROB_OF_TOUCHING</stp>
        <stp>.XLE201120P34.5</stp>
        <tr r="V809" s="1"/>
      </tp>
      <tp t="s">
        <v>N/A</v>
        <stp/>
        <stp>PROB_OF_TOUCHING</stp>
        <stp>.XLI201120P84.5</stp>
        <tr r="V817" s="1"/>
      </tp>
      <tp t="s">
        <v>N/A</v>
        <stp/>
        <stp>PROB_OF_TOUCHING</stp>
        <stp>.XRT201120C54.5</stp>
        <tr r="V905" s="1"/>
      </tp>
      <tp t="s">
        <v>N/A</v>
        <stp/>
        <stp>PROB_OTM</stp>
        <stp>.RSX201120P22.5</stp>
        <tr r="U516" s="1"/>
      </tp>
      <tp t="s">
        <v>N/A</v>
        <stp/>
        <stp>PROB_OTM</stp>
        <stp>.RSX201120C22.5</stp>
        <tr r="U515" s="1"/>
      </tp>
      <tp t="s">
        <v>N/A</v>
        <stp/>
        <stp>VEGA</stp>
        <stp>.IBB201120P141.5</stp>
        <tr r="P244" s="1"/>
      </tp>
      <tp t="s">
        <v>N/A</v>
        <stp/>
        <stp>VEGA</stp>
        <stp>.LQD201120C134.5</stp>
        <tr r="P405" s="1"/>
      </tp>
      <tp t="s">
        <v>N/A</v>
        <stp/>
        <stp>PROB_OTM</stp>
        <stp>.SSO201120P82.5</stp>
        <tr r="U650" s="1"/>
      </tp>
      <tp t="s">
        <v>N/A</v>
        <stp/>
        <stp>PROB_OTM</stp>
        <stp>.SSO201120C82.5</stp>
        <tr r="U649" s="1"/>
      </tp>
      <tp t="s">
        <v>N/A</v>
        <stp/>
        <stp>IMPL_VOL</stp>
        <stp>.IYR201120P84.5</stp>
        <tr r="D370" s="1"/>
      </tp>
      <tp t="s">
        <v>N/A</v>
        <stp/>
        <stp>IMPL_VOL</stp>
        <stp>.ITB201120P54.5</stp>
        <tr r="D290" s="1"/>
      </tp>
      <tp t="s">
        <v>N/A</v>
        <stp/>
        <stp>IMPL_VOL</stp>
        <stp>.IYR201120C84.5</stp>
        <tr r="D369" s="1"/>
      </tp>
      <tp t="s">
        <v>N/A</v>
        <stp/>
        <stp>IMPL_VOL</stp>
        <stp>.ITB201120C54.5</stp>
        <tr r="D289" s="1"/>
      </tp>
      <tp>
        <v>159</v>
        <stp/>
        <stp>OPEN_INT</stp>
        <stp>.XLP201120P66.5</stp>
        <tr r="G843" s="1"/>
      </tp>
      <tp t="s">
        <v>N/A</v>
        <stp/>
        <stp>OPEN_INT</stp>
        <stp>.XLU201120P66.5</stp>
        <tr r="G853" s="1"/>
      </tp>
      <tp t="s">
        <v>N/A</v>
        <stp/>
        <stp>OPEN_INT</stp>
        <stp>.XME201120P26.5</stp>
        <tr r="G886" s="1"/>
      </tp>
      <tp t="s">
        <v>N/A</v>
        <stp/>
        <stp>OPEN_INT</stp>
        <stp>.XME201120C26.5</stp>
        <tr r="G885" s="1"/>
      </tp>
      <tp t="s">
        <v>N/A</v>
        <stp/>
        <stp>OPEN_INT</stp>
        <stp>.XLP201120C66.5</stp>
        <tr r="G842" s="1"/>
      </tp>
      <tp>
        <v>176</v>
        <stp/>
        <stp>OPEN_INT</stp>
        <stp>.XLU201120C66.5</stp>
        <tr r="G852" s="1"/>
      </tp>
      <tp t="s">
        <v>N/A</v>
        <stp/>
        <stp>OPEN</stp>
        <stp>.MDY201120C387.5</stp>
        <tr r="L421" s="1"/>
      </tp>
      <tp t="s">
        <v>N/A</v>
        <stp/>
        <stp>HIGH</stp>
        <stp>.LQD201120P134.5</stp>
        <tr r="J406" s="1"/>
      </tp>
      <tp t="s">
        <v>N/A</v>
        <stp/>
        <stp>HIGH</stp>
        <stp>.IBB201120C141.5</stp>
        <tr r="J243" s="1"/>
      </tp>
      <tp t="s">
        <v>N/A</v>
        <stp/>
        <stp>LAST</stp>
        <stp>.XLY201120P154.5</stp>
        <tr r="E881" s="1"/>
      </tp>
      <tp>
        <v>0</v>
        <stp/>
        <stp>THETA</stp>
        <stp>AAXJ</stp>
        <tr r="O2" s="1"/>
      </tp>
      <tp>
        <v>1</v>
        <stp/>
        <stp>DELTA</stp>
        <stp>NAIL</stp>
        <tr r="M438" s="1"/>
      </tp>
      <tp t="s">
        <v>N/A</v>
        <stp/>
        <stp>OPEN_INT</stp>
        <stp>.TAN201120P76.5</stp>
        <tr r="G677" s="1"/>
      </tp>
      <tp t="s">
        <v>N/A</v>
        <stp/>
        <stp>OPEN_INT</stp>
        <stp>.TAN201120C76.5</stp>
        <tr r="G676" s="1"/>
      </tp>
      <tp t="s">
        <v>N/A</v>
        <stp/>
        <stp>PROB_OTM</stp>
        <stp>.EWY201120P72.5</stp>
        <tr r="U167" s="1"/>
      </tp>
      <tp t="s">
        <v>N/A</v>
        <stp/>
        <stp>PROB_OTM</stp>
        <stp>.EWY201120C72.5</stp>
        <tr r="U166" s="1"/>
      </tp>
      <tp t="s">
        <v>N/A</v>
        <stp/>
        <stp>PROB_OTM</stp>
        <stp>SH</stp>
        <tr r="U542" s="1"/>
      </tp>
      <tp>
        <v>686</v>
        <stp/>
        <stp>OPEN_INT</stp>
        <stp>.VWO201120C46.5</stp>
        <tr r="G749" s="1"/>
      </tp>
      <tp>
        <v>27</v>
        <stp/>
        <stp>OPEN_INT</stp>
        <stp>.VWO201120P46.5</stp>
        <tr r="G750" s="1"/>
      </tp>
      <tp>
        <v>2.89</v>
        <stp/>
        <stp>LAST</stp>
        <stp>.XBI201120P124.5</stp>
        <tr r="E775" s="1"/>
      </tp>
      <tp t="s">
        <v>N/A</v>
        <stp/>
        <stp>PROB_OF_TOUCHING</stp>
        <stp>.IYR201120P84.5</stp>
        <tr r="V370" s="1"/>
      </tp>
      <tp t="s">
        <v>N/A</v>
        <stp/>
        <stp>PROB_OF_TOUCHING</stp>
        <stp>.ITB201120P54.5</stp>
        <tr r="V290" s="1"/>
      </tp>
      <tp t="s">
        <v>N/A</v>
        <stp/>
        <stp>PROB_OF_TOUCHING</stp>
        <stp>.IYR201120C84.5</stp>
        <tr r="V369" s="1"/>
      </tp>
      <tp t="s">
        <v>N/A</v>
        <stp/>
        <stp>PROB_OF_TOUCHING</stp>
        <stp>.ITB201120C54.5</stp>
        <tr r="V289" s="1"/>
      </tp>
      <tp t="s">
        <v>N/A</v>
        <stp/>
        <stp>PROB_OTM</stp>
        <stp>.VT201120C86</stp>
        <tr r="U735" s="1"/>
      </tp>
      <tp t="s">
        <v>N/A</v>
        <stp/>
        <stp>PROB_OTM</stp>
        <stp>.VT201120C87</stp>
        <tr r="U737" s="1"/>
      </tp>
      <tp t="s">
        <v>N/A</v>
        <stp/>
        <stp>PROB_OTM</stp>
        <stp>VT</stp>
        <tr r="U734" s="1"/>
      </tp>
      <tp t="s">
        <v>N/A</v>
        <stp/>
        <stp>VEGA</stp>
        <stp>.IBB201120C141.5</stp>
        <tr r="P243" s="1"/>
      </tp>
      <tp t="s">
        <v>N/A</v>
        <stp/>
        <stp>VEGA</stp>
        <stp>.LQD201120P134.5</stp>
        <tr r="P406" s="1"/>
      </tp>
      <tp t="s">
        <v>N/A</v>
        <stp/>
        <stp>OPEN_INT</stp>
        <stp>.SHY201120P86.5</stp>
        <tr r="G547" s="1"/>
      </tp>
      <tp t="s">
        <v>N/A</v>
        <stp/>
        <stp>OPEN_INT</stp>
        <stp>.SHY201120C86.5</stp>
        <tr r="G546" s="1"/>
      </tp>
      <tp t="s">
        <v>N/A</v>
        <stp/>
        <stp>THETA</stp>
        <stp>.AGG201120P117</stp>
        <tr r="O17" s="1"/>
      </tp>
      <tp t="s">
        <v>N/A</v>
        <stp/>
        <stp>THETA</stp>
        <stp>.AGG201120C117</stp>
        <tr r="O16" s="1"/>
      </tp>
      <tp>
        <v>376.97</v>
        <stp/>
        <stp>ASK</stp>
        <stp>MDY</stp>
        <tr r="I414" s="1"/>
      </tp>
      <tp t="s">
        <v>SPDR S&amp;P500 ETF TRUST TR UNIT ETF</v>
        <stp/>
        <stp>DESCRIPTION</stp>
        <stp>SPY</stp>
        <tr r="B590" s="1"/>
      </tp>
      <tp t="s">
        <v>N/A</v>
        <stp/>
        <stp>DESCRIPTION</stp>
        <stp>SSO</stp>
        <tr r="B642" s="1"/>
      </tp>
      <tp t="s">
        <v>PROSHARES TRUST ULTRASHRT S&amp;P500 ETF</v>
        <stp/>
        <stp>DESCRIPTION</stp>
        <stp>SDS</stp>
        <tr r="B537" s="1"/>
      </tp>
      <tp>
        <v>116.03</v>
        <stp/>
        <stp>ASK</stp>
        <stp>MUB</stp>
        <tr r="I435" s="1"/>
      </tp>
      <tp t="s">
        <v>N/A</v>
        <stp/>
        <stp>DESCRIPTION</stp>
        <stp>SCZ</stp>
        <tr r="B534" s="1"/>
      </tp>
      <tp t="s">
        <v>N/A</v>
        <stp/>
        <stp>DESCRIPTION</stp>
        <stp>SMH</stp>
        <tr r="B551" s="1"/>
      </tp>
      <tp t="s">
        <v>N/A</v>
        <stp/>
        <stp>DESCRIPTION</stp>
        <stp>SHY</stp>
        <tr r="B545" s="1"/>
      </tp>
      <tp>
        <v>24.85</v>
        <stp/>
        <stp>HIGH</stp>
        <stp>ILF</stp>
        <tr r="J277" s="1"/>
      </tp>
      <tp>
        <v>0</v>
        <stp/>
        <stp>VEGA</stp>
        <stp>EMB</stp>
        <tr r="P111" s="1"/>
      </tp>
      <tp>
        <v>209.03</v>
        <stp/>
        <stp>HIGH</stp>
        <stp>IJH</stp>
        <tr r="J271" s="1"/>
      </tp>
      <tp>
        <v>80.7</v>
        <stp/>
        <stp>HIGH</stp>
        <stp>IJR</stp>
        <tr r="J274" s="1"/>
      </tp>
      <tp>
        <v>0</v>
        <stp/>
        <stp>VEGA</stp>
        <stp>EFA</stp>
        <tr r="P101" s="1"/>
      </tp>
      <tp>
        <v>0</v>
        <stp/>
        <stp>VEGA</stp>
        <stp>EFV</stp>
        <tr r="P108" s="1"/>
      </tp>
      <tp t="s">
        <v>N/A</v>
        <stp/>
        <stp>DESCRIPTION</stp>
        <stp>VCLT</stp>
        <tr r="B704" s="1"/>
      </tp>
      <tp t="s">
        <v>N/A</v>
        <stp/>
        <stp>DESCRIPTION</stp>
        <stp>ICLN</stp>
        <tr r="B245" s="1"/>
      </tp>
      <tp>
        <v>324.95</v>
        <stp/>
        <stp>HIGH</stp>
        <stp>IGV</stp>
        <tr r="J264" s="1"/>
      </tp>
      <tp>
        <v>37.950000000000003</v>
        <stp/>
        <stp>ASK</stp>
        <stp>ASHR</stp>
        <tr r="I43" s="1"/>
      </tp>
      <tp>
        <v>120.15</v>
        <stp/>
        <stp>HIGH</stp>
        <stp>IEF</stp>
        <tr r="J248" s="1"/>
      </tp>
      <tp>
        <v>0</v>
        <stp/>
        <stp>VEGA</stp>
        <stp>EEM</stp>
        <tr r="P94" s="1"/>
      </tp>
      <tp>
        <v>14.93</v>
        <stp/>
        <stp>OPEN</stp>
        <stp>PGX</stp>
        <tr r="L454" s="1"/>
      </tp>
      <tp>
        <v>140.76</v>
        <stp/>
        <stp>HIGH</stp>
        <stp>IBB</stp>
        <tr r="J228" s="1"/>
      </tp>
      <tp t="s">
        <v>N/A</v>
        <stp/>
        <stp>DESCRIPTION</stp>
        <stp>SCHP</stp>
        <tr r="B531" s="1"/>
      </tp>
      <tp t="s">
        <v>N/A</v>
        <stp/>
        <stp>DESCRIPTION</stp>
        <stp>MCHI</stp>
        <tr r="B411" s="1"/>
      </tp>
      <tp t="s">
        <v>N/A</v>
        <stp/>
        <stp>DESCRIPTION</stp>
        <stp>SCHF</stp>
        <tr r="B528" s="1"/>
      </tp>
      <tp t="s">
        <v>N/A</v>
        <stp/>
        <stp>DESCRIPTION</stp>
        <stp>SCHD</stp>
        <tr r="B520" s="1"/>
      </tp>
      <tp t="s">
        <v>N/A</v>
        <stp/>
        <stp>DESCRIPTION</stp>
        <stp>SCHE</stp>
        <tr r="B525" s="1"/>
      </tp>
      <tp t="s">
        <v>N/A</v>
        <stp/>
        <stp>DESCRIPTION</stp>
        <stp>VCIT</stp>
        <tr r="B701" s="1"/>
      </tp>
      <tp>
        <v>66.34</v>
        <stp/>
        <stp>ASK</stp>
        <stp>USMV</stp>
        <tr r="I698" s="1"/>
      </tp>
      <tp t="s">
        <v>N/A</v>
        <stp/>
        <stp>DESCRIPTION</stp>
        <stp>ACWX</stp>
        <tr r="B12" s="1"/>
      </tp>
      <tp t="s">
        <v>N/A</v>
        <stp/>
        <stp>DESCRIPTION</stp>
        <stp>ACWI</stp>
        <tr r="B7" s="1"/>
      </tp>
      <tp>
        <v>19.46</v>
        <stp/>
        <stp>OPEN</stp>
        <stp>PXH</stp>
        <tr r="L457" s="1"/>
      </tp>
      <tp>
        <v>0</v>
        <stp/>
        <stp>VEGA</stp>
        <stp>EZU</stp>
        <tr r="P177" s="1"/>
      </tp>
      <tp>
        <v>17.96</v>
        <stp/>
        <stp>HIGH</stp>
        <stp>IYE</stp>
        <tr r="J363" s="1"/>
      </tp>
      <tp>
        <v>84.79</v>
        <stp/>
        <stp>HIGH</stp>
        <stp>IYR</stp>
        <tr r="J366" s="1"/>
      </tp>
      <tp>
        <v>121.62</v>
        <stp/>
        <stp>HIGH</stp>
        <stp>IVE</stp>
        <tr r="J302" s="1"/>
      </tp>
      <tp>
        <v>357.69</v>
        <stp/>
        <stp>HIGH</stp>
        <stp>IVV</stp>
        <tr r="J309" s="1"/>
      </tp>
      <tp>
        <v>60.965000000000003</v>
        <stp/>
        <stp>HIGH</stp>
        <stp>IVW</stp>
        <tr r="J330" s="1"/>
      </tp>
      <tp>
        <v>0</v>
        <stp/>
        <stp>VEGA</stp>
        <stp>EWC</stp>
        <tr r="P123" s="1"/>
      </tp>
      <tp>
        <v>0</v>
        <stp/>
        <stp>VEGA</stp>
        <stp>EWA</stp>
        <tr r="P120" s="1"/>
      </tp>
      <tp>
        <v>0</v>
        <stp/>
        <stp>VEGA</stp>
        <stp>EWG</stp>
        <tr r="P126" s="1"/>
      </tp>
      <tp>
        <v>172.63829999999999</v>
        <stp/>
        <stp>HIGH</stp>
        <stp>IWM</stp>
        <tr r="J345" s="1"/>
      </tp>
      <tp>
        <v>0</v>
        <stp/>
        <stp>VEGA</stp>
        <stp>EWJ</stp>
        <tr r="P135" s="1"/>
      </tp>
      <tp>
        <v>0</v>
        <stp/>
        <stp>VEGA</stp>
        <stp>EWI</stp>
        <tr r="P132" s="1"/>
      </tp>
      <tp>
        <v>0</v>
        <stp/>
        <stp>VEGA</stp>
        <stp>EWH</stp>
        <tr r="P129" s="1"/>
      </tp>
      <tp>
        <v>227.37</v>
        <stp/>
        <stp>HIGH</stp>
        <stp>IWF</stp>
        <tr r="J340" s="1"/>
      </tp>
      <tp>
        <v>128.58000000000001</v>
        <stp/>
        <stp>HIGH</stp>
        <stp>IWD</stp>
        <tr r="J333" s="1"/>
      </tp>
      <tp>
        <v>0</v>
        <stp/>
        <stp>VEGA</stp>
        <stp>EWL</stp>
        <tr r="P142" s="1"/>
      </tp>
      <tp>
        <v>0</v>
        <stp/>
        <stp>VEGA</stp>
        <stp>EWP</stp>
        <tr r="P145" s="1"/>
      </tp>
      <tp>
        <v>0</v>
        <stp/>
        <stp>VEGA</stp>
        <stp>EWW</stp>
        <tr r="P154" s="1"/>
      </tp>
      <tp>
        <v>0</v>
        <stp/>
        <stp>VEGA</stp>
        <stp>EWU</stp>
        <tr r="P151" s="1"/>
      </tp>
      <tp>
        <v>0</v>
        <stp/>
        <stp>VEGA</stp>
        <stp>EWT</stp>
        <tr r="P148" s="1"/>
      </tp>
      <tp>
        <v>0</v>
        <stp/>
        <stp>VEGA</stp>
        <stp>EWZ</stp>
        <tr r="P172" s="1"/>
      </tp>
      <tp>
        <v>0</v>
        <stp/>
        <stp>VEGA</stp>
        <stp>EWY</stp>
        <tr r="P161" s="1"/>
      </tp>
      <tp>
        <v>55.8</v>
        <stp/>
        <stp>HIGH</stp>
        <stp>ITB</stp>
        <tr r="J288" s="1"/>
      </tp>
      <tp>
        <v>117.62</v>
        <stp/>
        <stp>LAST</stp>
        <stp>AGG</stp>
        <tr r="E15" s="1"/>
      </tp>
      <tp>
        <v>0</v>
        <stp/>
        <stp>RHO</stp>
        <stp>SHYG</stp>
        <tr r="Q548" s="1"/>
      </tp>
      <tp t="s">
        <v>N/A</v>
        <stp/>
        <stp>IMPL_VOL</stp>
        <stp>.XHB201120C55.5</stp>
        <tr r="D783" s="1"/>
      </tp>
      <tp t="s">
        <v>N/A</v>
        <stp/>
        <stp>IMPL_VOL</stp>
        <stp>.XLI201120C85.5</stp>
        <tr r="D820" s="1"/>
      </tp>
      <tp t="s">
        <v>N/A</v>
        <stp/>
        <stp>IMPL_VOL</stp>
        <stp>.XRT201120P55.5</stp>
        <tr r="D910" s="1"/>
      </tp>
      <tp t="s">
        <v>N/A</v>
        <stp/>
        <stp>IMPL_VOL</stp>
        <stp>.XHB201120P55.5</stp>
        <tr r="D784" s="1"/>
      </tp>
      <tp t="s">
        <v>N/A</v>
        <stp/>
        <stp>IMPL_VOL</stp>
        <stp>.XLI201120P85.5</stp>
        <tr r="D821" s="1"/>
      </tp>
      <tp t="s">
        <v>N/A</v>
        <stp/>
        <stp>IMPL_VOL</stp>
        <stp>.XRT201120C55.5</stp>
        <tr r="D909" s="1"/>
      </tp>
      <tp t="s">
        <v>N/A</v>
        <stp/>
        <stp>PROB_OF_TOUCHING</stp>
        <stp>.TAN201120C75.5</stp>
        <tr r="V672" s="1"/>
      </tp>
      <tp t="s">
        <v>N/A</v>
        <stp/>
        <stp>PROB_OF_TOUCHING</stp>
        <stp>.TAN201120P75.5</stp>
        <tr r="V673" s="1"/>
      </tp>
      <tp t="s">
        <v>N/A</v>
        <stp/>
        <stp>PROB_OTM</stp>
        <stp>.XLE201120C33.5</stp>
        <tr r="U804" s="1"/>
      </tp>
      <tp t="s">
        <v>N/A</v>
        <stp/>
        <stp>PROB_OTM</stp>
        <stp>.XLC201120C63.5</stp>
        <tr r="U799" s="1"/>
      </tp>
      <tp t="s">
        <v>N/A</v>
        <stp/>
        <stp>PROB_OTM</stp>
        <stp>.XLE201120P33.5</stp>
        <tr r="U805" s="1"/>
      </tp>
      <tp t="s">
        <v>N/A</v>
        <stp/>
        <stp>PROB_OTM</stp>
        <stp>.XLC201120P63.5</stp>
        <tr r="U800" s="1"/>
      </tp>
      <tp t="s">
        <v>N/A</v>
        <stp/>
        <stp>PROB_OF_TOUCHING</stp>
        <stp>.MJ201120P13</stp>
        <tr r="V425" s="1"/>
      </tp>
      <tp t="s">
        <v>N/A</v>
        <stp/>
        <stp>IMPL_VOL</stp>
        <stp>.SH201120C19</stp>
        <tr r="D543" s="1"/>
      </tp>
      <tp>
        <v>24</v>
        <stp/>
        <stp>OPEN_INT</stp>
        <stp>.KRE201120C47.5</stp>
        <tr r="G395" s="1"/>
      </tp>
      <tp>
        <v>26</v>
        <stp/>
        <stp>OPEN_INT</stp>
        <stp>.KRE201120P47.5</stp>
        <tr r="G396" s="1"/>
      </tp>
      <tp>
        <v>0.6</v>
        <stp/>
        <stp>HIGH</stp>
        <stp>.LQD201120C135.5</stp>
        <tr r="J409" s="1"/>
      </tp>
      <tp>
        <v>0</v>
        <stp/>
        <stp>HIGH</stp>
        <stp>.IBB201120P140.5</stp>
        <tr r="J240" s="1"/>
      </tp>
      <tp>
        <v>2.27</v>
        <stp/>
        <stp>OPEN</stp>
        <stp>.IWM201120C172.5</stp>
        <tr r="L352" s="1"/>
      </tp>
      <tp t="s">
        <v>N/A</v>
        <stp/>
        <stp>PROB_OTM</stp>
        <stp>.TAN201120C73.5</stp>
        <tr r="U664" s="1"/>
      </tp>
      <tp t="s">
        <v>N/A</v>
        <stp/>
        <stp>PROB_OTM</stp>
        <stp>.TAN201120P73.5</stp>
        <tr r="U665" s="1"/>
      </tp>
      <tp>
        <v>1.53</v>
        <stp/>
        <stp>LAST</stp>
        <stp>.XBI201120C125.5</stp>
        <tr r="E778" s="1"/>
      </tp>
      <tp>
        <v>5673</v>
        <stp/>
        <stp>OPEN_INT</stp>
        <stp>.EEM201120P47.5</stp>
        <tr r="G96" s="1"/>
      </tp>
      <tp t="s">
        <v>N/A</v>
        <stp/>
        <stp>VEGA</stp>
        <stp>.TLT201120P156</stp>
        <tr r="P695" s="1"/>
      </tp>
      <tp t="s">
        <v>N/A</v>
        <stp/>
        <stp>VEGA</stp>
        <stp>.TLT201120C156</stp>
        <tr r="P694" s="1"/>
      </tp>
      <tp t="s">
        <v>N/A</v>
        <stp/>
        <stp>VEGA</stp>
        <stp>.TLT201120P155</stp>
        <tr r="P691" s="1"/>
      </tp>
      <tp t="s">
        <v>N/A</v>
        <stp/>
        <stp>VEGA</stp>
        <stp>.TLT201120C155</stp>
        <tr r="P690" s="1"/>
      </tp>
      <tp t="s">
        <v>N/A</v>
        <stp/>
        <stp>VEGA</stp>
        <stp>.IVV201120C357</stp>
        <tr r="P316" s="1"/>
      </tp>
      <tp t="s">
        <v>N/A</v>
        <stp/>
        <stp>VEGA</stp>
        <stp>.IVV201120P357</stp>
        <tr r="P317" s="1"/>
      </tp>
      <tp t="s">
        <v>N/A</v>
        <stp/>
        <stp>VEGA</stp>
        <stp>.IVV201120C356</stp>
        <tr r="P314" s="1"/>
      </tp>
      <tp t="s">
        <v>N/A</v>
        <stp/>
        <stp>VEGA</stp>
        <stp>.IVV201120P356</stp>
        <tr r="P315" s="1"/>
      </tp>
      <tp t="s">
        <v>N/A</v>
        <stp/>
        <stp>VEGA</stp>
        <stp>.IVV201120C355</stp>
        <tr r="P312" s="1"/>
      </tp>
      <tp t="s">
        <v>N/A</v>
        <stp/>
        <stp>VEGA</stp>
        <stp>.IVV201120P355</stp>
        <tr r="P313" s="1"/>
      </tp>
      <tp t="s">
        <v>N/A</v>
        <stp/>
        <stp>VEGA</stp>
        <stp>.IVV201120C354</stp>
        <tr r="P310" s="1"/>
      </tp>
      <tp t="s">
        <v>N/A</v>
        <stp/>
        <stp>VEGA</stp>
        <stp>.IVV201120P354</stp>
        <tr r="P311" s="1"/>
      </tp>
      <tp>
        <v>18864</v>
        <stp/>
        <stp>OPEN_INT</stp>
        <stp>.EEM201120C47.5</stp>
        <tr r="G95" s="1"/>
      </tp>
      <tp t="s">
        <v>N/A</v>
        <stp/>
        <stp>VEGA</stp>
        <stp>.IVV201120C359</stp>
        <tr r="P322" s="1"/>
      </tp>
      <tp t="s">
        <v>N/A</v>
        <stp/>
        <stp>VEGA</stp>
        <stp>.IVV201120P359</stp>
        <tr r="P323" s="1"/>
      </tp>
      <tp t="s">
        <v>N/A</v>
        <stp/>
        <stp>VEGA</stp>
        <stp>.IVV201120C358</stp>
        <tr r="P320" s="1"/>
      </tp>
      <tp t="s">
        <v>N/A</v>
        <stp/>
        <stp>VEGA</stp>
        <stp>.IVV201120P358</stp>
        <tr r="P321" s="1"/>
      </tp>
      <tp>
        <v>4675</v>
        <stp/>
        <stp>OPEN_INT</stp>
        <stp>.FXI201120C47.5</stp>
        <tr r="G191" s="1"/>
      </tp>
      <tp t="s">
        <v>N/A</v>
        <stp/>
        <stp>VEGA</stp>
        <stp>.IVV201120C362</stp>
        <tr r="P328" s="1"/>
      </tp>
      <tp t="s">
        <v>N/A</v>
        <stp/>
        <stp>VEGA</stp>
        <stp>.IVV201120P362</stp>
        <tr r="P329" s="1"/>
      </tp>
      <tp t="s">
        <v>N/A</v>
        <stp/>
        <stp>VEGA</stp>
        <stp>.IVV201120C361</stp>
        <tr r="P326" s="1"/>
      </tp>
      <tp t="s">
        <v>N/A</v>
        <stp/>
        <stp>VEGA</stp>
        <stp>.IVV201120P361</stp>
        <tr r="P327" s="1"/>
      </tp>
      <tp t="s">
        <v>N/A</v>
        <stp/>
        <stp>VEGA</stp>
        <stp>.IVV201120C360</stp>
        <tr r="P324" s="1"/>
      </tp>
      <tp t="s">
        <v>N/A</v>
        <stp/>
        <stp>VEGA</stp>
        <stp>.IVV201120P360</stp>
        <tr r="P325" s="1"/>
      </tp>
      <tp>
        <v>2143</v>
        <stp/>
        <stp>OPEN_INT</stp>
        <stp>.FXI201120P47.5</stp>
        <tr r="G192" s="1"/>
      </tp>
      <tp>
        <v>4909</v>
        <stp/>
        <stp>OPEN_INT</stp>
        <stp>.GDX201120P37.5</stp>
        <tr r="G201" s="1"/>
      </tp>
      <tp>
        <v>3861</v>
        <stp/>
        <stp>OPEN_INT</stp>
        <stp>.GDX201120C37.5</stp>
        <tr r="G200" s="1"/>
      </tp>
      <tp t="s">
        <v>N/A</v>
        <stp/>
        <stp>IMPL_VOL</stp>
        <stp>.TAN201120C75.5</stp>
        <tr r="D672" s="1"/>
      </tp>
      <tp t="s">
        <v>N/A</v>
        <stp/>
        <stp>IMPL_VOL</stp>
        <stp>.TAN201120P75.5</stp>
        <tr r="D673" s="1"/>
      </tp>
      <tp>
        <v>2.4569999999999999</v>
        <stp/>
        <stp>PUT_CALL_RATIO</stp>
        <stp>XRT</stp>
        <tr r="C902" s="1"/>
      </tp>
      <tp t="s">
        <v>N/A</v>
        <stp/>
        <stp>PROB_OF_TOUCHING</stp>
        <stp>.XHB201120C55.5</stp>
        <tr r="V783" s="1"/>
      </tp>
      <tp t="s">
        <v>N/A</v>
        <stp/>
        <stp>PROB_OF_TOUCHING</stp>
        <stp>.XLI201120C85.5</stp>
        <tr r="V820" s="1"/>
      </tp>
      <tp t="s">
        <v>N/A</v>
        <stp/>
        <stp>PROB_OF_TOUCHING</stp>
        <stp>.XRT201120P55.5</stp>
        <tr r="V910" s="1"/>
      </tp>
      <tp t="s">
        <v>N/A</v>
        <stp/>
        <stp>VEGA</stp>
        <stp>.IGV201120P315</stp>
        <tr r="P266" s="1"/>
      </tp>
      <tp t="s">
        <v>N/A</v>
        <stp/>
        <stp>VEGA</stp>
        <stp>.IGV201120C315</stp>
        <tr r="P265" s="1"/>
      </tp>
      <tp t="s">
        <v>N/A</v>
        <stp/>
        <stp>PROB_OF_TOUCHING</stp>
        <stp>.XHB201120P55.5</stp>
        <tr r="V784" s="1"/>
      </tp>
      <tp t="s">
        <v>N/A</v>
        <stp/>
        <stp>PROB_OF_TOUCHING</stp>
        <stp>.XLI201120P85.5</stp>
        <tr r="V821" s="1"/>
      </tp>
      <tp t="s">
        <v>N/A</v>
        <stp/>
        <stp>PROB_OF_TOUCHING</stp>
        <stp>.XRT201120C55.5</stp>
        <tr r="V909" s="1"/>
      </tp>
      <tp t="s">
        <v>N/A</v>
        <stp/>
        <stp>VEGA</stp>
        <stp>.IGV201120P325</stp>
        <tr r="P270" s="1"/>
      </tp>
      <tp t="s">
        <v>N/A</v>
        <stp/>
        <stp>VEGA</stp>
        <stp>.IGV201120C325</stp>
        <tr r="P269" s="1"/>
      </tp>
      <tp t="s">
        <v>N/A</v>
        <stp/>
        <stp>VEGA</stp>
        <stp>.IGV201120P320</stp>
        <tr r="P268" s="1"/>
      </tp>
      <tp t="s">
        <v>N/A</v>
        <stp/>
        <stp>VEGA</stp>
        <stp>.IGV201120C320</stp>
        <tr r="P267" s="1"/>
      </tp>
      <tp t="s">
        <v>N/A</v>
        <stp/>
        <stp>VEGA</stp>
        <stp>.IBB201120P140.5</stp>
        <tr r="P240" s="1"/>
      </tp>
      <tp t="s">
        <v>N/A</v>
        <stp/>
        <stp>VEGA</stp>
        <stp>.LQD201120C135.5</stp>
        <tr r="P409" s="1"/>
      </tp>
      <tp t="s">
        <v>N/A</v>
        <stp/>
        <stp>PROB_OTM</stp>
        <stp>.SDS201120C13.5</stp>
        <tr r="U538" s="1"/>
      </tp>
      <tp t="s">
        <v>N/A</v>
        <stp/>
        <stp>PROB_OTM</stp>
        <stp>.SSO201120P83.5</stp>
        <tr r="U654" s="1"/>
      </tp>
      <tp t="s">
        <v>N/A</v>
        <stp/>
        <stp>PROB_OTM</stp>
        <stp>.SDS201120P13.5</stp>
        <tr r="U539" s="1"/>
      </tp>
      <tp t="s">
        <v>N/A</v>
        <stp/>
        <stp>PROB_OTM</stp>
        <stp>.SSO201120C83.5</stp>
        <tr r="U653" s="1"/>
      </tp>
      <tp t="s">
        <v>N/A</v>
        <stp/>
        <stp>IMPL_VOL</stp>
        <stp>.HYG201120P85.5</stp>
        <tr r="D222" s="1"/>
      </tp>
      <tp t="s">
        <v>N/A</v>
        <stp/>
        <stp>IMPL_VOL</stp>
        <stp>.HYG201120C85.5</stp>
        <tr r="D221" s="1"/>
      </tp>
      <tp t="s">
        <v>N/A</v>
        <stp/>
        <stp>IMPL_VOL</stp>
        <stp>.IYR201120P85.5</stp>
        <tr r="D374" s="1"/>
      </tp>
      <tp t="s">
        <v>N/A</v>
        <stp/>
        <stp>IMPL_VOL</stp>
        <stp>.ITB201120P55.5</stp>
        <tr r="D294" s="1"/>
      </tp>
      <tp>
        <v>0</v>
        <stp/>
        <stp>GAMMA</stp>
        <stp>HYLB</stp>
        <tr r="N225" s="1"/>
      </tp>
      <tp t="s">
        <v>N/A</v>
        <stp/>
        <stp>IMPL_VOL</stp>
        <stp>.IYR201120C85.5</stp>
        <tr r="D373" s="1"/>
      </tp>
      <tp t="s">
        <v>N/A</v>
        <stp/>
        <stp>IMPL_VOL</stp>
        <stp>.ITB201120C55.5</stp>
        <tr r="D293" s="1"/>
      </tp>
      <tp>
        <v>0.74299999999999999</v>
        <stp/>
        <stp>PUT_CALL_RATIO</stp>
        <stp>XOP</stp>
        <tr r="C889" s="1"/>
      </tp>
      <tp>
        <v>0.49</v>
        <stp/>
        <stp>PUT_CALL_RATIO</stp>
        <stp>XLY</stp>
        <tr r="C867" s="1"/>
      </tp>
      <tp>
        <v>0.47799999999999998</v>
        <stp/>
        <stp>PUT_CALL_RATIO</stp>
        <stp>XLV</stp>
        <tr r="C856" s="1"/>
      </tp>
      <tp>
        <v>0.68600000000000005</v>
        <stp/>
        <stp>PUT_CALL_RATIO</stp>
        <stp>XLU</stp>
        <tr r="C849" s="1"/>
      </tp>
      <tp>
        <v>0.69099999999999995</v>
        <stp/>
        <stp>PUT_CALL_RATIO</stp>
        <stp>XLP</stp>
        <tr r="C841" s="1"/>
      </tp>
      <tp>
        <v>2.4830000000000001</v>
        <stp/>
        <stp>PUT_CALL_RATIO</stp>
        <stp>XLK</stp>
        <tr r="C824" s="1"/>
      </tp>
      <tp>
        <v>3.331</v>
        <stp/>
        <stp>PUT_CALL_RATIO</stp>
        <stp>XLI</stp>
        <tr r="C813" s="1"/>
      </tp>
      <tp>
        <v>0.86399999999999999</v>
        <stp/>
        <stp>PUT_CALL_RATIO</stp>
        <stp>XLF</stp>
        <tr r="C810" s="1"/>
      </tp>
      <tp>
        <v>0.50600000000000001</v>
        <stp/>
        <stp>PUT_CALL_RATIO</stp>
        <stp>XLE</stp>
        <tr r="C803" s="1"/>
      </tp>
      <tp>
        <v>1.6439999999999999</v>
        <stp/>
        <stp>PUT_CALL_RATIO</stp>
        <stp>XLB</stp>
        <tr r="C787" s="1"/>
      </tp>
      <tp>
        <v>2.7029999999999998</v>
        <stp/>
        <stp>PUT_CALL_RATIO</stp>
        <stp>XLC</stp>
        <tr r="C796" s="1"/>
      </tp>
      <tp>
        <v>1.2849999999999999</v>
        <stp/>
        <stp>PUT_CALL_RATIO</stp>
        <stp>XME</stp>
        <tr r="C884" s="1"/>
      </tp>
      <tp>
        <v>64</v>
        <stp/>
        <stp>OPEN_INT</stp>
        <stp>.XOP201120P47.5</stp>
        <tr r="G893" s="1"/>
      </tp>
      <tp>
        <v>187</v>
        <stp/>
        <stp>OPEN_INT</stp>
        <stp>.XOP201120C47.5</stp>
        <tr r="G892" s="1"/>
      </tp>
      <tp t="s">
        <v>N/A</v>
        <stp/>
        <stp>HIGH</stp>
        <stp>.LQD201120P135.5</stp>
        <tr r="J410" s="1"/>
      </tp>
      <tp t="s">
        <v>N/A</v>
        <stp/>
        <stp>HIGH</stp>
        <stp>.IBB201120C140.5</stp>
        <tr r="J239" s="1"/>
      </tp>
      <tp>
        <v>3.49</v>
        <stp/>
        <stp>OPEN</stp>
        <stp>.IWM201120P172.5</stp>
        <tr r="L353" s="1"/>
      </tp>
      <tp>
        <v>2.177</v>
        <stp/>
        <stp>PUT_CALL_RATIO</stp>
        <stp>XHB</stp>
        <tr r="C780" s="1"/>
      </tp>
      <tp t="s">
        <v>N/A</v>
        <stp/>
        <stp>PROB_OTM</stp>
        <stp>.EWY201120P73.5</stp>
        <tr r="U171" s="1"/>
      </tp>
      <tp t="s">
        <v>N/A</v>
        <stp/>
        <stp>PROB_OTM</stp>
        <stp>.EWJ201120P63.5</stp>
        <tr r="U139" s="1"/>
      </tp>
      <tp t="s">
        <v>N/A</v>
        <stp/>
        <stp>PROB_OTM</stp>
        <stp>.EWY201120C73.5</stp>
        <tr r="U170" s="1"/>
      </tp>
      <tp t="s">
        <v>N/A</v>
        <stp/>
        <stp>PROB_OTM</stp>
        <stp>.EWJ201120C63.5</stp>
        <tr r="U138" s="1"/>
      </tp>
      <tp t="s">
        <v>N/A</v>
        <stp/>
        <stp>OPEN</stp>
        <stp>.VOO201120P330</stp>
        <tr r="L733" s="1"/>
      </tp>
      <tp>
        <v>2.5</v>
        <stp/>
        <stp>OPEN</stp>
        <stp>.VOO201120C330</stp>
        <tr r="L732" s="1"/>
      </tp>
      <tp>
        <v>1037780</v>
        <stp/>
        <stp>VOLUME</stp>
        <stp>BZQ</stp>
        <tr r="F51" s="1"/>
      </tp>
      <tp t="s">
        <v>N/A</v>
        <stp/>
        <stp>OPEN</stp>
        <stp>.VOO201120P325</stp>
        <tr r="L731" s="1"/>
      </tp>
      <tp>
        <v>4.87</v>
        <stp/>
        <stp>OPEN</stp>
        <stp>.VOO201120C325</stp>
        <tr r="L730" s="1"/>
      </tp>
      <tp>
        <v>3.1</v>
        <stp/>
        <stp>LAST</stp>
        <stp>.XBI201120P125.5</stp>
        <tr r="E779" s="1"/>
      </tp>
      <tp t="s">
        <v>N/A</v>
        <stp/>
        <stp>PROB_OF_TOUCHING</stp>
        <stp>.IYR201120P85.5</stp>
        <tr r="V374" s="1"/>
      </tp>
      <tp t="s">
        <v>N/A</v>
        <stp/>
        <stp>PROB_OF_TOUCHING</stp>
        <stp>.ITB201120P55.5</stp>
        <tr r="V294" s="1"/>
      </tp>
      <tp t="s">
        <v>N/A</v>
        <stp/>
        <stp>PROB_OF_TOUCHING</stp>
        <stp>.IYR201120C85.5</stp>
        <tr r="V373" s="1"/>
      </tp>
      <tp t="s">
        <v>N/A</v>
        <stp/>
        <stp>PROB_OF_TOUCHING</stp>
        <stp>.ITB201120C55.5</stp>
        <tr r="V293" s="1"/>
      </tp>
      <tp>
        <v>3.012</v>
        <stp/>
        <stp>PUT_CALL_RATIO</stp>
        <stp>XBI</stp>
        <tr r="C763" s="1"/>
      </tp>
      <tp t="s">
        <v>N/A</v>
        <stp/>
        <stp>PROB_OF_TOUCHING</stp>
        <stp>.HYG201120P85.5</stp>
        <tr r="V222" s="1"/>
      </tp>
      <tp t="s">
        <v>N/A</v>
        <stp/>
        <stp>PROB_OF_TOUCHING</stp>
        <stp>.HYG201120C85.5</stp>
        <tr r="V221" s="1"/>
      </tp>
      <tp t="s">
        <v>N/A</v>
        <stp/>
        <stp>VEGA</stp>
        <stp>.IBB201120C140.5</stp>
        <tr r="P239" s="1"/>
      </tp>
      <tp t="s">
        <v>N/A</v>
        <stp/>
        <stp>VEGA</stp>
        <stp>.LQD201120P135.5</stp>
        <tr r="P410" s="1"/>
      </tp>
      <tp>
        <v>1.36</v>
        <stp/>
        <stp>OPEN</stp>
        <stp>.IWM201120C175</stp>
        <tr r="L358" s="1"/>
      </tp>
      <tp>
        <v>5.24</v>
        <stp/>
        <stp>OPEN</stp>
        <stp>.IWM201120P175</stp>
        <tr r="L359" s="1"/>
      </tp>
      <tp>
        <v>1.69</v>
        <stp/>
        <stp>OPEN</stp>
        <stp>.IWM201120C174</stp>
        <tr r="L356" s="1"/>
      </tp>
      <tp>
        <v>4.28</v>
        <stp/>
        <stp>OPEN</stp>
        <stp>.IWM201120P174</stp>
        <tr r="L357" s="1"/>
      </tp>
      <tp>
        <v>2.99</v>
        <stp/>
        <stp>OPEN</stp>
        <stp>.IWM201120C171</stp>
        <tr r="L348" s="1"/>
      </tp>
      <tp>
        <v>2.94</v>
        <stp/>
        <stp>OPEN</stp>
        <stp>.IWM201120P171</stp>
        <tr r="L349" s="1"/>
      </tp>
      <tp>
        <v>3.82</v>
        <stp/>
        <stp>OPEN</stp>
        <stp>.IWM201120C170</stp>
        <tr r="L346" s="1"/>
      </tp>
      <tp>
        <v>2.4</v>
        <stp/>
        <stp>OPEN</stp>
        <stp>.IWM201120P170</stp>
        <tr r="L347" s="1"/>
      </tp>
      <tp>
        <v>2.1</v>
        <stp/>
        <stp>OPEN</stp>
        <stp>.IWM201120C173</stp>
        <tr r="L354" s="1"/>
      </tp>
      <tp>
        <v>4</v>
        <stp/>
        <stp>OPEN</stp>
        <stp>.IWM201120P173</stp>
        <tr r="L355" s="1"/>
      </tp>
      <tp>
        <v>2.4500000000000002</v>
        <stp/>
        <stp>OPEN</stp>
        <stp>.IWM201120C172</stp>
        <tr r="L350" s="1"/>
      </tp>
      <tp>
        <v>3.12</v>
        <stp/>
        <stp>OPEN</stp>
        <stp>.IWM201120P172</stp>
        <tr r="L351" s="1"/>
      </tp>
      <tp t="s">
        <v>N/A</v>
        <stp/>
        <stp>DELTA</stp>
        <stp>.XLK201120C123</stp>
        <tr r="M839" s="1"/>
      </tp>
      <tp t="s">
        <v>N/A</v>
        <stp/>
        <stp>DELTA</stp>
        <stp>.XLK201120P123</stp>
        <tr r="M840" s="1"/>
      </tp>
      <tp t="s">
        <v>N/A</v>
        <stp/>
        <stp>DELTA</stp>
        <stp>.XLK201120C122</stp>
        <tr r="M835" s="1"/>
      </tp>
      <tp t="s">
        <v>N/A</v>
        <stp/>
        <stp>DELTA</stp>
        <stp>.XLK201120P122</stp>
        <tr r="M836" s="1"/>
      </tp>
      <tp t="s">
        <v>N/A</v>
        <stp/>
        <stp>DELTA</stp>
        <stp>.XLK201120C121</stp>
        <tr r="M831" s="1"/>
      </tp>
      <tp t="s">
        <v>N/A</v>
        <stp/>
        <stp>DELTA</stp>
        <stp>.XLK201120P121</stp>
        <tr r="M832" s="1"/>
      </tp>
      <tp t="s">
        <v>N/A</v>
        <stp/>
        <stp>DELTA</stp>
        <stp>.XLK201120C120</stp>
        <tr r="M827" s="1"/>
      </tp>
      <tp t="s">
        <v>N/A</v>
        <stp/>
        <stp>DELTA</stp>
        <stp>.XLK201120P120</stp>
        <tr r="M828" s="1"/>
      </tp>
      <tp t="s">
        <v>N/A</v>
        <stp/>
        <stp>DELTA</stp>
        <stp>.IJH201120C210</stp>
        <tr r="M272" s="1"/>
      </tp>
      <tp t="s">
        <v>N/A</v>
        <stp/>
        <stp>DELTA</stp>
        <stp>.IJH201120P210</stp>
        <tr r="M273" s="1"/>
      </tp>
      <tp t="s">
        <v>N/A</v>
        <stp/>
        <stp>DELTA</stp>
        <stp>.JNK201120C107</stp>
        <tr r="M383" s="1"/>
      </tp>
      <tp t="s">
        <v>N/A</v>
        <stp/>
        <stp>DELTA</stp>
        <stp>.JNK201120P107</stp>
        <tr r="M384" s="1"/>
      </tp>
      <tp t="s">
        <v>N/A</v>
        <stp/>
        <stp>DESCRIPTION</stp>
        <stp>MJ</stp>
        <tr r="B423" s="1"/>
      </tp>
      <tp>
        <v>0</v>
        <stp/>
        <stp>RHO</stp>
        <stp>QQQ</stp>
        <tr r="Q475" s="1"/>
      </tp>
      <tp t="s">
        <v>N/A</v>
        <stp/>
        <stp>DESCRIPTION</stp>
        <stp>VT</stp>
        <tr r="B734" s="1"/>
      </tp>
      <tp>
        <v>0</v>
        <stp/>
        <stp>RHO</stp>
        <stp>QLD</stp>
        <tr r="Q462" s="1"/>
      </tp>
      <tp t="s">
        <v>N/A</v>
        <stp/>
        <stp>DESCRIPTION</stp>
        <stp>SH</stp>
        <tr r="B542" s="1"/>
      </tp>
      <tp>
        <v>117.31</v>
        <stp/>
        <stp>BID</stp>
        <stp>AGG</stp>
        <tr r="H15" s="1"/>
      </tp>
      <tp>
        <v>13.35</v>
        <stp/>
        <stp>ASK</stp>
        <stp>BZQ</stp>
        <tr r="I51" s="1"/>
      </tp>
      <tp>
        <v>0</v>
        <stp/>
        <stp>VEGA</stp>
        <stp>JNK</stp>
        <tr r="P380" s="1"/>
      </tp>
      <tp>
        <v>1.0900000000000001</v>
        <stp/>
        <stp>OPEN</stp>
        <stp>.GDXJ201120P53.5</stp>
        <tr r="L210" s="1"/>
      </tp>
      <tp>
        <v>1.88</v>
        <stp/>
        <stp>OPEN</stp>
        <stp>.GDXJ201120C53.5</stp>
        <tr r="L209" s="1"/>
      </tp>
      <tp>
        <v>12.83</v>
        <stp/>
        <stp>BID</stp>
        <stp>DFEN</stp>
        <tr r="H54" s="1"/>
      </tp>
      <tp>
        <v>39.450000000000003</v>
        <stp/>
        <stp>HIGH</stp>
        <stp>FEZ</stp>
        <tr r="J180" s="1"/>
      </tp>
      <tp>
        <v>0</v>
        <stp/>
        <stp>RHO</stp>
        <stp>IGIB</stp>
        <tr r="Q261" s="1"/>
      </tp>
      <tp>
        <v>0</v>
        <stp/>
        <stp>RHO</stp>
        <stp>VGIT</stp>
        <tr r="Q718" s="1"/>
      </tp>
      <tp>
        <v>0</v>
        <stp/>
        <stp>RHO</stp>
        <stp>DGRO</stp>
        <tr r="Q59" s="1"/>
      </tp>
      <tp>
        <v>47.7</v>
        <stp/>
        <stp>HIGH</stp>
        <stp>FXI</stp>
        <tr r="J188" s="1"/>
      </tp>
      <tp t="s">
        <v>SELECT SECTOR SPDR TRUST RL EST SEL SEC ETF</v>
        <stp/>
        <stp>DESCRIPTION</stp>
        <stp>XLRE</stp>
        <tr r="B846" s="1"/>
      </tp>
      <tp t="s">
        <v>N/A</v>
        <stp/>
        <stp>HIGH</stp>
        <stp>.ASHR201120C37.5</stp>
        <tr r="J44" s="1"/>
      </tp>
      <tp t="s">
        <v>N/A</v>
        <stp/>
        <stp>HIGH</stp>
        <stp>.ASHR201120P37.5</stp>
        <tr r="J45" s="1"/>
      </tp>
      <tp>
        <v>34.5</v>
        <stp/>
        <stp>HIGH</stp>
        <stp>FVD</stp>
        <tr r="J185" s="1"/>
      </tp>
      <tp t="s">
        <v>N/A</v>
        <stp/>
        <stp>VEGA</stp>
        <stp>.ASHR201120P37.5</stp>
        <tr r="P45" s="1"/>
      </tp>
      <tp t="s">
        <v>N/A</v>
        <stp/>
        <stp>VEGA</stp>
        <stp>.ASHR201120C37.5</stp>
        <tr r="P44" s="1"/>
      </tp>
      <tp t="s">
        <v>N/A</v>
        <stp/>
        <stp>HIGH</stp>
        <stp>.IWF201120C225</stp>
        <tr r="J341" s="1"/>
      </tp>
      <tp t="s">
        <v>N/A</v>
        <stp/>
        <stp>HIGH</stp>
        <stp>.IWF201120P225</stp>
        <tr r="J342" s="1"/>
      </tp>
      <tp t="s">
        <v>N/A</v>
        <stp/>
        <stp>HIGH</stp>
        <stp>.IVE201120C123</stp>
        <tr r="J307" s="1"/>
      </tp>
      <tp t="s">
        <v>N/A</v>
        <stp/>
        <stp>HIGH</stp>
        <stp>.IVE201120P123</stp>
        <tr r="J308" s="1"/>
      </tp>
      <tp t="s">
        <v>N/A</v>
        <stp/>
        <stp>HIGH</stp>
        <stp>.IVE201120C122</stp>
        <tr r="J305" s="1"/>
      </tp>
      <tp>
        <v>0</v>
        <stp/>
        <stp>HIGH</stp>
        <stp>.IVE201120P122</stp>
        <tr r="J306" s="1"/>
      </tp>
      <tp t="s">
        <v>N/A</v>
        <stp/>
        <stp>HIGH</stp>
        <stp>.IVE201120C121</stp>
        <tr r="J303" s="1"/>
      </tp>
      <tp t="s">
        <v>N/A</v>
        <stp/>
        <stp>HIGH</stp>
        <stp>.IVE201120P121</stp>
        <tr r="J304" s="1"/>
      </tp>
      <tp t="s">
        <v>N/A</v>
        <stp/>
        <stp>VEGA</stp>
        <stp>.MDY201120P380</stp>
        <tr r="P416" s="1"/>
      </tp>
      <tp t="s">
        <v>N/A</v>
        <stp/>
        <stp>VEGA</stp>
        <stp>.MDY201120C380</stp>
        <tr r="P415" s="1"/>
      </tp>
      <tp t="s">
        <v>N/A</v>
        <stp/>
        <stp>VEGA</stp>
        <stp>.MDY201120P385</stp>
        <tr r="P420" s="1"/>
      </tp>
      <tp t="s">
        <v>N/A</v>
        <stp/>
        <stp>VEGA</stp>
        <stp>.MDY201120C385</stp>
        <tr r="P419" s="1"/>
      </tp>
      <tp>
        <v>1139698</v>
        <stp/>
        <stp>VOLUME</stp>
        <stp>MDY</stp>
        <tr r="F414" s="1"/>
      </tp>
      <tp t="s">
        <v>N/A</v>
        <stp/>
        <stp>VEGA</stp>
        <stp>.DIA201120P292.5</stp>
        <tr r="P68" s="1"/>
      </tp>
      <tp>
        <v>2.36</v>
        <stp/>
        <stp>LAST</stp>
        <stp>.TLT201120C156.5</stp>
        <tr r="E696" s="1"/>
      </tp>
      <tp t="s">
        <v>N/A</v>
        <stp/>
        <stp>OPEN_INT</stp>
        <stp>.EWW201120C38.5</stp>
        <tr r="G155" s="1"/>
      </tp>
      <tp t="s">
        <v>N/A</v>
        <stp/>
        <stp>OPEN_INT</stp>
        <stp>.EWU201120C28.5</stp>
        <tr r="G152" s="1"/>
      </tp>
      <tp>
        <v>0.18</v>
        <stp/>
        <stp>VEGA</stp>
        <stp>.SPY201120C359</stp>
        <tr r="P623" s="1"/>
      </tp>
      <tp>
        <v>0.17</v>
        <stp/>
        <stp>VEGA</stp>
        <stp>.SPY201120P359</stp>
        <tr r="P624" s="1"/>
      </tp>
      <tp>
        <v>4692</v>
        <stp/>
        <stp>OPEN_INT</stp>
        <stp>.EEM201120P48.5</stp>
        <tr r="G100" s="1"/>
      </tp>
      <tp>
        <v>0.13</v>
        <stp/>
        <stp>VEGA</stp>
        <stp>.SPY201118C360</stp>
        <tr r="P605" s="1"/>
      </tp>
      <tp>
        <v>0.19</v>
        <stp/>
        <stp>VEGA</stp>
        <stp>.SPY201120C358</stp>
        <tr r="P621" s="1"/>
      </tp>
      <tp>
        <v>0.11</v>
        <stp/>
        <stp>VEGA</stp>
        <stp>.SPY201118P360</stp>
        <tr r="P606" s="1"/>
      </tp>
      <tp>
        <v>0.19</v>
        <stp/>
        <stp>VEGA</stp>
        <stp>.SPY201120P358</stp>
        <tr r="P622" s="1"/>
      </tp>
      <tp>
        <v>0.21</v>
        <stp/>
        <stp>VEGA</stp>
        <stp>.SPY201120C355</stp>
        <tr r="P613" s="1"/>
      </tp>
      <tp>
        <v>0.21</v>
        <stp/>
        <stp>VEGA</stp>
        <stp>.SPY201120P355</stp>
        <tr r="P614" s="1"/>
      </tp>
      <tp>
        <v>0.21</v>
        <stp/>
        <stp>VEGA</stp>
        <stp>.SPY201120C354</stp>
        <tr r="P611" s="1"/>
      </tp>
      <tp>
        <v>0.21</v>
        <stp/>
        <stp>VEGA</stp>
        <stp>.SPY201120P354</stp>
        <tr r="P612" s="1"/>
      </tp>
      <tp>
        <v>0.2</v>
        <stp/>
        <stp>VEGA</stp>
        <stp>.SPY201120C357</stp>
        <tr r="P617" s="1"/>
      </tp>
      <tp>
        <v>0.2</v>
        <stp/>
        <stp>VEGA</stp>
        <stp>.SPY201120P357</stp>
        <tr r="P618" s="1"/>
      </tp>
      <tp>
        <v>0.2</v>
        <stp/>
        <stp>VEGA</stp>
        <stp>.SPY201120C356</stp>
        <tr r="P615" s="1"/>
      </tp>
      <tp>
        <v>0.2</v>
        <stp/>
        <stp>VEGA</stp>
        <stp>.SPY201120P356</stp>
        <tr r="P616" s="1"/>
      </tp>
      <tp>
        <v>0.21</v>
        <stp/>
        <stp>VEGA</stp>
        <stp>.SPY201120C353</stp>
        <tr r="P609" s="1"/>
      </tp>
      <tp>
        <v>0.21</v>
        <stp/>
        <stp>VEGA</stp>
        <stp>.SPY201120P353</stp>
        <tr r="P610" s="1"/>
      </tp>
      <tp>
        <v>7371</v>
        <stp/>
        <stp>OPEN_INT</stp>
        <stp>.EEM201120C48.5</stp>
        <tr r="G99" s="1"/>
      </tp>
      <tp t="s">
        <v>N/A</v>
        <stp/>
        <stp>OPEN_INT</stp>
        <stp>.EWW201120P38.5</stp>
        <tr r="G156" s="1"/>
      </tp>
      <tp t="s">
        <v>N/A</v>
        <stp/>
        <stp>OPEN_INT</stp>
        <stp>.EWU201120P28.5</stp>
        <tr r="G153" s="1"/>
      </tp>
      <tp>
        <v>0.18</v>
        <stp/>
        <stp>VEGA</stp>
        <stp>.SPY201118C355</stp>
        <tr r="P595" s="1"/>
      </tp>
      <tp>
        <v>0.18</v>
        <stp/>
        <stp>VEGA</stp>
        <stp>.SPY201118P355</stp>
        <tr r="P596" s="1"/>
      </tp>
      <tp>
        <v>0.18</v>
        <stp/>
        <stp>VEGA</stp>
        <stp>.SPY201118C354</stp>
        <tr r="P593" s="1"/>
      </tp>
      <tp>
        <v>0.18</v>
        <stp/>
        <stp>VEGA</stp>
        <stp>.SPY201118P354</stp>
        <tr r="P594" s="1"/>
      </tp>
      <tp>
        <v>0.17</v>
        <stp/>
        <stp>VEGA</stp>
        <stp>.SPY201118C357</stp>
        <tr r="P599" s="1"/>
      </tp>
      <tp>
        <v>0.16</v>
        <stp/>
        <stp>VEGA</stp>
        <stp>.SPY201118P357</stp>
        <tr r="P600" s="1"/>
      </tp>
      <tp>
        <v>0.17</v>
        <stp/>
        <stp>VEGA</stp>
        <stp>.SPY201118C356</stp>
        <tr r="P597" s="1"/>
      </tp>
      <tp>
        <v>0.17</v>
        <stp/>
        <stp>VEGA</stp>
        <stp>.SPY201118P356</stp>
        <tr r="P598" s="1"/>
      </tp>
      <tp>
        <v>0.18</v>
        <stp/>
        <stp>VEGA</stp>
        <stp>.SPY201118C353</stp>
        <tr r="P591" s="1"/>
      </tp>
      <tp>
        <v>0.18</v>
        <stp/>
        <stp>VEGA</stp>
        <stp>.SPY201118P353</stp>
        <tr r="P592" s="1"/>
      </tp>
      <tp>
        <v>0.14000000000000001</v>
        <stp/>
        <stp>VEGA</stp>
        <stp>.SPY201118C359</stp>
        <tr r="P603" s="1"/>
      </tp>
      <tp>
        <v>0.16</v>
        <stp/>
        <stp>VEGA</stp>
        <stp>.SPY201120C361</stp>
        <tr r="P627" s="1"/>
      </tp>
      <tp>
        <v>0.13</v>
        <stp/>
        <stp>VEGA</stp>
        <stp>.SPY201118P359</stp>
        <tr r="P604" s="1"/>
      </tp>
      <tp>
        <v>0.14000000000000001</v>
        <stp/>
        <stp>VEGA</stp>
        <stp>.SPY201120P361</stp>
        <tr r="P628" s="1"/>
      </tp>
      <tp>
        <v>0.16</v>
        <stp/>
        <stp>VEGA</stp>
        <stp>.SPY201118C358</stp>
        <tr r="P601" s="1"/>
      </tp>
      <tp>
        <v>0.17</v>
        <stp/>
        <stp>VEGA</stp>
        <stp>.SPY201120C360</stp>
        <tr r="P625" s="1"/>
      </tp>
      <tp>
        <v>0.15</v>
        <stp/>
        <stp>VEGA</stp>
        <stp>.SPY201118P358</stp>
        <tr r="P602" s="1"/>
      </tp>
      <tp>
        <v>0.16</v>
        <stp/>
        <stp>VEGA</stp>
        <stp>.SPY201120P360</stp>
        <tr r="P626" s="1"/>
      </tp>
      <tp>
        <v>6</v>
        <stp/>
        <stp>HIGH</stp>
        <stp>.DIA201120P292.5</stp>
        <tr r="J68" s="1"/>
      </tp>
      <tp t="s">
        <v>N/A</v>
        <stp/>
        <stp>STRIKE</stp>
        <stp>QLD</stp>
        <tr r="W462" s="1"/>
      </tp>
      <tp>
        <v>3.26</v>
        <stp/>
        <stp>OPEN</stp>
        <stp>.DIA201120P291</stp>
        <tr r="L64" s="1"/>
      </tp>
      <tp>
        <v>4.2</v>
        <stp/>
        <stp>OPEN</stp>
        <stp>.DIA201120C291</stp>
        <tr r="L63" s="1"/>
      </tp>
      <tp>
        <v>3.78</v>
        <stp/>
        <stp>OPEN</stp>
        <stp>.DIA201120P292</stp>
        <tr r="L66" s="1"/>
      </tp>
      <tp>
        <v>3.85</v>
        <stp/>
        <stp>OPEN</stp>
        <stp>.DIA201120C292</stp>
        <tr r="L65" s="1"/>
      </tp>
      <tp>
        <v>4.25</v>
        <stp/>
        <stp>OPEN</stp>
        <stp>.DIA201120P293</stp>
        <tr r="L70" s="1"/>
      </tp>
      <tp>
        <v>3.28</v>
        <stp/>
        <stp>OPEN</stp>
        <stp>.DIA201120C293</stp>
        <tr r="L69" s="1"/>
      </tp>
      <tp>
        <v>5</v>
        <stp/>
        <stp>OPEN</stp>
        <stp>.DIA201120P294</stp>
        <tr r="L72" s="1"/>
      </tp>
      <tp>
        <v>2.8</v>
        <stp/>
        <stp>OPEN</stp>
        <stp>.DIA201120C294</stp>
        <tr r="L71" s="1"/>
      </tp>
      <tp>
        <v>5.5</v>
        <stp/>
        <stp>OPEN</stp>
        <stp>.DIA201120P295</stp>
        <tr r="L74" s="1"/>
      </tp>
      <tp>
        <v>1.69</v>
        <stp/>
        <stp>OPEN</stp>
        <stp>.DIA201120C295</stp>
        <tr r="L73" s="1"/>
      </tp>
      <tp>
        <v>5.89</v>
        <stp/>
        <stp>OPEN</stp>
        <stp>.DIA201120P296</stp>
        <tr r="L76" s="1"/>
      </tp>
      <tp>
        <v>1.8</v>
        <stp/>
        <stp>OPEN</stp>
        <stp>.DIA201120C296</stp>
        <tr r="L75" s="1"/>
      </tp>
      <tp>
        <v>6.15</v>
        <stp/>
        <stp>OPEN</stp>
        <stp>.DIA201120P297</stp>
        <tr r="L78" s="1"/>
      </tp>
      <tp>
        <v>1.59</v>
        <stp/>
        <stp>OPEN</stp>
        <stp>.DIA201120C297</stp>
        <tr r="L77" s="1"/>
      </tp>
      <tp t="s">
        <v>N/A</v>
        <stp/>
        <stp>STRIKE</stp>
        <stp>QQQ</stp>
        <tr r="W475" s="1"/>
      </tp>
      <tp t="s">
        <v>N/A</v>
        <stp/>
        <stp>OPEN_INT</stp>
        <stp>.XLB201120P68.5</stp>
        <tr r="G789" s="1"/>
      </tp>
      <tp>
        <v>17</v>
        <stp/>
        <stp>OPEN_INT</stp>
        <stp>.XOP201120P48.5</stp>
        <tr r="G897" s="1"/>
      </tp>
      <tp>
        <v>997</v>
        <stp/>
        <stp>OPEN_INT</stp>
        <stp>.XOP201120C48.5</stp>
        <tr r="G896" s="1"/>
      </tp>
      <tp>
        <v>28</v>
        <stp/>
        <stp>OPEN_INT</stp>
        <stp>.XLB201120C68.5</stp>
        <tr r="G788" s="1"/>
      </tp>
      <tp>
        <v>0.56999999999999995</v>
        <stp/>
        <stp>LAST</stp>
        <stp>.TLT201120P156.5</stp>
        <tr r="E697" s="1"/>
      </tp>
      <tp>
        <v>1901052</v>
        <stp/>
        <stp>VOLUME</stp>
        <stp>MUB</stp>
        <tr r="F435" s="1"/>
      </tp>
      <tp t="s">
        <v>N/A</v>
        <stp/>
        <stp>VEGA</stp>
        <stp>.DIA201120C292.5</stp>
        <tr r="P67" s="1"/>
      </tp>
      <tp t="s">
        <v>N/A</v>
        <stp/>
        <stp>OPEN</stp>
        <stp>.MUB201120C116</stp>
        <tr r="L436" s="1"/>
      </tp>
      <tp t="s">
        <v>N/A</v>
        <stp/>
        <stp>OPEN</stp>
        <stp>.MUB201120P116</stp>
        <tr r="L437" s="1"/>
      </tp>
      <tp t="s">
        <v>N/A</v>
        <stp/>
        <stp>OPEN</stp>
        <stp>.EMB201120P114</stp>
        <tr r="L113" s="1"/>
      </tp>
      <tp>
        <v>0.35</v>
        <stp/>
        <stp>OPEN</stp>
        <stp>.EMB201120C114</stp>
        <tr r="L112" s="1"/>
      </tp>
      <tp t="s">
        <v>N/A</v>
        <stp/>
        <stp>OPEN</stp>
        <stp>.IBB201120P139</stp>
        <tr r="L234" s="1"/>
      </tp>
      <tp>
        <v>3</v>
        <stp/>
        <stp>OPEN</stp>
        <stp>.IBB201120C139</stp>
        <tr r="L233" s="1"/>
      </tp>
      <tp t="s">
        <v>N/A</v>
        <stp/>
        <stp>OPEN</stp>
        <stp>.IBB201120P138</stp>
        <tr r="L230" s="1"/>
      </tp>
      <tp t="s">
        <v>N/A</v>
        <stp/>
        <stp>OPEN</stp>
        <stp>.IBB201120C138</stp>
        <tr r="L229" s="1"/>
      </tp>
      <tp>
        <v>0</v>
        <stp/>
        <stp>OPEN</stp>
        <stp>.IBB201120P141</stp>
        <tr r="L242" s="1"/>
      </tp>
      <tp t="s">
        <v>N/A</v>
        <stp/>
        <stp>OPEN</stp>
        <stp>.IBB201120C141</stp>
        <tr r="L241" s="1"/>
      </tp>
      <tp t="s">
        <v>N/A</v>
        <stp/>
        <stp>OPEN</stp>
        <stp>.IBB201120P140</stp>
        <tr r="L238" s="1"/>
      </tp>
      <tp t="s">
        <v>N/A</v>
        <stp/>
        <stp>OPEN</stp>
        <stp>.IBB201120C140</stp>
        <tr r="L237" s="1"/>
      </tp>
      <tp>
        <v>3.85</v>
        <stp/>
        <stp>HIGH</stp>
        <stp>.DIA201120C292.5</stp>
        <tr r="J67" s="1"/>
      </tp>
      <tp t="s">
        <v>N/A</v>
        <stp/>
        <stp>THETA</stp>
        <stp>.XBI201120P125</stp>
        <tr r="O777" s="1"/>
      </tp>
      <tp t="s">
        <v>N/A</v>
        <stp/>
        <stp>THETA</stp>
        <stp>.XBI201120C125</stp>
        <tr r="O776" s="1"/>
      </tp>
      <tp t="s">
        <v>N/A</v>
        <stp/>
        <stp>THETA</stp>
        <stp>.XBI201120P124</stp>
        <tr r="O773" s="1"/>
      </tp>
      <tp t="s">
        <v>N/A</v>
        <stp/>
        <stp>THETA</stp>
        <stp>.XBI201120C124</stp>
        <tr r="O772" s="1"/>
      </tp>
      <tp t="s">
        <v>N/A</v>
        <stp/>
        <stp>THETA</stp>
        <stp>.XBI201120P123</stp>
        <tr r="O769" s="1"/>
      </tp>
      <tp t="s">
        <v>N/A</v>
        <stp/>
        <stp>THETA</stp>
        <stp>.XBI201120C123</stp>
        <tr r="O768" s="1"/>
      </tp>
      <tp t="s">
        <v>N/A</v>
        <stp/>
        <stp>THETA</stp>
        <stp>.XBI201120P122</stp>
        <tr r="O765" s="1"/>
      </tp>
      <tp t="s">
        <v>N/A</v>
        <stp/>
        <stp>THETA</stp>
        <stp>.XBI201120C122</stp>
        <tr r="O764" s="1"/>
      </tp>
      <tp t="s">
        <v>N/A</v>
        <stp/>
        <stp>DELTA</stp>
        <stp>.IWD201120P130</stp>
        <tr r="M339" s="1"/>
      </tp>
      <tp t="s">
        <v>N/A</v>
        <stp/>
        <stp>DELTA</stp>
        <stp>.LQD201120P135</stp>
        <tr r="M408" s="1"/>
      </tp>
      <tp t="s">
        <v>N/A</v>
        <stp/>
        <stp>DELTA</stp>
        <stp>.IWD201120C130</stp>
        <tr r="M338" s="1"/>
      </tp>
      <tp t="s">
        <v>N/A</v>
        <stp/>
        <stp>DELTA</stp>
        <stp>.LQD201120C135</stp>
        <tr r="M407" s="1"/>
      </tp>
      <tp t="s">
        <v>N/A</v>
        <stp/>
        <stp>DELTA</stp>
        <stp>.IWD201120P128</stp>
        <tr r="M335" s="1"/>
      </tp>
      <tp t="s">
        <v>N/A</v>
        <stp/>
        <stp>DELTA</stp>
        <stp>.IWD201120C128</stp>
        <tr r="M334" s="1"/>
      </tp>
      <tp t="s">
        <v>N/A</v>
        <stp/>
        <stp>DELTA</stp>
        <stp>.IWD201120P129</stp>
        <tr r="M337" s="1"/>
      </tp>
      <tp t="s">
        <v>N/A</v>
        <stp/>
        <stp>DELTA</stp>
        <stp>.IWD201120C129</stp>
        <tr r="M336" s="1"/>
      </tp>
      <tp t="s">
        <v>N/A</v>
        <stp/>
        <stp>THETA</stp>
        <stp>.VTI201120C181</stp>
        <tr r="O740" s="1"/>
      </tp>
      <tp t="s">
        <v>N/A</v>
        <stp/>
        <stp>THETA</stp>
        <stp>.VTI201120P181</stp>
        <tr r="O741" s="1"/>
      </tp>
      <tp t="s">
        <v>N/A</v>
        <stp/>
        <stp>THETA</stp>
        <stp>.VTI201120C183</stp>
        <tr r="O744" s="1"/>
      </tp>
      <tp t="s">
        <v>N/A</v>
        <stp/>
        <stp>THETA</stp>
        <stp>.VTI201120P183</stp>
        <tr r="O745" s="1"/>
      </tp>
      <tp t="s">
        <v>N/A</v>
        <stp/>
        <stp>THETA</stp>
        <stp>.VTI201120C182</stp>
        <tr r="O742" s="1"/>
      </tp>
      <tp t="s">
        <v>N/A</v>
        <stp/>
        <stp>THETA</stp>
        <stp>.VTI201120P182</stp>
        <tr r="O743" s="1"/>
      </tp>
      <tp t="s">
        <v>N/A</v>
        <stp/>
        <stp>THETA</stp>
        <stp>.VTI201120C184</stp>
        <tr r="O746" s="1"/>
      </tp>
      <tp t="s">
        <v>N/A</v>
        <stp/>
        <stp>THETA</stp>
        <stp>.VTI201120P184</stp>
        <tr r="O747" s="1"/>
      </tp>
      <tp t="s">
        <v>N/A</v>
        <stp/>
        <stp>DELTA</stp>
        <stp>.QLD201120C100</stp>
        <tr r="M471" s="1"/>
      </tp>
      <tp t="s">
        <v>N/A</v>
        <stp/>
        <stp>DELTA</stp>
        <stp>.QLD201120P100</stp>
        <tr r="M472" s="1"/>
      </tp>
      <tp t="s">
        <v>N/A</v>
        <stp/>
        <stp>DELTA</stp>
        <stp>.QLD201120C101</stp>
        <tr r="M473" s="1"/>
      </tp>
      <tp t="s">
        <v>N/A</v>
        <stp/>
        <stp>DELTA</stp>
        <stp>.QLD201120P101</stp>
        <tr r="M474" s="1"/>
      </tp>
      <tp>
        <v>0</v>
        <stp/>
        <stp>RHO</stp>
        <stp>PXH</stp>
        <tr r="Q457" s="1"/>
      </tp>
      <tp>
        <v>0</v>
        <stp/>
        <stp>RHO</stp>
        <stp>PGX</stp>
        <tr r="Q454" s="1"/>
      </tp>
      <tp>
        <v>0</v>
        <stp/>
        <stp>RHO</stp>
        <stp>DFEN</stp>
        <tr r="Q54" s="1"/>
      </tp>
      <tp>
        <v>49.22</v>
        <stp/>
        <stp>BID</stp>
        <stp>IGIB</stp>
        <tr r="H261" s="1"/>
      </tp>
      <tp>
        <v>69.59</v>
        <stp/>
        <stp>BID</stp>
        <stp>VGIT</stp>
        <tr r="H718" s="1"/>
      </tp>
      <tp>
        <v>1.02</v>
        <stp/>
        <stp>OPEN</stp>
        <stp>.GDXJ201120P52.5</stp>
        <tr r="L206" s="1"/>
      </tp>
      <tp>
        <v>83.045000000000002</v>
        <stp/>
        <stp>LOW</stp>
        <stp>AAXJ</stp>
        <tr r="K2" s="1"/>
      </tp>
      <tp>
        <v>2.2400000000000002</v>
        <stp/>
        <stp>OPEN</stp>
        <stp>.GDXJ201120C52.5</stp>
        <tr r="L205" s="1"/>
      </tp>
      <tp t="s">
        <v>N/A</v>
        <stp/>
        <stp>DESCRIPTION</stp>
        <stp>AMLP</stp>
        <tr r="B18" s="1"/>
      </tp>
      <tp t="s">
        <v>N/A</v>
        <stp/>
        <stp>DESCRIPTION</stp>
        <stp>EMLC</stp>
        <tr r="B114" s="1"/>
      </tp>
      <tp>
        <v>38.08</v>
        <stp/>
        <stp>HIGH</stp>
        <stp>GDX</stp>
        <tr r="J195" s="1"/>
      </tp>
      <tp>
        <v>0</v>
        <stp/>
        <stp>VEGA</stp>
        <stp>KBE</stp>
        <tr r="P385" s="1"/>
      </tp>
      <tp>
        <v>42.37</v>
        <stp/>
        <stp>LOW</stp>
        <stp>NAIL</stp>
        <tr r="K438" s="1"/>
      </tp>
      <tp>
        <v>0</v>
        <stp/>
        <stp>VEGA</stp>
        <stp>KRE</stp>
        <tr r="P388" s="1"/>
      </tp>
      <tp>
        <v>41.92</v>
        <stp/>
        <stp>BID</stp>
        <stp>DGRO</stp>
        <tr r="H59" s="1"/>
      </tp>
      <tp>
        <v>4.25</v>
        <stp/>
        <stp>HIGH</stp>
        <stp>.QLD201120P101</stp>
        <tr r="J474" s="1"/>
      </tp>
      <tp>
        <v>2</v>
        <stp/>
        <stp>HIGH</stp>
        <stp>.QLD201120C101</stp>
        <tr r="J473" s="1"/>
      </tp>
      <tp>
        <v>4.62</v>
        <stp/>
        <stp>HIGH</stp>
        <stp>.QLD201120P100</stp>
        <tr r="J472" s="1"/>
      </tp>
      <tp>
        <v>2.7</v>
        <stp/>
        <stp>HIGH</stp>
        <stp>.QLD201120C100</stp>
        <tr r="J471" s="1"/>
      </tp>
      <tp t="s">
        <v>N/A</v>
        <stp/>
        <stp>HIGH</stp>
        <stp>.IWD201120C129</stp>
        <tr r="J336" s="1"/>
      </tp>
      <tp t="s">
        <v>N/A</v>
        <stp/>
        <stp>HIGH</stp>
        <stp>.IWD201120P129</stp>
        <tr r="J337" s="1"/>
      </tp>
      <tp t="s">
        <v>N/A</v>
        <stp/>
        <stp>HIGH</stp>
        <stp>.IWD201120C128</stp>
        <tr r="J334" s="1"/>
      </tp>
      <tp t="s">
        <v>N/A</v>
        <stp/>
        <stp>HIGH</stp>
        <stp>.IWD201120P128</stp>
        <tr r="J335" s="1"/>
      </tp>
      <tp t="s">
        <v>N/A</v>
        <stp/>
        <stp>HIGH</stp>
        <stp>.LQD201120C135</stp>
        <tr r="J407" s="1"/>
      </tp>
      <tp>
        <v>0.63</v>
        <stp/>
        <stp>HIGH</stp>
        <stp>.IWD201120C130</stp>
        <tr r="J338" s="1"/>
      </tp>
      <tp>
        <v>0.47</v>
        <stp/>
        <stp>HIGH</stp>
        <stp>.LQD201120P135</stp>
        <tr r="J408" s="1"/>
      </tp>
      <tp t="s">
        <v>N/A</v>
        <stp/>
        <stp>HIGH</stp>
        <stp>.IWD201120P130</stp>
        <tr r="J339" s="1"/>
      </tp>
      <tp t="s">
        <v>N/A</v>
        <stp/>
        <stp>STRIKE</stp>
        <stp>PGX</stp>
        <tr r="W454" s="1"/>
      </tp>
      <tp>
        <v>0.88600000000000001</v>
        <stp/>
        <stp>PUT_CALL_RATIO</stp>
        <stp>VYM</stp>
        <tr r="C758" s="1"/>
      </tp>
      <tp>
        <v>6.15</v>
        <stp/>
        <stp>LAST</stp>
        <stp>.QQQ201120P292.5</stp>
        <tr r="E493" s="1"/>
      </tp>
      <tp t="s">
        <v>N/A</v>
        <stp/>
        <stp>OPEN_INT</stp>
        <stp>.EWW201120C39.5</stp>
        <tr r="G159" s="1"/>
      </tp>
      <tp t="s">
        <v>N/A</v>
        <stp/>
        <stp>OPEN_INT</stp>
        <stp>.EFA201120P69.5</stp>
        <tr r="G105" s="1"/>
      </tp>
      <tp t="s">
        <v>N/A</v>
        <stp/>
        <stp>OPEN_INT</stp>
        <stp>.EFA201120C69.5</stp>
        <tr r="G104" s="1"/>
      </tp>
      <tp t="s">
        <v>N/A</v>
        <stp/>
        <stp>OPEN_INT</stp>
        <stp>.EWW201120P39.5</stp>
        <tr r="G160" s="1"/>
      </tp>
      <tp>
        <v>0.63500000000000001</v>
        <stp/>
        <stp>PUT_CALL_RATIO</stp>
        <stp>VWO</stp>
        <tr r="C748" s="1"/>
      </tp>
      <tp>
        <v>0</v>
        <stp/>
        <stp>THETA</stp>
        <stp>INDY</stp>
        <tr r="O285" s="1"/>
      </tp>
      <tp>
        <v>2</v>
        <stp/>
        <stp>OPEN_INT</stp>
        <stp>.FEZ201120P39.5</stp>
        <tr r="G182" s="1"/>
      </tp>
      <tp t="s">
        <v>N/A</v>
        <stp/>
        <stp>OPEN_INT</stp>
        <stp>.FEZ201120C39.5</stp>
        <tr r="G181" s="1"/>
      </tp>
      <tp>
        <v>0</v>
        <stp/>
        <stp>THETA</stp>
        <stp>INDA</stp>
        <tr r="O280" s="1"/>
      </tp>
      <tp>
        <v>0.57499999999999996</v>
        <stp/>
        <stp>PUT_CALL_RATIO</stp>
        <stp>VTI</stp>
        <tr r="C739" s="1"/>
      </tp>
      <tp>
        <v>3.6259999999999999</v>
        <stp/>
        <stp>PUT_CALL_RATIO</stp>
        <stp>VNQ</stp>
        <tr r="C724" s="1"/>
      </tp>
      <tp>
        <v>2.1760000000000002</v>
        <stp/>
        <stp>PUT_CALL_RATIO</stp>
        <stp>VOO</stp>
        <tr r="C729" s="1"/>
      </tp>
      <tp>
        <v>16891516</v>
        <stp/>
        <stp>VOLUME</stp>
        <stp>LQD</stp>
        <tr r="F404" s="1"/>
      </tp>
      <tp t="s">
        <v>N/A</v>
        <stp/>
        <stp>OPEN_INT</stp>
        <stp>.XLB201120P69.5</stp>
        <tr r="G793" s="1"/>
      </tp>
      <tp>
        <v>2</v>
        <stp/>
        <stp>OPEN_INT</stp>
        <stp>.XOP201120P49.5</stp>
        <tr r="G901" s="1"/>
      </tp>
      <tp t="s">
        <v>N/A</v>
        <stp/>
        <stp>OPEN_INT</stp>
        <stp>.XOP201120C49.5</stp>
        <tr r="G900" s="1"/>
      </tp>
      <tp>
        <v>23</v>
        <stp/>
        <stp>OPEN_INT</stp>
        <stp>.XLB201120C69.5</stp>
        <tr r="G792" s="1"/>
      </tp>
      <tp>
        <v>0</v>
        <stp/>
        <stp>GAMMA</stp>
        <stp>KWEB</stp>
        <tr r="N397" s="1"/>
      </tp>
      <tp>
        <v>0.64700000000000002</v>
        <stp/>
        <stp>PUT_CALL_RATIO</stp>
        <stp>VFH</stp>
        <tr r="C713" s="1"/>
      </tp>
      <tp>
        <v>0.66300000000000003</v>
        <stp/>
        <stp>PUT_CALL_RATIO</stp>
        <stp>VGK</stp>
        <tr r="C721" s="1"/>
      </tp>
      <tp>
        <v>1</v>
        <stp/>
        <stp>DELTA</stp>
        <stp>INDY</stp>
        <tr r="M285" s="1"/>
      </tp>
      <tp>
        <v>1</v>
        <stp/>
        <stp>DELTA</stp>
        <stp>INDA</stp>
        <tr r="M280" s="1"/>
      </tp>
      <tp>
        <v>2.87</v>
        <stp/>
        <stp>LAST</stp>
        <stp>.QQQ201120C292.5</stp>
        <tr r="E492" s="1"/>
      </tp>
      <tp>
        <v>0.1</v>
        <stp/>
        <stp>PUT_CALL_RATIO</stp>
        <stp>VEU</stp>
        <tr r="C710" s="1"/>
      </tp>
      <tp t="s">
        <v>N/A</v>
        <stp/>
        <stp>STRIKE</stp>
        <stp>PXH</stp>
        <tr r="W457" s="1"/>
      </tp>
      <tp>
        <v>1</v>
        <stp/>
        <stp>PUT_CALL_RATIO</stp>
        <stp>VEA</stp>
        <tr r="C707" s="1"/>
      </tp>
      <tp t="s">
        <v>N/A</v>
        <stp/>
        <stp>DELTA</stp>
        <stp>.IWF201120P225</stp>
        <tr r="M342" s="1"/>
      </tp>
      <tp t="s">
        <v>N/A</v>
        <stp/>
        <stp>DELTA</stp>
        <stp>.IWF201120C225</stp>
        <tr r="M341" s="1"/>
      </tp>
      <tp t="s">
        <v>N/A</v>
        <stp/>
        <stp>DELTA</stp>
        <stp>.IVE201120P122</stp>
        <tr r="M306" s="1"/>
      </tp>
      <tp t="s">
        <v>N/A</v>
        <stp/>
        <stp>DELTA</stp>
        <stp>.IVE201120C122</stp>
        <tr r="M305" s="1"/>
      </tp>
      <tp t="s">
        <v>N/A</v>
        <stp/>
        <stp>DELTA</stp>
        <stp>.IVE201120P123</stp>
        <tr r="M308" s="1"/>
      </tp>
      <tp t="s">
        <v>N/A</v>
        <stp/>
        <stp>DELTA</stp>
        <stp>.IVE201120C123</stp>
        <tr r="M307" s="1"/>
      </tp>
      <tp t="s">
        <v>N/A</v>
        <stp/>
        <stp>DELTA</stp>
        <stp>.IVE201120P121</stp>
        <tr r="M304" s="1"/>
      </tp>
      <tp t="s">
        <v>N/A</v>
        <stp/>
        <stp>DELTA</stp>
        <stp>.IVE201120C121</stp>
        <tr r="M303" s="1"/>
      </tp>
      <tp t="s">
        <v>N/A</v>
        <stp/>
        <stp>THETA</stp>
        <stp>.SMH201120P194</stp>
        <tr r="O559" s="1"/>
      </tp>
      <tp t="s">
        <v>N/A</v>
        <stp/>
        <stp>THETA</stp>
        <stp>.SMH201120C194</stp>
        <tr r="O558" s="1"/>
      </tp>
      <tp t="s">
        <v>N/A</v>
        <stp/>
        <stp>THETA</stp>
        <stp>.SMH201120P195</stp>
        <tr r="O563" s="1"/>
      </tp>
      <tp t="s">
        <v>N/A</v>
        <stp/>
        <stp>THETA</stp>
        <stp>.SMH201120C195</stp>
        <tr r="O562" s="1"/>
      </tp>
      <tp t="s">
        <v>N/A</v>
        <stp/>
        <stp>THETA</stp>
        <stp>.SMH201120P196</stp>
        <tr r="O567" s="1"/>
      </tp>
      <tp t="s">
        <v>N/A</v>
        <stp/>
        <stp>THETA</stp>
        <stp>.SMH201120C196</stp>
        <tr r="O566" s="1"/>
      </tp>
      <tp t="s">
        <v>N/A</v>
        <stp/>
        <stp>THETA</stp>
        <stp>.SMH201120P197</stp>
        <tr r="O571" s="1"/>
      </tp>
      <tp t="s">
        <v>N/A</v>
        <stp/>
        <stp>THETA</stp>
        <stp>.SMH201120C197</stp>
        <tr r="O570" s="1"/>
      </tp>
      <tp t="s">
        <v>N/A</v>
        <stp/>
        <stp>THETA</stp>
        <stp>.SMH201120P193</stp>
        <tr r="O555" s="1"/>
      </tp>
      <tp t="s">
        <v>N/A</v>
        <stp/>
        <stp>THETA</stp>
        <stp>.SMH201120C193</stp>
        <tr r="O554" s="1"/>
      </tp>
      <tp t="s">
        <v>N/A</v>
        <stp/>
        <stp>THETA</stp>
        <stp>.SMH201120P198</stp>
        <tr r="O575" s="1"/>
      </tp>
      <tp t="s">
        <v>N/A</v>
        <stp/>
        <stp>THETA</stp>
        <stp>.SMH201120C198</stp>
        <tr r="O574" s="1"/>
      </tp>
      <tp>
        <v>0</v>
        <stp/>
        <stp>RHO</stp>
        <stp>SSO</stp>
        <tr r="Q642" s="1"/>
      </tp>
      <tp>
        <v>115.88</v>
        <stp/>
        <stp>LOW</stp>
        <stp>MUB</stp>
        <tr r="K435" s="1"/>
      </tp>
      <tp>
        <v>0</v>
        <stp/>
        <stp>RHO</stp>
        <stp>SPY</stp>
        <tr r="Q590" s="1"/>
      </tp>
      <tp>
        <v>0</v>
        <stp/>
        <stp>RHO</stp>
        <stp>SMH</stp>
        <tr r="Q551" s="1"/>
      </tp>
      <tp>
        <v>0</v>
        <stp/>
        <stp>RHO</stp>
        <stp>SHY</stp>
        <tr r="Q545" s="1"/>
      </tp>
      <tp>
        <v>0</v>
        <stp/>
        <stp>RHO</stp>
        <stp>SDS</stp>
        <tr r="Q537" s="1"/>
      </tp>
      <tp>
        <v>374.72</v>
        <stp/>
        <stp>LOW</stp>
        <stp>MDY</stp>
        <tr r="K414" s="1"/>
      </tp>
      <tp>
        <v>0</v>
        <stp/>
        <stp>RHO</stp>
        <stp>SCZ</stp>
        <tr r="Q534" s="1"/>
      </tp>
      <tp>
        <v>0</v>
        <stp/>
        <stp>RHO</stp>
        <stp>IEFA</stp>
        <tr r="Q251" s="1"/>
      </tp>
      <tp t="s">
        <v>N/A</v>
        <stp/>
        <stp>DESCRIPTION</stp>
        <stp>INDY</stp>
        <tr r="B285" s="1"/>
      </tp>
      <tp>
        <v>1.42</v>
        <stp/>
        <stp>HIGH</stp>
        <stp>.GDXJ201120P53.5</stp>
        <tr r="J210" s="1"/>
      </tp>
      <tp>
        <v>1.9</v>
        <stp/>
        <stp>HIGH</stp>
        <stp>.GDXJ201120C53.5</stp>
        <tr r="J209" s="1"/>
      </tp>
      <tp t="s">
        <v>N/A</v>
        <stp/>
        <stp>DESCRIPTION</stp>
        <stp>INDA</stp>
        <tr r="B280" s="1"/>
      </tp>
      <tp>
        <v>293.32</v>
        <stp/>
        <stp>HIGH</stp>
        <stp>DIA</stp>
        <tr r="J62" s="1"/>
      </tp>
      <tp t="s">
        <v>N/A</v>
        <stp/>
        <stp>VEGA</stp>
        <stp>.GDXJ201120C53.5</stp>
        <tr r="P209" s="1"/>
      </tp>
      <tp t="s">
        <v>N/A</v>
        <stp/>
        <stp>VEGA</stp>
        <stp>.GDXJ201120P53.5</stp>
        <tr r="P210" s="1"/>
      </tp>
      <tp>
        <v>135.6</v>
        <stp/>
        <stp>LAST</stp>
        <stp>LQD</stp>
        <tr r="E404" s="1"/>
      </tp>
      <tp>
        <v>0</v>
        <stp/>
        <stp>RHO</stp>
        <stp>IEMG</stp>
        <tr r="Q256" s="1"/>
      </tp>
      <tp>
        <v>13.5</v>
        <stp/>
        <stp>BID</stp>
        <stp>PDBC</stp>
        <tr r="H451" s="1"/>
      </tp>
      <tp t="s">
        <v>N/A</v>
        <stp/>
        <stp>OPEN</stp>
        <stp>.ASHR201120C37.5</stp>
        <tr r="L44" s="1"/>
      </tp>
      <tp t="s">
        <v>N/A</v>
        <stp/>
        <stp>OPEN</stp>
        <stp>.ASHR201120P37.5</stp>
        <tr r="L45" s="1"/>
      </tp>
      <tp>
        <v>0</v>
        <stp/>
        <stp>RHO</stp>
        <stp>JETS</stp>
        <tr r="Q375" s="1"/>
      </tp>
      <tp>
        <v>53.25</v>
        <stp/>
        <stp>BID</stp>
        <stp>GDXJ</stp>
        <tr r="H202" s="1"/>
      </tp>
      <tp>
        <v>14.15</v>
        <stp/>
        <stp>HIGH</stp>
        <stp>DXD</stp>
        <tr r="J91" s="1"/>
      </tp>
      <tp>
        <v>0</v>
        <stp/>
        <stp>VEGA</stp>
        <stp>HYG</stp>
        <tr r="P220" s="1"/>
      </tp>
      <tp>
        <v>90.874399999999994</v>
        <stp/>
        <stp>HIGH</stp>
        <stp>DVY</stp>
        <tr r="J84" s="1"/>
      </tp>
      <tp t="s">
        <v>N/A</v>
        <stp/>
        <stp>IMPL_VOL</stp>
        <stp>.XLB201120C68.5</stp>
        <tr r="D788" s="1"/>
      </tp>
      <tp t="s">
        <v>N/A</v>
        <stp/>
        <stp>IMPL_VOL</stp>
        <stp>.XOP201120C48.5</stp>
        <tr r="D896" s="1"/>
      </tp>
      <tp t="s">
        <v>N/A</v>
        <stp/>
        <stp>IMPL_VOL</stp>
        <stp>.XOP201120P48.5</stp>
        <tr r="D897" s="1"/>
      </tp>
      <tp t="s">
        <v>N/A</v>
        <stp/>
        <stp>IMPL_VOL</stp>
        <stp>.XLB201120P68.5</stp>
        <tr r="D789" s="1"/>
      </tp>
      <tp t="s">
        <v>N/A</v>
        <stp/>
        <stp>STRIKE</stp>
        <stp>SCZ</stp>
        <tr r="W534" s="1"/>
      </tp>
      <tp t="s">
        <v>N/A</v>
        <stp/>
        <stp>HIGH</stp>
        <stp>.AGG201120P117</stp>
        <tr r="J17" s="1"/>
      </tp>
      <tp t="s">
        <v>N/A</v>
        <stp/>
        <stp>HIGH</stp>
        <stp>.AGG201120C117</stp>
        <tr r="J16" s="1"/>
      </tp>
      <tp>
        <v>0</v>
        <stp/>
        <stp>THETA</stp>
        <stp>AMLP</stp>
        <tr r="O18" s="1"/>
      </tp>
      <tp>
        <v>0</v>
        <stp/>
        <stp>THETA</stp>
        <stp>EMLC</stp>
        <tr r="O114" s="1"/>
      </tp>
      <tp t="s">
        <v>N/A</v>
        <stp/>
        <stp>IMPL_VOL</stp>
        <stp>.MJ201120P13</stp>
        <tr r="D425" s="1"/>
      </tp>
      <tp>
        <v>3</v>
        <stp/>
        <stp>LAST</stp>
        <stp>.SMH201120C193.5</stp>
        <tr r="E556" s="1"/>
      </tp>
      <tp t="s">
        <v>N/A</v>
        <stp/>
        <stp>PROB_OF_TOUCHING</stp>
        <stp>.SH201120C19</stp>
        <tr r="V543" s="1"/>
      </tp>
      <tp t="s">
        <v>N/A</v>
        <stp/>
        <stp>STRIKE</stp>
        <stp>SDS</stp>
        <tr r="W537" s="1"/>
      </tp>
      <tp>
        <v>0</v>
        <stp/>
        <stp>GAMMA</stp>
        <stp>MTUM</stp>
        <tr r="N426" s="1"/>
      </tp>
      <tp t="s">
        <v>N/A</v>
        <stp/>
        <stp>VEGA</stp>
        <stp>.XLY201120P154</stp>
        <tr r="P879" s="1"/>
      </tp>
      <tp t="s">
        <v>N/A</v>
        <stp/>
        <stp>VEGA</stp>
        <stp>.XLY201120C154</stp>
        <tr r="P878" s="1"/>
      </tp>
      <tp t="s">
        <v>N/A</v>
        <stp/>
        <stp>VEGA</stp>
        <stp>.XLY201120P155</stp>
        <tr r="P883" s="1"/>
      </tp>
      <tp t="s">
        <v>N/A</v>
        <stp/>
        <stp>VEGA</stp>
        <stp>.XLY201120C155</stp>
        <tr r="P882" s="1"/>
      </tp>
      <tp t="s">
        <v>N/A</v>
        <stp/>
        <stp>VEGA</stp>
        <stp>.XLY201120P152</stp>
        <tr r="P871" s="1"/>
      </tp>
      <tp t="s">
        <v>N/A</v>
        <stp/>
        <stp>VEGA</stp>
        <stp>.XLY201120C152</stp>
        <tr r="P870" s="1"/>
      </tp>
      <tp t="s">
        <v>N/A</v>
        <stp/>
        <stp>VEGA</stp>
        <stp>.XLY201120P153</stp>
        <tr r="P875" s="1"/>
      </tp>
      <tp t="s">
        <v>N/A</v>
        <stp/>
        <stp>VEGA</stp>
        <stp>.XLY201120C153</stp>
        <tr r="P874" s="1"/>
      </tp>
      <tp>
        <v>4</v>
        <stp/>
        <stp>OPEN</stp>
        <stp>.DIA201120P292.5</stp>
        <tr r="L68" s="1"/>
      </tp>
      <tp t="s">
        <v>N/A</v>
        <stp/>
        <stp>STRIKE</stp>
        <stp>SHY</stp>
        <tr r="W545" s="1"/>
      </tp>
      <tp t="s">
        <v>N/A</v>
        <stp/>
        <stp>PROB_OF_TOUCHING</stp>
        <stp>.XLB201120C68.5</stp>
        <tr r="V788" s="1"/>
      </tp>
      <tp t="s">
        <v>N/A</v>
        <stp/>
        <stp>PROB_OF_TOUCHING</stp>
        <stp>.XOP201120C48.5</stp>
        <tr r="V896" s="1"/>
      </tp>
      <tp t="s">
        <v>N/A</v>
        <stp/>
        <stp>PROB_OF_TOUCHING</stp>
        <stp>.XOP201120P48.5</stp>
        <tr r="V897" s="1"/>
      </tp>
      <tp t="s">
        <v>N/A</v>
        <stp/>
        <stp>PROB_OF_TOUCHING</stp>
        <stp>.XLB201120P68.5</stp>
        <tr r="V789" s="1"/>
      </tp>
      <tp t="s">
        <v>N/A</v>
        <stp/>
        <stp>STRIKE</stp>
        <stp>SMH</stp>
        <tr r="W551" s="1"/>
      </tp>
      <tp t="s">
        <v>N/A</v>
        <stp/>
        <stp>PROB_OF_TOUCHING</stp>
        <stp>.EWU201120P28.5</stp>
        <tr r="V153" s="1"/>
      </tp>
      <tp t="s">
        <v>N/A</v>
        <stp/>
        <stp>PROB_OF_TOUCHING</stp>
        <stp>.EWW201120P38.5</stp>
        <tr r="V156" s="1"/>
      </tp>
      <tp t="s">
        <v>N/A</v>
        <stp/>
        <stp>PROB_OF_TOUCHING</stp>
        <stp>.EEM201120C48.5</stp>
        <tr r="V99" s="1"/>
      </tp>
      <tp t="s">
        <v>N/A</v>
        <stp/>
        <stp>PROB_OF_TOUCHING</stp>
        <stp>.EEM201120P48.5</stp>
        <tr r="V100" s="1"/>
      </tp>
      <tp t="s">
        <v>N/A</v>
        <stp/>
        <stp>PROB_OF_TOUCHING</stp>
        <stp>.EWU201120C28.5</stp>
        <tr r="V152" s="1"/>
      </tp>
      <tp t="s">
        <v>N/A</v>
        <stp/>
        <stp>PROB_OF_TOUCHING</stp>
        <stp>.EWW201120C38.5</stp>
        <tr r="V155" s="1"/>
      </tp>
      <tp t="s">
        <v>N/A</v>
        <stp/>
        <stp>STRIKE</stp>
        <stp>SSO</stp>
        <tr r="W642" s="1"/>
      </tp>
      <tp>
        <v>1</v>
        <stp/>
        <stp>DELTA</stp>
        <stp>AMLP</stp>
        <tr r="M18" s="1"/>
      </tp>
      <tp>
        <v>0</v>
        <stp/>
        <stp>GAMMA</stp>
        <stp>ITOT</stp>
        <tr r="N297" s="1"/>
      </tp>
      <tp>
        <v>1</v>
        <stp/>
        <stp>DELTA</stp>
        <stp>EMLC</stp>
        <tr r="M114" s="1"/>
      </tp>
      <tp t="s">
        <v>N/A</v>
        <stp/>
        <stp>STRIKE</stp>
        <stp>SPY</stp>
        <tr r="W590" s="1"/>
      </tp>
      <tp>
        <v>2.31</v>
        <stp/>
        <stp>LAST</stp>
        <stp>.SMH201120P193.5</stp>
        <tr r="E557" s="1"/>
      </tp>
      <tp t="s">
        <v>N/A</v>
        <stp/>
        <stp>PROB_OF_EXPIRING</stp>
        <stp>.VT201120C87</stp>
        <tr r="T737" s="1"/>
      </tp>
      <tp t="s">
        <v>N/A</v>
        <stp/>
        <stp>PROB_OF_EXPIRING</stp>
        <stp>.VT201120C86</stp>
        <tr r="T735" s="1"/>
      </tp>
      <tp>
        <v>3.5</v>
        <stp/>
        <stp>OPEN</stp>
        <stp>.DIA201120C292.5</stp>
        <tr r="L67" s="1"/>
      </tp>
      <tp t="s">
        <v>N/A</v>
        <stp/>
        <stp>IMPL_VOL</stp>
        <stp>.EEM201120C48.5</stp>
        <tr r="D99" s="1"/>
      </tp>
      <tp t="s">
        <v>N/A</v>
        <stp/>
        <stp>IMPL_VOL</stp>
        <stp>.EWU201120P28.5</stp>
        <tr r="D153" s="1"/>
      </tp>
      <tp t="s">
        <v>N/A</v>
        <stp/>
        <stp>IMPL_VOL</stp>
        <stp>.EWW201120P38.5</stp>
        <tr r="D156" s="1"/>
      </tp>
      <tp t="s">
        <v>N/A</v>
        <stp/>
        <stp>IMPL_VOL</stp>
        <stp>.EWU201120C28.5</stp>
        <tr r="D152" s="1"/>
      </tp>
      <tp t="s">
        <v>N/A</v>
        <stp/>
        <stp>IMPL_VOL</stp>
        <stp>.EWW201120C38.5</stp>
        <tr r="D155" s="1"/>
      </tp>
      <tp t="s">
        <v>N/A</v>
        <stp/>
        <stp>IMPL_VOL</stp>
        <stp>.EEM201120P48.5</stp>
        <tr r="D100" s="1"/>
      </tp>
      <tp t="s">
        <v>N/A</v>
        <stp/>
        <stp>THETA</stp>
        <stp>.XLK201120P123</stp>
        <tr r="O840" s="1"/>
      </tp>
      <tp t="s">
        <v>N/A</v>
        <stp/>
        <stp>THETA</stp>
        <stp>.XLK201120C123</stp>
        <tr r="O839" s="1"/>
      </tp>
      <tp t="s">
        <v>N/A</v>
        <stp/>
        <stp>THETA</stp>
        <stp>.XLK201120P122</stp>
        <tr r="O836" s="1"/>
      </tp>
      <tp t="s">
        <v>N/A</v>
        <stp/>
        <stp>THETA</stp>
        <stp>.XLK201120C122</stp>
        <tr r="O835" s="1"/>
      </tp>
      <tp t="s">
        <v>N/A</v>
        <stp/>
        <stp>THETA</stp>
        <stp>.XLK201120P121</stp>
        <tr r="O832" s="1"/>
      </tp>
      <tp t="s">
        <v>N/A</v>
        <stp/>
        <stp>THETA</stp>
        <stp>.XLK201120C121</stp>
        <tr r="O831" s="1"/>
      </tp>
      <tp t="s">
        <v>N/A</v>
        <stp/>
        <stp>THETA</stp>
        <stp>.XLK201120P120</stp>
        <tr r="O828" s="1"/>
      </tp>
      <tp t="s">
        <v>N/A</v>
        <stp/>
        <stp>THETA</stp>
        <stp>.XLK201120C120</stp>
        <tr r="O827" s="1"/>
      </tp>
      <tp t="s">
        <v>N/A</v>
        <stp/>
        <stp>THETA</stp>
        <stp>.JNK201120P107</stp>
        <tr r="O384" s="1"/>
      </tp>
      <tp t="s">
        <v>N/A</v>
        <stp/>
        <stp>THETA</stp>
        <stp>.JNK201120C107</stp>
        <tr r="O383" s="1"/>
      </tp>
      <tp t="s">
        <v>N/A</v>
        <stp/>
        <stp>THETA</stp>
        <stp>.IJH201120P210</stp>
        <tr r="O273" s="1"/>
      </tp>
      <tp t="s">
        <v>N/A</v>
        <stp/>
        <stp>THETA</stp>
        <stp>.IJH201120C210</stp>
        <tr r="O272" s="1"/>
      </tp>
      <tp t="s">
        <v>N/A</v>
        <stp/>
        <stp>GAMMA</stp>
        <stp>.DIA201120C292</stp>
        <tr r="N65" s="1"/>
      </tp>
      <tp t="s">
        <v>N/A</v>
        <stp/>
        <stp>GAMMA</stp>
        <stp>.DIA201120P292</stp>
        <tr r="N66" s="1"/>
      </tp>
      <tp t="s">
        <v>N/A</v>
        <stp/>
        <stp>GAMMA</stp>
        <stp>.DIA201120C293</stp>
        <tr r="N69" s="1"/>
      </tp>
      <tp t="s">
        <v>N/A</v>
        <stp/>
        <stp>GAMMA</stp>
        <stp>.DIA201120P293</stp>
        <tr r="N70" s="1"/>
      </tp>
      <tp t="s">
        <v>N/A</v>
        <stp/>
        <stp>GAMMA</stp>
        <stp>.DIA201120C291</stp>
        <tr r="N63" s="1"/>
      </tp>
      <tp t="s">
        <v>N/A</v>
        <stp/>
        <stp>GAMMA</stp>
        <stp>.DIA201120P291</stp>
        <tr r="N64" s="1"/>
      </tp>
      <tp t="s">
        <v>N/A</v>
        <stp/>
        <stp>GAMMA</stp>
        <stp>.DIA201120C296</stp>
        <tr r="N75" s="1"/>
      </tp>
      <tp t="s">
        <v>N/A</v>
        <stp/>
        <stp>GAMMA</stp>
        <stp>.DIA201120P296</stp>
        <tr r="N76" s="1"/>
      </tp>
      <tp t="s">
        <v>N/A</v>
        <stp/>
        <stp>GAMMA</stp>
        <stp>.DIA201120C297</stp>
        <tr r="N77" s="1"/>
      </tp>
      <tp t="s">
        <v>N/A</v>
        <stp/>
        <stp>GAMMA</stp>
        <stp>.DIA201120P297</stp>
        <tr r="N78" s="1"/>
      </tp>
      <tp t="s">
        <v>N/A</v>
        <stp/>
        <stp>GAMMA</stp>
        <stp>.DIA201120C294</stp>
        <tr r="N71" s="1"/>
      </tp>
      <tp t="s">
        <v>N/A</v>
        <stp/>
        <stp>GAMMA</stp>
        <stp>.DIA201120P294</stp>
        <tr r="N72" s="1"/>
      </tp>
      <tp t="s">
        <v>N/A</v>
        <stp/>
        <stp>GAMMA</stp>
        <stp>.DIA201120C295</stp>
        <tr r="N73" s="1"/>
      </tp>
      <tp t="s">
        <v>N/A</v>
        <stp/>
        <stp>GAMMA</stp>
        <stp>.DIA201120P295</stp>
        <tr r="N74" s="1"/>
      </tp>
      <tp t="s">
        <v>N/A</v>
        <stp/>
        <stp>GAMMA</stp>
        <stp>.IBB201120C139</stp>
        <tr r="N233" s="1"/>
      </tp>
      <tp t="s">
        <v>N/A</v>
        <stp/>
        <stp>GAMMA</stp>
        <stp>.IBB201120P139</stp>
        <tr r="N234" s="1"/>
      </tp>
      <tp t="s">
        <v>N/A</v>
        <stp/>
        <stp>GAMMA</stp>
        <stp>.IBB201120C138</stp>
        <tr r="N229" s="1"/>
      </tp>
      <tp t="s">
        <v>N/A</v>
        <stp/>
        <stp>GAMMA</stp>
        <stp>.IBB201120P138</stp>
        <tr r="N230" s="1"/>
      </tp>
      <tp t="s">
        <v>N/A</v>
        <stp/>
        <stp>GAMMA</stp>
        <stp>.MUB201120P116</stp>
        <tr r="N437" s="1"/>
      </tp>
      <tp t="s">
        <v>N/A</v>
        <stp/>
        <stp>GAMMA</stp>
        <stp>.MUB201120C116</stp>
        <tr r="N436" s="1"/>
      </tp>
      <tp t="s">
        <v>N/A</v>
        <stp/>
        <stp>GAMMA</stp>
        <stp>.EMB201120C114</stp>
        <tr r="N112" s="1"/>
      </tp>
      <tp t="s">
        <v>N/A</v>
        <stp/>
        <stp>GAMMA</stp>
        <stp>.EMB201120P114</stp>
        <tr r="N113" s="1"/>
      </tp>
      <tp t="s">
        <v>N/A</v>
        <stp/>
        <stp>GAMMA</stp>
        <stp>.IBB201120C141</stp>
        <tr r="N241" s="1"/>
      </tp>
      <tp t="s">
        <v>N/A</v>
        <stp/>
        <stp>GAMMA</stp>
        <stp>.IBB201120P141</stp>
        <tr r="N242" s="1"/>
      </tp>
      <tp t="s">
        <v>N/A</v>
        <stp/>
        <stp>GAMMA</stp>
        <stp>.IBB201120C140</stp>
        <tr r="N237" s="1"/>
      </tp>
      <tp t="s">
        <v>N/A</v>
        <stp/>
        <stp>GAMMA</stp>
        <stp>.IBB201120P140</stp>
        <tr r="N238" s="1"/>
      </tp>
      <tp>
        <v>117.89</v>
        <stp/>
        <stp>ASK</stp>
        <stp>AGG</stp>
        <tr r="I15" s="1"/>
      </tp>
      <tp>
        <v>11.4</v>
        <stp/>
        <stp>BID</stp>
        <stp>BZQ</stp>
        <tr r="H51" s="1"/>
      </tp>
      <tp>
        <v>0</v>
        <stp/>
        <stp>RHO</stp>
        <stp>RWM</stp>
        <tr r="Q517" s="1"/>
      </tp>
      <tp>
        <v>135.07</v>
        <stp/>
        <stp>LOW</stp>
        <stp>LQD</stp>
        <tr r="K404" s="1"/>
      </tp>
      <tp>
        <v>0</v>
        <stp/>
        <stp>RHO</stp>
        <stp>RSP</stp>
        <tr r="Q505" s="1"/>
      </tp>
      <tp>
        <v>0</v>
        <stp/>
        <stp>RHO</stp>
        <stp>RSX</stp>
        <tr r="Q512" s="1"/>
      </tp>
      <tp>
        <v>57.1</v>
        <stp/>
        <stp>BID</stp>
        <stp>IEMG</stp>
        <tr r="H256" s="1"/>
      </tp>
      <tp>
        <v>1.02</v>
        <stp/>
        <stp>HIGH</stp>
        <stp>.GDXJ201120P52.5</stp>
        <tr r="J206" s="1"/>
      </tp>
      <tp>
        <v>2.2400000000000002</v>
        <stp/>
        <stp>HIGH</stp>
        <stp>.GDXJ201120C52.5</stp>
        <tr r="J205" s="1"/>
      </tp>
      <tp>
        <v>0</v>
        <stp/>
        <stp>VEGA</stp>
        <stp>ILF</stp>
        <tr r="P277" s="1"/>
      </tp>
      <tp>
        <v>113.92</v>
        <stp/>
        <stp>HIGH</stp>
        <stp>EMB</stp>
        <tr r="J111" s="1"/>
      </tp>
      <tp>
        <v>0</v>
        <stp/>
        <stp>VEGA</stp>
        <stp>IJH</stp>
        <tr r="P271" s="1"/>
      </tp>
      <tp>
        <v>0</v>
        <stp/>
        <stp>VEGA</stp>
        <stp>IJR</stp>
        <tr r="P274" s="1"/>
      </tp>
      <tp>
        <v>0</v>
        <stp/>
        <stp>RHO</stp>
        <stp>PDBC</stp>
        <tr r="Q451" s="1"/>
      </tp>
      <tp>
        <v>68.97</v>
        <stp/>
        <stp>HIGH</stp>
        <stp>EFA</stp>
        <tr r="J101" s="1"/>
      </tp>
      <tp>
        <v>44.43</v>
        <stp/>
        <stp>HIGH</stp>
        <stp>EFV</stp>
        <tr r="J108" s="1"/>
      </tp>
      <tp>
        <v>0</v>
        <stp/>
        <stp>VEGA</stp>
        <stp>IGV</stp>
        <tr r="P264" s="1"/>
      </tp>
      <tp t="s">
        <v>N/A</v>
        <stp/>
        <stp>VEGA</stp>
        <stp>.GDXJ201120C52.5</stp>
        <tr r="P205" s="1"/>
      </tp>
      <tp>
        <v>84.53</v>
        <stp/>
        <stp>LOW</stp>
        <stp>ACWI</stp>
        <tr r="K7" s="1"/>
      </tp>
      <tp t="s">
        <v>N/A</v>
        <stp/>
        <stp>VEGA</stp>
        <stp>.GDXJ201120P52.5</stp>
        <tr r="P206" s="1"/>
      </tp>
      <tp>
        <v>49.21</v>
        <stp/>
        <stp>LOW</stp>
        <stp>ACWX</stp>
        <tr r="K12" s="1"/>
      </tp>
      <tp>
        <v>0</v>
        <stp/>
        <stp>VEGA</stp>
        <stp>IEF</stp>
        <tr r="P248" s="1"/>
      </tp>
      <tp>
        <v>48.31</v>
        <stp/>
        <stp>HIGH</stp>
        <stp>EEM</stp>
        <tr r="J94" s="1"/>
      </tp>
      <tp>
        <v>63.91</v>
        <stp/>
        <stp>BID</stp>
        <stp>IEFA</stp>
        <tr r="H251" s="1"/>
      </tp>
      <tp>
        <v>0</v>
        <stp/>
        <stp>VEGA</stp>
        <stp>IBB</stp>
        <tr r="P228" s="1"/>
      </tp>
      <tp>
        <v>115.95</v>
        <stp/>
        <stp>LAST</stp>
        <stp>MUB</stp>
        <tr r="E435" s="1"/>
      </tp>
      <tp>
        <v>21.51</v>
        <stp/>
        <stp>LOW</stp>
        <stp>ICLN</stp>
        <tr r="K245" s="1"/>
      </tp>
      <tp>
        <v>107.2801</v>
        <stp/>
        <stp>LOW</stp>
        <stp>VCLT</stp>
        <tr r="K704" s="1"/>
      </tp>
      <tp>
        <v>41.67</v>
        <stp/>
        <stp>HIGH</stp>
        <stp>EZU</stp>
        <tr r="J177" s="1"/>
      </tp>
      <tp>
        <v>28.815000000000001</v>
        <stp/>
        <stp>LOW</stp>
        <stp>SCHE</stp>
        <tr r="K525" s="1"/>
      </tp>
      <tp>
        <v>59.87</v>
        <stp/>
        <stp>LOW</stp>
        <stp>SCHD</stp>
        <tr r="K520" s="1"/>
      </tp>
      <tp>
        <v>33.514099999999999</v>
        <stp/>
        <stp>LOW</stp>
        <stp>SCHF</stp>
        <tr r="K528" s="1"/>
      </tp>
      <tp>
        <v>79.540000000000006</v>
        <stp/>
        <stp>LOW</stp>
        <stp>MCHI</stp>
        <tr r="K411" s="1"/>
      </tp>
      <tp>
        <v>60.954999999999998</v>
        <stp/>
        <stp>LOW</stp>
        <stp>SCHP</stp>
        <tr r="K531" s="1"/>
      </tp>
      <tp>
        <v>0</v>
        <stp/>
        <stp>VEGA</stp>
        <stp>IYE</stp>
        <tr r="P363" s="1"/>
      </tp>
      <tp>
        <v>0</v>
        <stp/>
        <stp>VEGA</stp>
        <stp>IYR</stp>
        <tr r="P366" s="1"/>
      </tp>
      <tp>
        <v>95.96</v>
        <stp/>
        <stp>LOW</stp>
        <stp>VCIT</stp>
        <tr r="K701" s="1"/>
      </tp>
      <tp>
        <v>0</v>
        <stp/>
        <stp>VEGA</stp>
        <stp>IVE</stp>
        <tr r="P302" s="1"/>
      </tp>
      <tp>
        <v>0</v>
        <stp/>
        <stp>VEGA</stp>
        <stp>IVW</stp>
        <tr r="P330" s="1"/>
      </tp>
      <tp>
        <v>0</v>
        <stp/>
        <stp>VEGA</stp>
        <stp>IVV</stp>
        <tr r="P309" s="1"/>
      </tp>
      <tp>
        <v>62.965000000000003</v>
        <stp/>
        <stp>HIGH</stp>
        <stp>EWJ</stp>
        <tr r="J135" s="1"/>
      </tp>
      <tp>
        <v>23.7</v>
        <stp/>
        <stp>HIGH</stp>
        <stp>EWH</stp>
        <tr r="J129" s="1"/>
      </tp>
      <tp>
        <v>26.96</v>
        <stp/>
        <stp>HIGH</stp>
        <stp>EWI</stp>
        <tr r="J132" s="1"/>
      </tp>
      <tp>
        <v>0</v>
        <stp/>
        <stp>VEGA</stp>
        <stp>IWF</stp>
        <tr r="P340" s="1"/>
      </tp>
      <tp>
        <v>42.72</v>
        <stp/>
        <stp>HIGH</stp>
        <stp>EWL</stp>
        <tr r="J142" s="1"/>
      </tp>
      <tp>
        <v>0</v>
        <stp/>
        <stp>VEGA</stp>
        <stp>IWD</stp>
        <tr r="P333" s="1"/>
      </tp>
      <tp>
        <v>29.1</v>
        <stp/>
        <stp>HIGH</stp>
        <stp>EWC</stp>
        <tr r="J123" s="1"/>
      </tp>
      <tp>
        <v>22.14</v>
        <stp/>
        <stp>HIGH</stp>
        <stp>EWA</stp>
        <tr r="J120" s="1"/>
      </tp>
      <tp>
        <v>29.72</v>
        <stp/>
        <stp>HIGH</stp>
        <stp>EWG</stp>
        <tr r="J126" s="1"/>
      </tp>
      <tp>
        <v>0</v>
        <stp/>
        <stp>VEGA</stp>
        <stp>IWM</stp>
        <tr r="P345" s="1"/>
      </tp>
      <tp>
        <v>31.55</v>
        <stp/>
        <stp>HIGH</stp>
        <stp>EWZ</stp>
        <tr r="J172" s="1"/>
      </tp>
      <tp>
        <v>72.48</v>
        <stp/>
        <stp>HIGH</stp>
        <stp>EWY</stp>
        <tr r="J161" s="1"/>
      </tp>
      <tp>
        <v>25.55</v>
        <stp/>
        <stp>HIGH</stp>
        <stp>EWP</stp>
        <tr r="J145" s="1"/>
      </tp>
      <tp>
        <v>39.1</v>
        <stp/>
        <stp>HIGH</stp>
        <stp>EWW</stp>
        <tr r="J154" s="1"/>
      </tp>
      <tp>
        <v>48.17</v>
        <stp/>
        <stp>HIGH</stp>
        <stp>EWT</stp>
        <tr r="J148" s="1"/>
      </tp>
      <tp>
        <v>28.22</v>
        <stp/>
        <stp>HIGH</stp>
        <stp>EWU</stp>
        <tr r="J151" s="1"/>
      </tp>
      <tp>
        <v>19.05</v>
        <stp/>
        <stp>BID</stp>
        <stp>JETS</stp>
        <tr r="H375" s="1"/>
      </tp>
      <tp>
        <v>0</v>
        <stp/>
        <stp>VEGA</stp>
        <stp>ITB</stp>
        <tr r="P288" s="1"/>
      </tp>
      <tp>
        <v>377.47</v>
        <stp/>
        <stp>LAST</stp>
        <stp>MDY</stp>
        <tr r="E414" s="1"/>
      </tp>
      <tp>
        <v>0</v>
        <stp/>
        <stp>RHO</stp>
        <stp>GDXJ</stp>
        <tr r="Q202" s="1"/>
      </tp>
      <tp t="s">
        <v>N/A</v>
        <stp/>
        <stp>IMPL_VOL</stp>
        <stp>.XLB201120C69.5</stp>
        <tr r="D792" s="1"/>
      </tp>
      <tp t="s">
        <v>N/A</v>
        <stp/>
        <stp>IMPL_VOL</stp>
        <stp>.XOP201120C49.5</stp>
        <tr r="D900" s="1"/>
      </tp>
      <tp t="s">
        <v>N/A</v>
        <stp/>
        <stp>IMPL_VOL</stp>
        <stp>.XOP201120P49.5</stp>
        <tr r="D901" s="1"/>
      </tp>
      <tp t="s">
        <v>N/A</v>
        <stp/>
        <stp>IMPL_VOL</stp>
        <stp>.XLB201120P69.5</stp>
        <tr r="D793" s="1"/>
      </tp>
      <tp>
        <v>1.7</v>
        <stp/>
        <stp>LAST</stp>
        <stp>.DIA201120C296</stp>
        <tr r="E75" s="1"/>
      </tp>
      <tp>
        <v>7.8</v>
        <stp/>
        <stp>LAST</stp>
        <stp>.DIA201120P296</stp>
        <tr r="E76" s="1"/>
      </tp>
      <tp>
        <v>1.25</v>
        <stp/>
        <stp>LAST</stp>
        <stp>.DIA201120C297</stp>
        <tr r="E77" s="1"/>
      </tp>
      <tp>
        <v>8.02</v>
        <stp/>
        <stp>LAST</stp>
        <stp>.DIA201120P297</stp>
        <tr r="E78" s="1"/>
      </tp>
      <tp>
        <v>2.21</v>
        <stp/>
        <stp>LAST</stp>
        <stp>.DIA201120C294</stp>
        <tr r="E71" s="1"/>
      </tp>
      <tp>
        <v>6.2</v>
        <stp/>
        <stp>LAST</stp>
        <stp>.DIA201120P294</stp>
        <tr r="E72" s="1"/>
      </tp>
      <tp>
        <v>1.95</v>
        <stp/>
        <stp>LAST</stp>
        <stp>.DIA201120C295</stp>
        <tr r="E73" s="1"/>
      </tp>
      <tp>
        <v>6.35</v>
        <stp/>
        <stp>LAST</stp>
        <stp>.DIA201120P295</stp>
        <tr r="E74" s="1"/>
      </tp>
      <tp>
        <v>3.7</v>
        <stp/>
        <stp>LAST</stp>
        <stp>.DIA201120C292</stp>
        <tr r="E65" s="1"/>
      </tp>
      <tp>
        <v>3.85</v>
        <stp/>
        <stp>LAST</stp>
        <stp>.DIA201120P292</stp>
        <tr r="E66" s="1"/>
      </tp>
      <tp>
        <v>2.71</v>
        <stp/>
        <stp>LAST</stp>
        <stp>.DIA201120C293</stp>
        <tr r="E69" s="1"/>
      </tp>
      <tp>
        <v>5.45</v>
        <stp/>
        <stp>LAST</stp>
        <stp>.DIA201120P293</stp>
        <tr r="E70" s="1"/>
      </tp>
      <tp>
        <v>3.75</v>
        <stp/>
        <stp>LAST</stp>
        <stp>.DIA201120C291</stp>
        <tr r="E63" s="1"/>
      </tp>
      <tp>
        <v>4.3499999999999996</v>
        <stp/>
        <stp>LAST</stp>
        <stp>.DIA201120P291</stp>
        <tr r="E64" s="1"/>
      </tp>
      <tp>
        <v>3.12</v>
        <stp/>
        <stp>LAST</stp>
        <stp>.TLT201120C155.5</stp>
        <tr r="E692" s="1"/>
      </tp>
      <tp>
        <v>2.39</v>
        <stp/>
        <stp>LAST</stp>
        <stp>.XLK201120C119.5</stp>
        <tr r="E825" s="1"/>
      </tp>
      <tp>
        <v>3.75</v>
        <stp/>
        <stp>LAST</stp>
        <stp>.SMH201120C192.5</stp>
        <tr r="E552" s="1"/>
      </tp>
      <tp t="s">
        <v>N/A</v>
        <stp/>
        <stp>LAST</stp>
        <stp>.MUB201120P116</stp>
        <tr r="E437" s="1"/>
      </tp>
      <tp t="s">
        <v>N/A</v>
        <stp/>
        <stp>LAST</stp>
        <stp>.MUB201120C116</stp>
        <tr r="E436" s="1"/>
      </tp>
      <tp>
        <v>0.35</v>
        <stp/>
        <stp>LAST</stp>
        <stp>.EMB201120C114</stp>
        <tr r="E112" s="1"/>
      </tp>
      <tp t="s">
        <v>N/A</v>
        <stp/>
        <stp>LAST</stp>
        <stp>.EMB201120P114</stp>
        <tr r="E113" s="1"/>
      </tp>
      <tp>
        <v>3.85</v>
        <stp/>
        <stp>LAST</stp>
        <stp>.SPY201120P352.5</stp>
        <tr r="E608" s="1"/>
      </tp>
      <tp>
        <v>2.46</v>
        <stp/>
        <stp>LAST</stp>
        <stp>.IBB201120C139</stp>
        <tr r="E233" s="1"/>
      </tp>
      <tp t="s">
        <v>N/A</v>
        <stp/>
        <stp>LAST</stp>
        <stp>.IBB201120P139</stp>
        <tr r="E234" s="1"/>
      </tp>
      <tp t="s">
        <v>N/A</v>
        <stp/>
        <stp>LAST</stp>
        <stp>.IBB201120C138</stp>
        <tr r="E229" s="1"/>
      </tp>
      <tp>
        <v>1.38</v>
        <stp/>
        <stp>LAST</stp>
        <stp>.IBB201120P138</stp>
        <tr r="E230" s="1"/>
      </tp>
      <tp t="s">
        <v>N/A</v>
        <stp/>
        <stp>LAST</stp>
        <stp>.IBB201120C141</stp>
        <tr r="E241" s="1"/>
      </tp>
      <tp>
        <v>4.05</v>
        <stp/>
        <stp>LAST</stp>
        <stp>.IBB201120P141</stp>
        <tr r="E242" s="1"/>
      </tp>
      <tp t="s">
        <v>N/A</v>
        <stp/>
        <stp>LAST</stp>
        <stp>.IBB201120C140</stp>
        <tr r="E237" s="1"/>
      </tp>
      <tp t="s">
        <v>N/A</v>
        <stp/>
        <stp>LAST</stp>
        <stp>.IBB201120P140</stp>
        <tr r="E238" s="1"/>
      </tp>
      <tp>
        <v>1</v>
        <stp/>
        <stp>DELTA</stp>
        <stp>XLRE</stp>
        <tr r="M846" s="1"/>
      </tp>
      <tp t="s">
        <v>N/A</v>
        <stp/>
        <stp>PROB_OF_TOUCHING</stp>
        <stp>.XLB201120C69.5</stp>
        <tr r="V792" s="1"/>
      </tp>
      <tp t="s">
        <v>N/A</v>
        <stp/>
        <stp>PROB_OF_TOUCHING</stp>
        <stp>.XOP201120C49.5</stp>
        <tr r="V900" s="1"/>
      </tp>
      <tp t="s">
        <v>N/A</v>
        <stp/>
        <stp>PROB_OF_TOUCHING</stp>
        <stp>.XOP201120P49.5</stp>
        <tr r="V901" s="1"/>
      </tp>
      <tp t="s">
        <v>N/A</v>
        <stp/>
        <stp>PROB_OF_TOUCHING</stp>
        <stp>.XLB201120P69.5</stp>
        <tr r="V793" s="1"/>
      </tp>
      <tp>
        <v>0</v>
        <stp/>
        <stp>GAMMA</stp>
        <stp>GUSH</stp>
        <tr r="N213" s="1"/>
      </tp>
      <tp t="s">
        <v>N/A</v>
        <stp/>
        <stp>PROB_OF_TOUCHING</stp>
        <stp>.EWW201120P39.5</stp>
        <tr r="V160" s="1"/>
      </tp>
      <tp t="s">
        <v>N/A</v>
        <stp/>
        <stp>PROB_OF_TOUCHING</stp>
        <stp>.EFA201120C69.5</stp>
        <tr r="V104" s="1"/>
      </tp>
      <tp t="s">
        <v>N/A</v>
        <stp/>
        <stp>PROB_OF_TOUCHING</stp>
        <stp>.EFA201120P69.5</stp>
        <tr r="V105" s="1"/>
      </tp>
      <tp t="s">
        <v>N/A</v>
        <stp/>
        <stp>PROB_OF_TOUCHING</stp>
        <stp>.EWW201120C39.5</stp>
        <tr r="V159" s="1"/>
      </tp>
      <tp t="s">
        <v>N/A</v>
        <stp/>
        <stp>STRIKE</stp>
        <stp>RSP</stp>
        <tr r="W505" s="1"/>
      </tp>
      <tp t="s">
        <v>N/A</v>
        <stp/>
        <stp>STRIKE</stp>
        <stp>RSX</stp>
        <tr r="W512" s="1"/>
      </tp>
      <tp>
        <v>1.538</v>
        <stp/>
        <stp>PUT_CALL_RATIO</stp>
        <stp>TLT</stp>
        <tr r="C689" s="1"/>
      </tp>
      <tp t="s">
        <v>N/A</v>
        <stp/>
        <stp>PROB_OF_TOUCHING</stp>
        <stp>.FEZ201120C39.5</stp>
        <tr r="V181" s="1"/>
      </tp>
      <tp t="s">
        <v>N/A</v>
        <stp/>
        <stp>PROB_OF_TOUCHING</stp>
        <stp>.FEZ201120P39.5</stp>
        <tr r="V182" s="1"/>
      </tp>
      <tp>
        <v>2.4500000000000002</v>
        <stp/>
        <stp>LAST</stp>
        <stp>.SMH201120P192.5</stp>
        <tr r="E553" s="1"/>
      </tp>
      <tp t="s">
        <v>N/A</v>
        <stp/>
        <stp>STRIKE</stp>
        <stp>RWM</stp>
        <tr r="W517" s="1"/>
      </tp>
      <tp>
        <v>0.37</v>
        <stp/>
        <stp>LAST</stp>
        <stp>.TLT201120P155.5</stp>
        <tr r="E693" s="1"/>
      </tp>
      <tp>
        <v>1.8</v>
        <stp/>
        <stp>LAST</stp>
        <stp>.XLK201120P119.5</stp>
        <tr r="E826" s="1"/>
      </tp>
      <tp>
        <v>0.95</v>
        <stp/>
        <stp>PUT_CALL_RATIO</stp>
        <stp>TIP</stp>
        <tr r="C686" s="1"/>
      </tp>
      <tp>
        <v>5.24</v>
        <stp/>
        <stp>LAST</stp>
        <stp>.SPY201120C352.5</stp>
        <tr r="E607" s="1"/>
      </tp>
      <tp>
        <v>0</v>
        <stp/>
        <stp>GAMMA</stp>
        <stp>EUFN</stp>
        <tr r="N117" s="1"/>
      </tp>
      <tp>
        <v>0</v>
        <stp/>
        <stp>THETA</stp>
        <stp>XLRE</stp>
        <tr r="O846" s="1"/>
      </tp>
      <tp>
        <v>0</v>
        <stp/>
        <stp>GAMMA</stp>
        <stp>QUAL</stp>
        <tr r="N498" s="1"/>
      </tp>
      <tp>
        <v>0.26300000000000001</v>
        <stp/>
        <stp>PUT_CALL_RATIO</stp>
        <stp>TBT</stp>
        <tr r="C683" s="1"/>
      </tp>
      <tp>
        <v>0.46899999999999997</v>
        <stp/>
        <stp>PUT_CALL_RATIO</stp>
        <stp>TBF</stp>
        <tr r="C680" s="1"/>
      </tp>
      <tp t="s">
        <v>N/A</v>
        <stp/>
        <stp>IMPL_VOL</stp>
        <stp>.EWW201120P39.5</stp>
        <tr r="D160" s="1"/>
      </tp>
      <tp t="s">
        <v>N/A</v>
        <stp/>
        <stp>IMPL_VOL</stp>
        <stp>.EFA201120C69.5</stp>
        <tr r="D104" s="1"/>
      </tp>
      <tp t="s">
        <v>N/A</v>
        <stp/>
        <stp>IMPL_VOL</stp>
        <stp>.EFA201120P69.5</stp>
        <tr r="D105" s="1"/>
      </tp>
      <tp t="s">
        <v>N/A</v>
        <stp/>
        <stp>IMPL_VOL</stp>
        <stp>.EWW201120C39.5</stp>
        <tr r="D159" s="1"/>
      </tp>
      <tp t="s">
        <v>N/A</v>
        <stp/>
        <stp>IMPL_VOL</stp>
        <stp>.FEZ201120C39.5</stp>
        <tr r="D181" s="1"/>
      </tp>
      <tp t="s">
        <v>N/A</v>
        <stp/>
        <stp>IMPL_VOL</stp>
        <stp>.FEZ201120P39.5</stp>
        <tr r="D182" s="1"/>
      </tp>
      <tp>
        <v>0.59899999999999998</v>
        <stp/>
        <stp>PUT_CALL_RATIO</stp>
        <stp>TAN</stp>
        <tr r="C659" s="1"/>
      </tp>
      <tp t="s">
        <v>N/A</v>
        <stp/>
        <stp>DELTA</stp>
        <stp>.AGG201120C117</stp>
        <tr r="M16" s="1"/>
      </tp>
      <tp t="s">
        <v>N/A</v>
        <stp/>
        <stp>DELTA</stp>
        <stp>.AGG201120P117</stp>
        <tr r="M17" s="1"/>
      </tp>
      <tp>
        <v>44</v>
        <stp/>
        <stp>ASK</stp>
        <stp>FEZ</stp>
        <tr r="I180" s="1"/>
      </tp>
      <tp>
        <v>33.85</v>
        <stp/>
        <stp>BID</stp>
        <stp>EZU</stp>
        <tr r="H177" s="1"/>
      </tp>
      <tp t="s">
        <v>SPDR SERIES TRUST S&amp;P RETAIL ETF</v>
        <stp/>
        <stp>DESCRIPTION</stp>
        <stp>XRT</stp>
        <tr r="B902" s="1"/>
      </tp>
      <tp>
        <v>39.5</v>
        <stp/>
        <stp>BID</stp>
        <stp>EWL</stp>
        <tr r="H142" s="1"/>
      </tp>
      <tp>
        <v>24.61</v>
        <stp/>
        <stp>BID</stp>
        <stp>EWI</stp>
        <tr r="H132" s="1"/>
      </tp>
      <tp>
        <v>23</v>
        <stp/>
        <stp>BID</stp>
        <stp>EWH</stp>
        <tr r="H129" s="1"/>
      </tp>
      <tp>
        <v>62.07</v>
        <stp/>
        <stp>BID</stp>
        <stp>EWJ</stp>
        <tr r="H135" s="1"/>
      </tp>
      <tp>
        <v>29</v>
        <stp/>
        <stp>BID</stp>
        <stp>EWG</stp>
        <tr r="H126" s="1"/>
      </tp>
      <tp>
        <v>21.78</v>
        <stp/>
        <stp>BID</stp>
        <stp>EWA</stp>
        <tr r="H120" s="1"/>
      </tp>
      <tp>
        <v>28.42</v>
        <stp/>
        <stp>BID</stp>
        <stp>EWC</stp>
        <tr r="H123" s="1"/>
      </tp>
      <tp>
        <v>70.91</v>
        <stp/>
        <stp>BID</stp>
        <stp>EWY</stp>
        <tr r="H161" s="1"/>
      </tp>
      <tp>
        <v>30</v>
        <stp/>
        <stp>BID</stp>
        <stp>EWZ</stp>
        <tr r="H172" s="1"/>
      </tp>
      <tp>
        <v>26.31</v>
        <stp/>
        <stp>BID</stp>
        <stp>EWU</stp>
        <tr r="H151" s="1"/>
      </tp>
      <tp>
        <v>47.73</v>
        <stp/>
        <stp>BID</stp>
        <stp>EWT</stp>
        <tr r="H148" s="1"/>
      </tp>
      <tp>
        <v>38.17</v>
        <stp/>
        <stp>BID</stp>
        <stp>EWW</stp>
        <tr r="H154" s="1"/>
      </tp>
      <tp>
        <v>24.83</v>
        <stp/>
        <stp>BID</stp>
        <stp>EWP</stp>
        <tr r="H145" s="1"/>
      </tp>
      <tp>
        <v>45.16</v>
        <stp/>
        <stp>LOW</stp>
        <stp>KRE</stp>
        <tr r="K388" s="1"/>
      </tp>
      <tp>
        <v>34.659999999999997</v>
        <stp/>
        <stp>ASK</stp>
        <stp>FVD</stp>
        <tr r="I185" s="1"/>
      </tp>
      <tp>
        <v>112.47</v>
        <stp/>
        <stp>BID</stp>
        <stp>EMB</stp>
        <tr r="H111" s="1"/>
      </tp>
      <tp t="s">
        <v>SPDR SERIES TRUST S&amp;P BIOTECH ETF</v>
        <stp/>
        <stp>DESCRIPTION</stp>
        <stp>XBI</stp>
        <tr r="B763" s="1"/>
      </tp>
      <tp t="s">
        <v>SELECT SECTOR SPDR TRUST ENERGY ETF</v>
        <stp/>
        <stp>DESCRIPTION</stp>
        <stp>XLE</stp>
        <tr r="B803" s="1"/>
      </tp>
      <tp t="s">
        <v>SELECT SECTOR SPDR TRUST SBI INT-FINL ETF</v>
        <stp/>
        <stp>DESCRIPTION</stp>
        <stp>XLF</stp>
        <tr r="B810" s="1"/>
      </tp>
      <tp t="s">
        <v>SELECT SECTOR SPDR TRUST SBI MATERIALS ETF</v>
        <stp/>
        <stp>DESCRIPTION</stp>
        <stp>XLB</stp>
        <tr r="B787" s="1"/>
      </tp>
      <tp t="s">
        <v>SELECT SECTOR SPDR TRUST COMMUNICATION ETF</v>
        <stp/>
        <stp>DESCRIPTION</stp>
        <stp>XLC</stp>
        <tr r="B796" s="1"/>
      </tp>
      <tp>
        <v>68.180000000000007</v>
        <stp/>
        <stp>BID</stp>
        <stp>EFA</stp>
        <tr r="H101" s="1"/>
      </tp>
      <tp t="s">
        <v>SELECT SECTOR SPDR TRUST SBI INT-INDS ETF</v>
        <stp/>
        <stp>DESCRIPTION</stp>
        <stp>XLI</stp>
        <tr r="B813" s="1"/>
      </tp>
      <tp t="s">
        <v>SELECT SECTOR SPDR TRUST TECHNOLOGY ETF</v>
        <stp/>
        <stp>DESCRIPTION</stp>
        <stp>XLK</stp>
        <tr r="B824" s="1"/>
      </tp>
      <tp t="s">
        <v>SELECT SECTOR SPDR TRUST SBI INT-UTILS ETF</v>
        <stp/>
        <stp>DESCRIPTION</stp>
        <stp>XLU</stp>
        <tr r="B849" s="1"/>
      </tp>
      <tp t="s">
        <v>SELECT SECTOR SPDR TRUST SBI HEALTHCARE ETF</v>
        <stp/>
        <stp>DESCRIPTION</stp>
        <stp>XLV</stp>
        <tr r="B856" s="1"/>
      </tp>
      <tp t="s">
        <v>SELECT SECTOR SPDR TRUST SBI CONS STPLS ETF</v>
        <stp/>
        <stp>DESCRIPTION</stp>
        <stp>XLP</stp>
        <tr r="B841" s="1"/>
      </tp>
      <tp>
        <v>38.36</v>
        <stp/>
        <stp>BID</stp>
        <stp>EFV</stp>
        <tr r="H108" s="1"/>
      </tp>
      <tp t="s">
        <v>SELECT SECTOR SPDR TRUST SBI CONS DISCR ETF</v>
        <stp/>
        <stp>DESCRIPTION</stp>
        <stp>XLY</stp>
        <tr r="B867" s="1"/>
      </tp>
      <tp t="s">
        <v>SPDR SERIES TRUST S&amp;P METALS MNG ETF</v>
        <stp/>
        <stp>DESCRIPTION</stp>
        <stp>XME</stp>
        <tr r="B884" s="1"/>
      </tp>
      <tp>
        <v>36.56</v>
        <stp/>
        <stp>LOW</stp>
        <stp>KBE</stp>
        <tr r="K385" s="1"/>
      </tp>
      <tp>
        <v>47.68</v>
        <stp/>
        <stp>BID</stp>
        <stp>EEM</stp>
        <tr r="H94" s="1"/>
      </tp>
      <tp t="s">
        <v>SPDR SERIES TRUST S&amp;P OILGAS EXP ETF</v>
        <stp/>
        <stp>DESCRIPTION</stp>
        <stp>XOP</stp>
        <tr r="B889" s="1"/>
      </tp>
      <tp t="s">
        <v>SPDR SERIES TRUST S&amp;P HOMEBUILD ETF</v>
        <stp/>
        <stp>DESCRIPTION</stp>
        <stp>XHB</stp>
        <tr r="B780" s="1"/>
      </tp>
      <tp>
        <v>47.23</v>
        <stp/>
        <stp>ASK</stp>
        <stp>FXI</stp>
        <tr r="I188" s="1"/>
      </tp>
      <tp t="s">
        <v>N/A</v>
        <stp/>
        <stp>VEGA</stp>
        <stp>.AMLP201120P23.5</stp>
        <tr r="P22" s="1"/>
      </tp>
      <tp t="s">
        <v>N/A</v>
        <stp/>
        <stp>VEGA</stp>
        <stp>.AMLP201120C23.5</stp>
        <tr r="P21" s="1"/>
      </tp>
      <tp>
        <v>53.34</v>
        <stp/>
        <stp>LOW</stp>
        <stp>GDXJ</stp>
        <tr r="K202" s="1"/>
      </tp>
      <tp t="s">
        <v>N/A</v>
        <stp/>
        <stp>DELTA</stp>
        <stp>.ARKW201120C118</stp>
        <tr r="M39" s="1"/>
      </tp>
      <tp t="s">
        <v>N/A</v>
        <stp/>
        <stp>DELTA</stp>
        <stp>.ARKW201120P118</stp>
        <tr r="M40" s="1"/>
      </tp>
      <tp t="s">
        <v>N/A</v>
        <stp/>
        <stp>DELTA</stp>
        <stp>.ARKW201120C119</stp>
        <tr r="M41" s="1"/>
      </tp>
      <tp t="s">
        <v>N/A</v>
        <stp/>
        <stp>DELTA</stp>
        <stp>.ARKW201120P119</stp>
        <tr r="M42" s="1"/>
      </tp>
      <tp t="s">
        <v>N/A</v>
        <stp/>
        <stp>DELTA</stp>
        <stp>.ARKW201120C116</stp>
        <tr r="M35" s="1"/>
      </tp>
      <tp t="s">
        <v>N/A</v>
        <stp/>
        <stp>DELTA</stp>
        <stp>.ARKW201120P116</stp>
        <tr r="M36" s="1"/>
      </tp>
      <tp t="s">
        <v>N/A</v>
        <stp/>
        <stp>DELTA</stp>
        <stp>.ARKW201120C117</stp>
        <tr r="M37" s="1"/>
      </tp>
      <tp t="s">
        <v>N/A</v>
        <stp/>
        <stp>DELTA</stp>
        <stp>.ARKW201120P117</stp>
        <tr r="M38" s="1"/>
      </tp>
      <tp t="s">
        <v>N/A</v>
        <stp/>
        <stp>HIGH</stp>
        <stp>.AMLP201120C23.5</stp>
        <tr r="J21" s="1"/>
      </tp>
      <tp>
        <v>0</v>
        <stp/>
        <stp>HIGH</stp>
        <stp>.AMLP201120P23.5</stp>
        <tr r="J22" s="1"/>
      </tp>
      <tp>
        <v>0</v>
        <stp/>
        <stp>RHO</stp>
        <stp>ICLN</stp>
        <tr r="Q245" s="1"/>
      </tp>
      <tp>
        <v>0</v>
        <stp/>
        <stp>RHO</stp>
        <stp>VCLT</stp>
        <tr r="Q704" s="1"/>
      </tp>
      <tp>
        <v>0</v>
        <stp/>
        <stp>RHO</stp>
        <stp>SCHE</stp>
        <tr r="Q525" s="1"/>
      </tp>
      <tp>
        <v>0</v>
        <stp/>
        <stp>RHO</stp>
        <stp>SCHD</stp>
        <tr r="Q520" s="1"/>
      </tp>
      <tp>
        <v>0</v>
        <stp/>
        <stp>RHO</stp>
        <stp>SCHF</stp>
        <tr r="Q528" s="1"/>
      </tp>
      <tp>
        <v>0</v>
        <stp/>
        <stp>RHO</stp>
        <stp>MCHI</stp>
        <tr r="Q411" s="1"/>
      </tp>
      <tp>
        <v>0</v>
        <stp/>
        <stp>RHO</stp>
        <stp>SCHP</stp>
        <tr r="Q531" s="1"/>
      </tp>
      <tp>
        <v>0</v>
        <stp/>
        <stp>RHO</stp>
        <stp>VCIT</stp>
        <tr r="Q701" s="1"/>
      </tp>
      <tp>
        <v>0</v>
        <stp/>
        <stp>RHO</stp>
        <stp>ACWI</stp>
        <tr r="Q7" s="1"/>
      </tp>
      <tp>
        <v>0</v>
        <stp/>
        <stp>RHO</stp>
        <stp>ACWX</stp>
        <tr r="Q12" s="1"/>
      </tp>
      <tp>
        <v>13.41</v>
        <stp/>
        <stp>HIGH</stp>
        <stp>BZQ</stp>
        <tr r="J51" s="1"/>
      </tp>
      <tp>
        <v>106.1</v>
        <stp/>
        <stp>LAST</stp>
        <stp>JNK</stp>
        <tr r="E380" s="1"/>
      </tp>
      <tp>
        <v>57.09</v>
        <stp/>
        <stp>ASK</stp>
        <stp>VXUS</stp>
        <tr r="I753" s="1"/>
      </tp>
      <tp>
        <v>65</v>
        <stp/>
        <stp>ASK</stp>
        <stp>IXUS</stp>
        <tr r="I360" s="1"/>
      </tp>
      <tp>
        <v>13.93</v>
        <stp/>
        <stp>LOW</stp>
        <stp>PDBC</stp>
        <tr r="K451" s="1"/>
      </tp>
      <tp t="s">
        <v>N/A</v>
        <stp/>
        <stp>DESCRIPTION</stp>
        <stp>SHYG</stp>
        <tr r="B548" s="1"/>
      </tp>
      <tp>
        <v>2.15</v>
        <stp/>
        <stp>OPEN</stp>
        <stp>.IBB201120P139.5</stp>
        <tr r="L236" s="1"/>
      </tp>
      <tp>
        <v>0</v>
        <stp/>
        <stp>THETA</stp>
        <stp>BKLN</stp>
        <tr r="O48" s="1"/>
      </tp>
      <tp>
        <v>2406080</v>
        <stp/>
        <stp>VOLUME</stp>
        <stp>IBB</stp>
        <tr r="F228" s="1"/>
      </tp>
      <tp t="s">
        <v>N/A</v>
        <stp/>
        <stp>PROB_OTM</stp>
        <stp>.XOP201120C48.5</stp>
        <tr r="U896" s="1"/>
      </tp>
      <tp t="s">
        <v>N/A</v>
        <stp/>
        <stp>PROB_OTM</stp>
        <stp>.XLB201120C68.5</stp>
        <tr r="U788" s="1"/>
      </tp>
      <tp t="s">
        <v>N/A</v>
        <stp/>
        <stp>PROB_OTM</stp>
        <stp>.XLB201120P68.5</stp>
        <tr r="U789" s="1"/>
      </tp>
      <tp t="s">
        <v>N/A</v>
        <stp/>
        <stp>PROB_OTM</stp>
        <stp>.XOP201120P48.5</stp>
        <tr r="U897" s="1"/>
      </tp>
      <tp>
        <v>6323952</v>
        <stp/>
        <stp>VOLUME</stp>
        <stp>IEF</stp>
        <tr r="F248" s="1"/>
      </tp>
      <tp t="s">
        <v>N/A</v>
        <stp/>
        <stp>OPEN</stp>
        <stp>.IEF201120P119.5</stp>
        <tr r="L250" s="1"/>
      </tp>
      <tp>
        <v>3.26</v>
        <stp/>
        <stp>LAST</stp>
        <stp>.SMH201120C195.5</stp>
        <tr r="E564" s="1"/>
      </tp>
      <tp>
        <v>1432995</v>
        <stp/>
        <stp>VOLUME</stp>
        <stp>IGV</stp>
        <tr r="F264" s="1"/>
      </tp>
      <tp>
        <v>3.88</v>
        <stp/>
        <stp>LAST</stp>
        <stp>.QQQ201120P287.5</stp>
        <tr r="E481" s="1"/>
      </tp>
      <tp t="s">
        <v>N/A</v>
        <stp/>
        <stp>LAST</stp>
        <stp>.IVE201120P123</stp>
        <tr r="E308" s="1"/>
      </tp>
      <tp t="s">
        <v>N/A</v>
        <stp/>
        <stp>LAST</stp>
        <stp>.IVE201120C123</stp>
        <tr r="E307" s="1"/>
      </tp>
      <tp>
        <v>0</v>
        <stp/>
        <stp>LAST</stp>
        <stp>.IVE201120P122</stp>
        <tr r="E306" s="1"/>
      </tp>
      <tp t="s">
        <v>N/A</v>
        <stp/>
        <stp>LAST</stp>
        <stp>.IVE201120C122</stp>
        <tr r="E305" s="1"/>
      </tp>
      <tp t="s">
        <v>N/A</v>
        <stp/>
        <stp>LAST</stp>
        <stp>.IVE201120P121</stp>
        <tr r="E304" s="1"/>
      </tp>
      <tp t="s">
        <v>N/A</v>
        <stp/>
        <stp>LAST</stp>
        <stp>.IVE201120C121</stp>
        <tr r="E303" s="1"/>
      </tp>
      <tp t="s">
        <v>N/A</v>
        <stp/>
        <stp>LAST</stp>
        <stp>.IWF201120P225</stp>
        <tr r="E342" s="1"/>
      </tp>
      <tp t="s">
        <v>N/A</v>
        <stp/>
        <stp>LAST</stp>
        <stp>.IWF201120C225</stp>
        <tr r="E341" s="1"/>
      </tp>
      <tp>
        <v>4184850</v>
        <stp/>
        <stp>VOLUME</stp>
        <stp>IJR</stp>
        <tr r="F274" s="1"/>
      </tp>
      <tp>
        <v>1401811</v>
        <stp/>
        <stp>VOLUME</stp>
        <stp>IJH</stp>
        <tr r="F271" s="1"/>
      </tp>
      <tp>
        <v>0</v>
        <stp/>
        <stp>GAMMA</stp>
        <stp>SRVR</stp>
        <tr r="N637" s="1"/>
      </tp>
      <tp>
        <v>2163339</v>
        <stp/>
        <stp>VOLUME</stp>
        <stp>ILF</stp>
        <tr r="F277" s="1"/>
      </tp>
      <tp>
        <v>1.1950000000000001</v>
        <stp/>
        <stp>PUT_CALL_RATIO</stp>
        <stp>SSO</stp>
        <tr r="C642" s="1"/>
      </tp>
      <tp>
        <v>1.923</v>
        <stp/>
        <stp>PUT_CALL_RATIO</stp>
        <stp>SPY</stp>
        <tr r="C590" s="1"/>
      </tp>
      <tp>
        <v>1</v>
        <stp/>
        <stp>DELTA</stp>
        <stp>BKLN</stp>
        <tr r="M48" s="1"/>
      </tp>
      <tp t="s">
        <v>N/A</v>
        <stp/>
        <stp>OPEN</stp>
        <stp>.IBB201120C139.5</stp>
        <tr r="L235" s="1"/>
      </tp>
      <tp>
        <v>0.371</v>
        <stp/>
        <stp>PUT_CALL_RATIO</stp>
        <stp>SMH</stp>
        <tr r="C551" s="1"/>
      </tp>
      <tp>
        <v>0</v>
        <stp/>
        <stp>GAMMA</stp>
        <stp>DRIP</stp>
        <tr r="N81" s="1"/>
      </tp>
      <tp>
        <v>3.43</v>
        <stp/>
        <stp>LAST</stp>
        <stp>.SMH201120P195.5</stp>
        <tr r="E565" s="1"/>
      </tp>
      <tp>
        <v>4736074</v>
        <stp/>
        <stp>VOLUME</stp>
        <stp>ITB</stp>
        <tr r="F288" s="1"/>
      </tp>
      <tp t="s">
        <v>N/A</v>
        <stp/>
        <stp>OPEN</stp>
        <stp>.IEF201120C119.5</stp>
        <tr r="L249" s="1"/>
      </tp>
      <tp>
        <v>0</v>
        <stp/>
        <stp>GAMMA</stp>
        <stp>ARKW</stp>
        <tr r="N34" s="1"/>
      </tp>
      <tp>
        <v>0</v>
        <stp/>
        <stp>GAMMA</stp>
        <stp>ARKK</stp>
        <tr r="N25" s="1"/>
      </tp>
      <tp>
        <v>0.83299999999999996</v>
        <stp/>
        <stp>PUT_CALL_RATIO</stp>
        <stp>SHY</stp>
        <tr r="C545" s="1"/>
      </tp>
      <tp>
        <v>1728727</v>
        <stp/>
        <stp>VOLUME</stp>
        <stp>IVW</stp>
        <tr r="F330" s="1"/>
      </tp>
      <tp>
        <v>3794928</v>
        <stp/>
        <stp>VOLUME</stp>
        <stp>IVV</stp>
        <tr r="F309" s="1"/>
      </tp>
      <tp>
        <v>1069587</v>
        <stp/>
        <stp>VOLUME</stp>
        <stp>IVE</stp>
        <tr r="F302" s="1"/>
      </tp>
      <tp>
        <v>34011364</v>
        <stp/>
        <stp>VOLUME</stp>
        <stp>IWM</stp>
        <tr r="F345" s="1"/>
      </tp>
      <tp>
        <v>2478468</v>
        <stp/>
        <stp>VOLUME</stp>
        <stp>IWD</stp>
        <tr r="F333" s="1"/>
      </tp>
      <tp>
        <v>1376114</v>
        <stp/>
        <stp>VOLUME</stp>
        <stp>IWF</stp>
        <tr r="F340" s="1"/>
      </tp>
      <tp t="s">
        <v>N/A</v>
        <stp/>
        <stp>PROB_OTM</stp>
        <stp>.EWU201120P28.5</stp>
        <tr r="U153" s="1"/>
      </tp>
      <tp t="s">
        <v>N/A</v>
        <stp/>
        <stp>PROB_OTM</stp>
        <stp>.EWW201120P38.5</stp>
        <tr r="U156" s="1"/>
      </tp>
      <tp t="s">
        <v>N/A</v>
        <stp/>
        <stp>PROB_OTM</stp>
        <stp>.EEM201120C48.5</stp>
        <tr r="U99" s="1"/>
      </tp>
      <tp t="s">
        <v>N/A</v>
        <stp/>
        <stp>PROB_OTM</stp>
        <stp>.EEM201120P48.5</stp>
        <tr r="U100" s="1"/>
      </tp>
      <tp t="s">
        <v>N/A</v>
        <stp/>
        <stp>PROB_OTM</stp>
        <stp>.EWU201120C28.5</stp>
        <tr r="U152" s="1"/>
      </tp>
      <tp t="s">
        <v>N/A</v>
        <stp/>
        <stp>PROB_OTM</stp>
        <stp>.EWW201120C38.5</stp>
        <tr r="U155" s="1"/>
      </tp>
      <tp>
        <v>3756803</v>
        <stp/>
        <stp>VOLUME</stp>
        <stp>IYR</stp>
        <tr r="F366" s="1"/>
      </tp>
      <tp>
        <v>2568780</v>
        <stp/>
        <stp>VOLUME</stp>
        <stp>IYE</stp>
        <tr r="F363" s="1"/>
      </tp>
      <tp>
        <v>5.3999999999999999E-2</v>
        <stp/>
        <stp>PUT_CALL_RATIO</stp>
        <stp>SDS</stp>
        <tr r="C537" s="1"/>
      </tp>
      <tp>
        <v>5.5</v>
        <stp/>
        <stp>LAST</stp>
        <stp>.QQQ201120C287.5</stp>
        <tr r="E480" s="1"/>
      </tp>
      <tp>
        <v>504.5</v>
        <stp/>
        <stp>PUT_CALL_RATIO</stp>
        <stp>SCZ</stp>
        <tr r="C534" s="1"/>
      </tp>
      <tp t="s">
        <v>N/A</v>
        <stp/>
        <stp>THETA</stp>
        <stp>.VOO201120P325</stp>
        <tr r="O731" s="1"/>
      </tp>
      <tp t="s">
        <v>N/A</v>
        <stp/>
        <stp>THETA</stp>
        <stp>.VOO201120C325</stp>
        <tr r="O730" s="1"/>
      </tp>
      <tp t="s">
        <v>N/A</v>
        <stp/>
        <stp>THETA</stp>
        <stp>.VOO201120P330</stp>
        <tr r="O733" s="1"/>
      </tp>
      <tp t="s">
        <v>N/A</v>
        <stp/>
        <stp>THETA</stp>
        <stp>.VOO201120C330</stp>
        <tr r="O732" s="1"/>
      </tp>
      <tp t="s">
        <v>N/A</v>
        <stp/>
        <stp>THETA</stp>
        <stp>.IWM201120C174</stp>
        <tr r="O356" s="1"/>
      </tp>
      <tp t="s">
        <v>N/A</v>
        <stp/>
        <stp>THETA</stp>
        <stp>.IWM201120P174</stp>
        <tr r="O357" s="1"/>
      </tp>
      <tp t="s">
        <v>N/A</v>
        <stp/>
        <stp>THETA</stp>
        <stp>.IWM201120C175</stp>
        <tr r="O358" s="1"/>
      </tp>
      <tp t="s">
        <v>N/A</v>
        <stp/>
        <stp>THETA</stp>
        <stp>.IWM201120P175</stp>
        <tr r="O359" s="1"/>
      </tp>
      <tp t="s">
        <v>N/A</v>
        <stp/>
        <stp>THETA</stp>
        <stp>.IWM201120C172</stp>
        <tr r="O350" s="1"/>
      </tp>
      <tp t="s">
        <v>N/A</v>
        <stp/>
        <stp>THETA</stp>
        <stp>.IWM201120P172</stp>
        <tr r="O351" s="1"/>
      </tp>
      <tp t="s">
        <v>N/A</v>
        <stp/>
        <stp>THETA</stp>
        <stp>.IWM201120C173</stp>
        <tr r="O354" s="1"/>
      </tp>
      <tp t="s">
        <v>N/A</v>
        <stp/>
        <stp>THETA</stp>
        <stp>.IWM201120P173</stp>
        <tr r="O355" s="1"/>
      </tp>
      <tp t="s">
        <v>N/A</v>
        <stp/>
        <stp>THETA</stp>
        <stp>.IWM201120C170</stp>
        <tr r="O346" s="1"/>
      </tp>
      <tp t="s">
        <v>N/A</v>
        <stp/>
        <stp>THETA</stp>
        <stp>.IWM201120P170</stp>
        <tr r="O347" s="1"/>
      </tp>
      <tp t="s">
        <v>N/A</v>
        <stp/>
        <stp>THETA</stp>
        <stp>.IWM201120C171</stp>
        <tr r="O348" s="1"/>
      </tp>
      <tp t="s">
        <v>N/A</v>
        <stp/>
        <stp>THETA</stp>
        <stp>.IWM201120P171</stp>
        <tr r="O349" s="1"/>
      </tp>
      <tp t="s">
        <v>N/A</v>
        <stp/>
        <stp>GAMMA</stp>
        <stp>.IWD201120P129</stp>
        <tr r="N337" s="1"/>
      </tp>
      <tp t="s">
        <v>N/A</v>
        <stp/>
        <stp>GAMMA</stp>
        <stp>.IWD201120C129</stp>
        <tr r="N336" s="1"/>
      </tp>
      <tp t="s">
        <v>N/A</v>
        <stp/>
        <stp>GAMMA</stp>
        <stp>.IWD201120P128</stp>
        <tr r="N335" s="1"/>
      </tp>
      <tp t="s">
        <v>N/A</v>
        <stp/>
        <stp>GAMMA</stp>
        <stp>.IWD201120C128</stp>
        <tr r="N334" s="1"/>
      </tp>
      <tp t="s">
        <v>N/A</v>
        <stp/>
        <stp>GAMMA</stp>
        <stp>.IWD201120P130</stp>
        <tr r="N339" s="1"/>
      </tp>
      <tp t="s">
        <v>N/A</v>
        <stp/>
        <stp>GAMMA</stp>
        <stp>.LQD201120P135</stp>
        <tr r="N408" s="1"/>
      </tp>
      <tp t="s">
        <v>N/A</v>
        <stp/>
        <stp>GAMMA</stp>
        <stp>.IWD201120C130</stp>
        <tr r="N338" s="1"/>
      </tp>
      <tp t="s">
        <v>N/A</v>
        <stp/>
        <stp>GAMMA</stp>
        <stp>.LQD201120C135</stp>
        <tr r="N407" s="1"/>
      </tp>
      <tp t="s">
        <v>N/A</v>
        <stp/>
        <stp>GAMMA</stp>
        <stp>.QLD201120C101</stp>
        <tr r="N473" s="1"/>
      </tp>
      <tp t="s">
        <v>N/A</v>
        <stp/>
        <stp>GAMMA</stp>
        <stp>.QLD201120P101</stp>
        <tr r="N474" s="1"/>
      </tp>
      <tp t="s">
        <v>N/A</v>
        <stp/>
        <stp>GAMMA</stp>
        <stp>.QLD201120C100</stp>
        <tr r="N471" s="1"/>
      </tp>
      <tp t="s">
        <v>N/A</v>
        <stp/>
        <stp>GAMMA</stp>
        <stp>.QLD201120P100</stp>
        <tr r="N472" s="1"/>
      </tp>
      <tp>
        <v>37.869999999999997</v>
        <stp/>
        <stp>ASK</stp>
        <stp>GDX</stp>
        <tr r="I195" s="1"/>
      </tp>
      <tp>
        <v>14.03</v>
        <stp/>
        <stp>BID</stp>
        <stp>DXD</stp>
        <tr r="H91" s="1"/>
      </tp>
      <tp>
        <v>88.94</v>
        <stp/>
        <stp>BID</stp>
        <stp>DVY</stp>
        <tr r="H84" s="1"/>
      </tp>
      <tp>
        <v>0</v>
        <stp/>
        <stp>RHO</stp>
        <stp>TLT</stp>
        <tr r="Q689" s="1"/>
      </tp>
      <tp>
        <v>106.05</v>
        <stp/>
        <stp>LOW</stp>
        <stp>JNK</stp>
        <tr r="K380" s="1"/>
      </tp>
      <tp>
        <v>0</v>
        <stp/>
        <stp>RHO</stp>
        <stp>TIP</stp>
        <tr r="Q686" s="1"/>
      </tp>
      <tp>
        <v>290.7</v>
        <stp/>
        <stp>BID</stp>
        <stp>DIA</stp>
        <tr r="H62" s="1"/>
      </tp>
      <tp>
        <v>0</v>
        <stp/>
        <stp>RHO</stp>
        <stp>TBF</stp>
        <tr r="Q680" s="1"/>
      </tp>
      <tp>
        <v>0</v>
        <stp/>
        <stp>RHO</stp>
        <stp>TBT</stp>
        <tr r="Q683" s="1"/>
      </tp>
      <tp>
        <v>0</v>
        <stp/>
        <stp>RHO</stp>
        <stp>TAN</stp>
        <tr r="Q659" s="1"/>
      </tp>
      <tp>
        <v>0.84</v>
        <stp/>
        <stp>HIGH</stp>
        <stp>.JETS201120P19.5</stp>
        <tr r="J377" s="1"/>
      </tp>
      <tp>
        <v>21.53</v>
        <stp/>
        <stp>BID</stp>
        <stp>ICLN</stp>
        <tr r="H245" s="1"/>
      </tp>
      <tp>
        <v>0.78</v>
        <stp/>
        <stp>HIGH</stp>
        <stp>.JETS201120C19.5</stp>
        <tr r="J376" s="1"/>
      </tp>
      <tp>
        <v>105</v>
        <stp/>
        <stp>BID</stp>
        <stp>VCLT</stp>
        <tr r="H704" s="1"/>
      </tp>
      <tp>
        <v>95.09</v>
        <stp/>
        <stp>BID</stp>
        <stp>VCIT</stp>
        <tr r="H701" s="1"/>
      </tp>
      <tp>
        <v>25</v>
        <stp/>
        <stp>BID</stp>
        <stp>SCHE</stp>
        <tr r="H525" s="1"/>
      </tp>
      <tp>
        <v>60.2</v>
        <stp/>
        <stp>BID</stp>
        <stp>SCHD</stp>
        <tr r="H520" s="1"/>
      </tp>
      <tp>
        <v>33.31</v>
        <stp/>
        <stp>BID</stp>
        <stp>SCHF</stp>
        <tr r="H528" s="1"/>
      </tp>
      <tp>
        <v>79.8</v>
        <stp/>
        <stp>BID</stp>
        <stp>MCHI</stp>
        <tr r="H411" s="1"/>
      </tp>
      <tp>
        <v>60</v>
        <stp/>
        <stp>BID</stp>
        <stp>SCHP</stp>
        <tr r="H531" s="1"/>
      </tp>
      <tp>
        <v>45.81</v>
        <stp/>
        <stp>LAST</stp>
        <stp>KRE</stp>
        <tr r="E388" s="1"/>
      </tp>
      <tp t="s">
        <v>N/A</v>
        <stp/>
        <stp>VEGA</stp>
        <stp>.JETS201120C19.5</stp>
        <tr r="P376" s="1"/>
      </tp>
      <tp t="s">
        <v>N/A</v>
        <stp/>
        <stp>VEGA</stp>
        <stp>.JETS201120P19.5</stp>
        <tr r="P377" s="1"/>
      </tp>
      <tp>
        <v>19.11</v>
        <stp/>
        <stp>LOW</stp>
        <stp>JETS</stp>
        <tr r="K375" s="1"/>
      </tp>
      <tp>
        <v>49.6</v>
        <stp/>
        <stp>ASK</stp>
        <stp>HYLB</stp>
        <tr r="I225" s="1"/>
      </tp>
      <tp>
        <v>56.9221</v>
        <stp/>
        <stp>LOW</stp>
        <stp>IEMG</stp>
        <tr r="K256" s="1"/>
      </tp>
      <tp>
        <v>37.04</v>
        <stp/>
        <stp>LAST</stp>
        <stp>KBE</stp>
        <tr r="E385" s="1"/>
      </tp>
      <tp>
        <v>64.293300000000002</v>
        <stp/>
        <stp>LOW</stp>
        <stp>IEFA</stp>
        <tr r="K251" s="1"/>
      </tp>
      <tp>
        <v>70</v>
        <stp/>
        <stp>BID</stp>
        <stp>ACWI</stp>
        <tr r="H7" s="1"/>
      </tp>
      <tp>
        <v>31.89</v>
        <stp/>
        <stp>BID</stp>
        <stp>ACWX</stp>
        <tr r="H12" s="1"/>
      </tp>
      <tp t="s">
        <v>N/A</v>
        <stp/>
        <stp>GAMMA</stp>
        <stp>.ARKW201120C119</stp>
        <tr r="N41" s="1"/>
      </tp>
      <tp t="s">
        <v>N/A</v>
        <stp/>
        <stp>GAMMA</stp>
        <stp>.ARKW201120P119</stp>
        <tr r="N42" s="1"/>
      </tp>
      <tp t="s">
        <v>N/A</v>
        <stp/>
        <stp>GAMMA</stp>
        <stp>.ARKW201120C118</stp>
        <tr r="N39" s="1"/>
      </tp>
      <tp t="s">
        <v>N/A</v>
        <stp/>
        <stp>GAMMA</stp>
        <stp>.ARKW201120P118</stp>
        <tr r="N40" s="1"/>
      </tp>
      <tp t="s">
        <v>N/A</v>
        <stp/>
        <stp>GAMMA</stp>
        <stp>.ARKW201120C117</stp>
        <tr r="N37" s="1"/>
      </tp>
      <tp t="s">
        <v>N/A</v>
        <stp/>
        <stp>GAMMA</stp>
        <stp>.ARKW201120P117</stp>
        <tr r="N38" s="1"/>
      </tp>
      <tp t="s">
        <v>N/A</v>
        <stp/>
        <stp>GAMMA</stp>
        <stp>.ARKW201120C116</stp>
        <tr r="N35" s="1"/>
      </tp>
      <tp t="s">
        <v>N/A</v>
        <stp/>
        <stp>GAMMA</stp>
        <stp>.ARKW201120P116</stp>
        <tr r="N36" s="1"/>
      </tp>
      <tp>
        <v>0.4</v>
        <stp/>
        <stp>LAST</stp>
        <stp>.IVW201120C61.25</stp>
        <tr r="E331" s="1"/>
      </tp>
      <tp>
        <v>0</v>
        <stp/>
        <stp>OPEN</stp>
        <stp>.IBB201120P138.5</stp>
        <tr r="L232" s="1"/>
      </tp>
      <tp t="s">
        <v>N/A</v>
        <stp/>
        <stp>STRIKE</stp>
        <stp>TBF</stp>
        <tr r="W680" s="1"/>
      </tp>
      <tp t="s">
        <v>N/A</v>
        <stp/>
        <stp>STRIKE</stp>
        <stp>TBT</stp>
        <tr r="W683" s="1"/>
      </tp>
      <tp t="s">
        <v>N/A</v>
        <stp/>
        <stp>STRIKE</stp>
        <stp>TAN</stp>
        <tr r="W659" s="1"/>
      </tp>
      <tp t="s">
        <v>N/A</v>
        <stp/>
        <stp>PROB_OTM</stp>
        <stp>.XOP201120C49.5</stp>
        <tr r="U900" s="1"/>
      </tp>
      <tp t="s">
        <v>N/A</v>
        <stp/>
        <stp>PROB_OTM</stp>
        <stp>.XLB201120C69.5</stp>
        <tr r="U792" s="1"/>
      </tp>
      <tp t="s">
        <v>N/A</v>
        <stp/>
        <stp>PROB_OTM</stp>
        <stp>.XLB201120P69.5</stp>
        <tr r="U793" s="1"/>
      </tp>
      <tp t="s">
        <v>N/A</v>
        <stp/>
        <stp>PROB_OTM</stp>
        <stp>.XOP201120P49.5</stp>
        <tr r="U901" s="1"/>
      </tp>
      <tp t="s">
        <v>N/A</v>
        <stp/>
        <stp>VEGA</stp>
        <stp>.DIA201120P297.5</stp>
        <tr r="P80" s="1"/>
      </tp>
      <tp>
        <v>2.74</v>
        <stp/>
        <stp>LAST</stp>
        <stp>.SMH201120C194.5</stp>
        <tr r="E560" s="1"/>
      </tp>
      <tp>
        <v>1.5</v>
        <stp/>
        <stp>LAST</stp>
        <stp>.QLD201120C101</stp>
        <tr r="E473" s="1"/>
      </tp>
      <tp>
        <v>4.25</v>
        <stp/>
        <stp>LAST</stp>
        <stp>.QLD201120P101</stp>
        <tr r="E474" s="1"/>
      </tp>
      <tp>
        <v>1.75</v>
        <stp/>
        <stp>LAST</stp>
        <stp>.QLD201120C100</stp>
        <tr r="E471" s="1"/>
      </tp>
      <tp>
        <v>4.5</v>
        <stp/>
        <stp>LAST</stp>
        <stp>.QLD201120P100</stp>
        <tr r="E472" s="1"/>
      </tp>
      <tp>
        <v>0.02</v>
        <stp/>
        <stp>PUT_CALL_RATIO</stp>
        <stp>RWM</stp>
        <tr r="C517" s="1"/>
      </tp>
      <tp t="s">
        <v>N/A</v>
        <stp/>
        <stp>LAST</stp>
        <stp>.IWD201120P129</stp>
        <tr r="E337" s="1"/>
      </tp>
      <tp t="s">
        <v>N/A</v>
        <stp/>
        <stp>LAST</stp>
        <stp>.IWD201120C129</stp>
        <tr r="E336" s="1"/>
      </tp>
      <tp t="s">
        <v>N/A</v>
        <stp/>
        <stp>LAST</stp>
        <stp>.IWD201120P128</stp>
        <tr r="E335" s="1"/>
      </tp>
      <tp t="s">
        <v>N/A</v>
        <stp/>
        <stp>LAST</stp>
        <stp>.IWD201120C128</stp>
        <tr r="E334" s="1"/>
      </tp>
      <tp t="s">
        <v>N/A</v>
        <stp/>
        <stp>STRIKE</stp>
        <stp>TIP</stp>
        <tr r="W686" s="1"/>
      </tp>
      <tp t="s">
        <v>N/A</v>
        <stp/>
        <stp>LAST</stp>
        <stp>.IWD201120P130</stp>
        <tr r="E339" s="1"/>
      </tp>
      <tp>
        <v>0.42</v>
        <stp/>
        <stp>LAST</stp>
        <stp>.LQD201120P135</stp>
        <tr r="E408" s="1"/>
      </tp>
      <tp>
        <v>0.63</v>
        <stp/>
        <stp>LAST</stp>
        <stp>.IWD201120C130</stp>
        <tr r="E338" s="1"/>
      </tp>
      <tp t="s">
        <v>N/A</v>
        <stp/>
        <stp>LAST</stp>
        <stp>.LQD201120C135</stp>
        <tr r="E407" s="1"/>
      </tp>
      <tp>
        <v>8.1300000000000008</v>
        <stp/>
        <stp>HIGH</stp>
        <stp>.DIA201120P297.5</stp>
        <tr r="J80" s="1"/>
      </tp>
      <tp>
        <v>2.7829999999999999</v>
        <stp/>
        <stp>PUT_CALL_RATIO</stp>
        <stp>RSX</stp>
        <tr r="C512" s="1"/>
      </tp>
      <tp>
        <v>1.2949999999999999</v>
        <stp/>
        <stp>PUT_CALL_RATIO</stp>
        <stp>RSP</stp>
        <tr r="C505" s="1"/>
      </tp>
      <tp t="s">
        <v>N/A</v>
        <stp/>
        <stp>STRIKE</stp>
        <stp>TLT</stp>
        <tr r="W689" s="1"/>
      </tp>
      <tp>
        <v>0</v>
        <stp/>
        <stp>GAMMA</stp>
        <stp>USMV</stp>
        <tr r="N698" s="1"/>
      </tp>
      <tp t="s">
        <v>N/A</v>
        <stp/>
        <stp>OPEN</stp>
        <stp>.IBB201120C138.5</stp>
        <tr r="L231" s="1"/>
      </tp>
      <tp t="s">
        <v>N/A</v>
        <stp/>
        <stp>LAST</stp>
        <stp>.IVW201120P61.25</stp>
        <tr r="E332" s="1"/>
      </tp>
      <tp>
        <v>2.97</v>
        <stp/>
        <stp>LAST</stp>
        <stp>.SMH201120P194.5</stp>
        <tr r="E561" s="1"/>
      </tp>
      <tp>
        <v>0</v>
        <stp/>
        <stp>GAMMA</stp>
        <stp>ASHR</stp>
        <tr r="N43" s="1"/>
      </tp>
      <tp t="s">
        <v>N/A</v>
        <stp/>
        <stp>VEGA</stp>
        <stp>.DIA201120C297.5</stp>
        <tr r="P79" s="1"/>
      </tp>
      <tp t="s">
        <v>N/A</v>
        <stp/>
        <stp>OPEN</stp>
        <stp>.AGG201120P117</stp>
        <tr r="L17" s="1"/>
      </tp>
      <tp t="s">
        <v>N/A</v>
        <stp/>
        <stp>OPEN</stp>
        <stp>.AGG201120C117</stp>
        <tr r="L16" s="1"/>
      </tp>
      <tp t="s">
        <v>N/A</v>
        <stp/>
        <stp>PROB_OTM</stp>
        <stp>.EFA201120C69.5</stp>
        <tr r="U104" s="1"/>
      </tp>
      <tp t="s">
        <v>N/A</v>
        <stp/>
        <stp>PROB_OTM</stp>
        <stp>.EWW201120P39.5</stp>
        <tr r="U160" s="1"/>
      </tp>
      <tp t="s">
        <v>N/A</v>
        <stp/>
        <stp>PROB_OTM</stp>
        <stp>.EWW201120C39.5</stp>
        <tr r="U159" s="1"/>
      </tp>
      <tp t="s">
        <v>N/A</v>
        <stp/>
        <stp>PROB_OTM</stp>
        <stp>.EFA201120P69.5</stp>
        <tr r="U105" s="1"/>
      </tp>
      <tp>
        <v>43408016</v>
        <stp/>
        <stp>VOLUME</stp>
        <stp>HYG</stp>
        <tr r="F220" s="1"/>
      </tp>
      <tp t="s">
        <v>N/A</v>
        <stp/>
        <stp>PROB_OTM</stp>
        <stp>.FEZ201120C39.5</stp>
        <tr r="U181" s="1"/>
      </tp>
      <tp t="s">
        <v>N/A</v>
        <stp/>
        <stp>PROB_OTM</stp>
        <stp>.FEZ201120P39.5</stp>
        <tr r="U182" s="1"/>
      </tp>
      <tp>
        <v>8413</v>
        <stp/>
        <stp>OPEN_INT</stp>
        <stp>.MJ201120C13</stp>
        <tr r="G424" s="1"/>
      </tp>
      <tp>
        <v>1.57</v>
        <stp/>
        <stp>HIGH</stp>
        <stp>.DIA201120C297.5</stp>
        <tr r="J79" s="1"/>
      </tp>
      <tp t="s">
        <v>N/A</v>
        <stp/>
        <stp>GAMMA</stp>
        <stp>.IWF201120P225</stp>
        <tr r="N342" s="1"/>
      </tp>
      <tp t="s">
        <v>N/A</v>
        <stp/>
        <stp>GAMMA</stp>
        <stp>.IWF201120C225</stp>
        <tr r="N341" s="1"/>
      </tp>
      <tp t="s">
        <v>N/A</v>
        <stp/>
        <stp>GAMMA</stp>
        <stp>.IVE201120P123</stp>
        <tr r="N308" s="1"/>
      </tp>
      <tp t="s">
        <v>N/A</v>
        <stp/>
        <stp>GAMMA</stp>
        <stp>.IVE201120C123</stp>
        <tr r="N307" s="1"/>
      </tp>
      <tp t="s">
        <v>N/A</v>
        <stp/>
        <stp>GAMMA</stp>
        <stp>.IVE201120P122</stp>
        <tr r="N306" s="1"/>
      </tp>
      <tp t="s">
        <v>N/A</v>
        <stp/>
        <stp>GAMMA</stp>
        <stp>.IVE201120C122</stp>
        <tr r="N305" s="1"/>
      </tp>
      <tp t="s">
        <v>N/A</v>
        <stp/>
        <stp>GAMMA</stp>
        <stp>.IVE201120P121</stp>
        <tr r="N304" s="1"/>
      </tp>
      <tp t="s">
        <v>N/A</v>
        <stp/>
        <stp>GAMMA</stp>
        <stp>.IVE201120C121</stp>
        <tr r="N303" s="1"/>
      </tp>
      <tp>
        <v>83.22</v>
        <stp/>
        <stp>LOW</stp>
        <stp>IYR</stp>
        <tr r="K366" s="1"/>
      </tp>
      <tp>
        <v>17.25</v>
        <stp/>
        <stp>LOW</stp>
        <stp>IYE</stp>
        <tr r="K363" s="1"/>
      </tp>
      <tp>
        <v>53.86</v>
        <stp/>
        <stp>LOW</stp>
        <stp>ITB</stp>
        <tr r="K288" s="1"/>
      </tp>
      <tp>
        <v>290.95999999999998</v>
        <stp/>
        <stp>ASK</stp>
        <stp>DIA</stp>
        <tr r="I62" s="1"/>
      </tp>
      <tp>
        <v>352.54</v>
        <stp/>
        <stp>LOW</stp>
        <stp>IVV</stp>
        <tr r="K309" s="1"/>
      </tp>
      <tp>
        <v>60.06</v>
        <stp/>
        <stp>LOW</stp>
        <stp>IVW</stp>
        <tr r="K330" s="1"/>
      </tp>
      <tp>
        <v>119.74</v>
        <stp/>
        <stp>LOW</stp>
        <stp>IVE</stp>
        <tr r="K302" s="1"/>
      </tp>
      <tp>
        <v>168.34</v>
        <stp/>
        <stp>LOW</stp>
        <stp>IWM</stp>
        <tr r="K345" s="1"/>
      </tp>
      <tp>
        <v>223.84</v>
        <stp/>
        <stp>LOW</stp>
        <stp>IWF</stp>
        <tr r="K340" s="1"/>
      </tp>
      <tp>
        <v>126.565</v>
        <stp/>
        <stp>LOW</stp>
        <stp>IWD</stp>
        <tr r="K333" s="1"/>
      </tp>
      <tp>
        <v>78.84</v>
        <stp/>
        <stp>LOW</stp>
        <stp>IJR</stp>
        <tr r="K274" s="1"/>
      </tp>
      <tp>
        <v>204.99</v>
        <stp/>
        <stp>LOW</stp>
        <stp>IJH</stp>
        <tr r="K271" s="1"/>
      </tp>
      <tp>
        <v>90.78</v>
        <stp/>
        <stp>ASK</stp>
        <stp>DVY</stp>
        <tr r="I84" s="1"/>
      </tp>
      <tp>
        <v>24.1</v>
        <stp/>
        <stp>LOW</stp>
        <stp>ILF</stp>
        <tr r="K277" s="1"/>
      </tp>
      <tp>
        <v>37.56</v>
        <stp/>
        <stp>BID</stp>
        <stp>GDX</stp>
        <tr r="H195" s="1"/>
      </tp>
      <tp>
        <v>138.47999999999999</v>
        <stp/>
        <stp>LOW</stp>
        <stp>IBB</stp>
        <tr r="K228" s="1"/>
      </tp>
      <tp>
        <v>14.05</v>
        <stp/>
        <stp>ASK</stp>
        <stp>DXD</stp>
        <tr r="I91" s="1"/>
      </tp>
      <tp>
        <v>119.78</v>
        <stp/>
        <stp>LOW</stp>
        <stp>IEF</stp>
        <tr r="K248" s="1"/>
      </tp>
      <tp>
        <v>318.31</v>
        <stp/>
        <stp>LOW</stp>
        <stp>IGV</stp>
        <tr r="K264" s="1"/>
      </tp>
      <tp>
        <v>85.15</v>
        <stp/>
        <stp>LAST</stp>
        <stp>HYG</stp>
        <tr r="E220" s="1"/>
      </tp>
      <tp t="s">
        <v>N/A</v>
        <stp/>
        <stp>GAMMA</stp>
        <stp>.VCLT201120C107</stp>
        <tr r="N705" s="1"/>
      </tp>
      <tp t="s">
        <v>N/A</v>
        <stp/>
        <stp>GAMMA</stp>
        <stp>.VCLT201120P107</stp>
        <tr r="N706" s="1"/>
      </tp>
      <tp>
        <v>0</v>
        <stp/>
        <stp>RHO</stp>
        <stp>NAIL</stp>
        <tr r="Q438" s="1"/>
      </tp>
      <tp t="s">
        <v>N/A</v>
        <stp/>
        <stp>OPEN</stp>
        <stp>.AMLP201120C23.5</stp>
        <tr r="L21" s="1"/>
      </tp>
      <tp>
        <v>0</v>
        <stp/>
        <stp>OPEN</stp>
        <stp>.AMLP201120P23.5</stp>
        <tr r="L22" s="1"/>
      </tp>
      <tp>
        <v>12.74</v>
        <stp/>
        <stp>LOW</stp>
        <stp>DFEN</stp>
        <tr r="K54" s="1"/>
      </tp>
      <tp>
        <v>0</v>
        <stp/>
        <stp>RHO</stp>
        <stp>AAXJ</stp>
        <tr r="Q2" s="1"/>
      </tp>
      <tp>
        <v>0</v>
        <stp/>
        <stp>VEGA</stp>
        <stp>LQD</stp>
        <tr r="P404" s="1"/>
      </tp>
      <tp t="s">
        <v>N/A</v>
        <stp/>
        <stp>HIGH</stp>
        <stp>.IEF201120P119.5</stp>
        <tr r="J250" s="1"/>
      </tp>
      <tp>
        <v>5521565</v>
        <stp/>
        <stp>VOLUME</stp>
        <stp>KBE</stp>
        <tr r="F385" s="1"/>
      </tp>
      <tp>
        <v>0</v>
        <stp/>
        <stp>GAMMA</stp>
        <stp>SPYV</stp>
        <tr r="N634" s="1"/>
      </tp>
      <tp>
        <v>0</v>
        <stp/>
        <stp>GAMMA</stp>
        <stp>SPYG</stp>
        <tr r="N629" s="1"/>
      </tp>
      <tp>
        <v>2.4</v>
        <stp/>
        <stp>HIGH</stp>
        <stp>.IBB201120P139.5</stp>
        <tr r="J236" s="1"/>
      </tp>
      <tp>
        <v>1.54</v>
        <stp/>
        <stp>LAST</stp>
        <stp>.SMH201120C197.5</stp>
        <tr r="E572" s="1"/>
      </tp>
      <tp t="s">
        <v>N/A</v>
        <stp/>
        <stp>LAST</stp>
        <stp>.AGG201120C117</stp>
        <tr r="E16" s="1"/>
      </tp>
      <tp t="s">
        <v>N/A</v>
        <stp/>
        <stp>LAST</stp>
        <stp>.AGG201120P117</stp>
        <tr r="E17" s="1"/>
      </tp>
      <tp>
        <v>6.59</v>
        <stp/>
        <stp>LAST</stp>
        <stp>.SPY201120P357.5</stp>
        <tr r="E620" s="1"/>
      </tp>
      <tp t="s">
        <v>N/A</v>
        <stp/>
        <stp>VEGA</stp>
        <stp>.IEF201120P119.5</stp>
        <tr r="P250" s="1"/>
      </tp>
      <tp t="s">
        <v>N/A</v>
        <stp/>
        <stp>PROB_OTM</stp>
        <stp>.MJ201120P13</stp>
        <tr r="U425" s="1"/>
      </tp>
      <tp t="s">
        <v>N/A</v>
        <stp/>
        <stp>VEGA</stp>
        <stp>.IBB201120P139.5</stp>
        <tr r="P236" s="1"/>
      </tp>
      <tp>
        <v>1.909</v>
        <stp/>
        <stp>PUT_CALL_RATIO</stp>
        <stp>QQQ</stp>
        <tr r="C475" s="1"/>
      </tp>
      <tp>
        <v>0</v>
        <stp/>
        <stp>GAMMA</stp>
        <stp>SPLV</stp>
        <tr r="N587" s="1"/>
      </tp>
      <tp>
        <v>0</v>
        <stp/>
        <stp>GAMMA</stp>
        <stp>SPLG</stp>
        <tr r="N584" s="1"/>
      </tp>
      <tp>
        <v>10770721</v>
        <stp/>
        <stp>VOLUME</stp>
        <stp>KRE</stp>
        <tr r="F388" s="1"/>
      </tp>
      <tp>
        <v>0.85899999999999999</v>
        <stp/>
        <stp>PUT_CALL_RATIO</stp>
        <stp>QLD</stp>
        <tr r="C462" s="1"/>
      </tp>
      <tp t="s">
        <v>N/A</v>
        <stp/>
        <stp>HIGH</stp>
        <stp>.IEF201120C119.5</stp>
        <tr r="J249" s="1"/>
      </tp>
      <tp t="s">
        <v>N/A</v>
        <stp/>
        <stp>HIGH</stp>
        <stp>.IBB201120C139.5</stp>
        <tr r="J235" s="1"/>
      </tp>
      <tp>
        <v>4.9000000000000004</v>
        <stp/>
        <stp>LAST</stp>
        <stp>.SMH201120P197.5</stp>
        <tr r="E573" s="1"/>
      </tp>
      <tp>
        <v>0</v>
        <stp/>
        <stp>GAMMA</stp>
        <stp>SPHD</stp>
        <tr r="N581" s="1"/>
      </tp>
      <tp>
        <v>0</v>
        <stp/>
        <stp>GAMMA</stp>
        <stp>SPDW</stp>
        <tr r="N578" s="1"/>
      </tp>
      <tp>
        <v>4.25</v>
        <stp/>
        <stp>OPEN</stp>
        <stp>.QLD201120P101</stp>
        <tr r="L474" s="1"/>
      </tp>
      <tp>
        <v>2</v>
        <stp/>
        <stp>OPEN</stp>
        <stp>.QLD201120C101</stp>
        <tr r="L473" s="1"/>
      </tp>
      <tp>
        <v>4.62</v>
        <stp/>
        <stp>OPEN</stp>
        <stp>.QLD201120P100</stp>
        <tr r="L472" s="1"/>
      </tp>
      <tp>
        <v>2.7</v>
        <stp/>
        <stp>OPEN</stp>
        <stp>.QLD201120C100</stp>
        <tr r="L471" s="1"/>
      </tp>
      <tp>
        <v>0.63</v>
        <stp/>
        <stp>OPEN</stp>
        <stp>.IWD201120C130</stp>
        <tr r="L338" s="1"/>
      </tp>
      <tp t="s">
        <v>N/A</v>
        <stp/>
        <stp>OPEN</stp>
        <stp>.LQD201120C135</stp>
        <tr r="L407" s="1"/>
      </tp>
      <tp t="s">
        <v>N/A</v>
        <stp/>
        <stp>OPEN</stp>
        <stp>.IWD201120P130</stp>
        <tr r="L339" s="1"/>
      </tp>
      <tp>
        <v>0.46</v>
        <stp/>
        <stp>OPEN</stp>
        <stp>.LQD201120P135</stp>
        <tr r="L408" s="1"/>
      </tp>
      <tp>
        <v>2.4500000000000002</v>
        <stp/>
        <stp>LAST</stp>
        <stp>.SPY201120C357.5</stp>
        <tr r="E619" s="1"/>
      </tp>
      <tp t="s">
        <v>N/A</v>
        <stp/>
        <stp>VEGA</stp>
        <stp>.IEF201120C119.5</stp>
        <tr r="P249" s="1"/>
      </tp>
      <tp t="s">
        <v>N/A</v>
        <stp/>
        <stp>OPEN</stp>
        <stp>.IWD201120C129</stp>
        <tr r="L336" s="1"/>
      </tp>
      <tp t="s">
        <v>N/A</v>
        <stp/>
        <stp>OPEN</stp>
        <stp>.IWD201120P129</stp>
        <tr r="L337" s="1"/>
      </tp>
      <tp t="s">
        <v>N/A</v>
        <stp/>
        <stp>OPEN</stp>
        <stp>.IWD201120C128</stp>
        <tr r="L334" s="1"/>
      </tp>
      <tp t="s">
        <v>N/A</v>
        <stp/>
        <stp>OPEN</stp>
        <stp>.IWD201120P128</stp>
        <tr r="L335" s="1"/>
      </tp>
      <tp t="s">
        <v>N/A</v>
        <stp/>
        <stp>VEGA</stp>
        <stp>.IBB201120C139.5</stp>
        <tr r="P235" s="1"/>
      </tp>
      <tp t="s">
        <v>N/A</v>
        <stp/>
        <stp>DELTA</stp>
        <stp>.DIA201120C293</stp>
        <tr r="M69" s="1"/>
      </tp>
      <tp t="s">
        <v>N/A</v>
        <stp/>
        <stp>DELTA</stp>
        <stp>.DIA201120P293</stp>
        <tr r="M70" s="1"/>
      </tp>
      <tp t="s">
        <v>N/A</v>
        <stp/>
        <stp>DELTA</stp>
        <stp>.DIA201120C292</stp>
        <tr r="M65" s="1"/>
      </tp>
      <tp t="s">
        <v>N/A</v>
        <stp/>
        <stp>DELTA</stp>
        <stp>.DIA201120P292</stp>
        <tr r="M66" s="1"/>
      </tp>
      <tp t="s">
        <v>N/A</v>
        <stp/>
        <stp>DELTA</stp>
        <stp>.DIA201120C291</stp>
        <tr r="M63" s="1"/>
      </tp>
      <tp t="s">
        <v>N/A</v>
        <stp/>
        <stp>DELTA</stp>
        <stp>.DIA201120P291</stp>
        <tr r="M64" s="1"/>
      </tp>
      <tp t="s">
        <v>N/A</v>
        <stp/>
        <stp>DELTA</stp>
        <stp>.DIA201120C297</stp>
        <tr r="M77" s="1"/>
      </tp>
      <tp t="s">
        <v>N/A</v>
        <stp/>
        <stp>DELTA</stp>
        <stp>.DIA201120P297</stp>
        <tr r="M78" s="1"/>
      </tp>
      <tp t="s">
        <v>N/A</v>
        <stp/>
        <stp>DELTA</stp>
        <stp>.DIA201120C296</stp>
        <tr r="M75" s="1"/>
      </tp>
      <tp t="s">
        <v>N/A</v>
        <stp/>
        <stp>DELTA</stp>
        <stp>.DIA201120P296</stp>
        <tr r="M76" s="1"/>
      </tp>
      <tp t="s">
        <v>N/A</v>
        <stp/>
        <stp>DELTA</stp>
        <stp>.DIA201120C295</stp>
        <tr r="M73" s="1"/>
      </tp>
      <tp t="s">
        <v>N/A</v>
        <stp/>
        <stp>DELTA</stp>
        <stp>.DIA201120P295</stp>
        <tr r="M74" s="1"/>
      </tp>
      <tp t="s">
        <v>N/A</v>
        <stp/>
        <stp>DELTA</stp>
        <stp>.DIA201120C294</stp>
        <tr r="M71" s="1"/>
      </tp>
      <tp t="s">
        <v>N/A</v>
        <stp/>
        <stp>DELTA</stp>
        <stp>.DIA201120P294</stp>
        <tr r="M72" s="1"/>
      </tp>
      <tp t="s">
        <v>N/A</v>
        <stp/>
        <stp>DELTA</stp>
        <stp>.IBB201120C138</stp>
        <tr r="M229" s="1"/>
      </tp>
      <tp t="s">
        <v>N/A</v>
        <stp/>
        <stp>DELTA</stp>
        <stp>.IBB201120P138</stp>
        <tr r="M230" s="1"/>
      </tp>
      <tp t="s">
        <v>N/A</v>
        <stp/>
        <stp>DELTA</stp>
        <stp>.IBB201120C139</stp>
        <tr r="M233" s="1"/>
      </tp>
      <tp t="s">
        <v>N/A</v>
        <stp/>
        <stp>DELTA</stp>
        <stp>.IBB201120P139</stp>
        <tr r="M234" s="1"/>
      </tp>
      <tp t="s">
        <v>N/A</v>
        <stp/>
        <stp>DELTA</stp>
        <stp>.EMB201120C114</stp>
        <tr r="M112" s="1"/>
      </tp>
      <tp t="s">
        <v>N/A</v>
        <stp/>
        <stp>DELTA</stp>
        <stp>.EMB201120P114</stp>
        <tr r="M113" s="1"/>
      </tp>
      <tp t="s">
        <v>N/A</v>
        <stp/>
        <stp>DELTA</stp>
        <stp>.MUB201120P116</stp>
        <tr r="M437" s="1"/>
      </tp>
      <tp t="s">
        <v>N/A</v>
        <stp/>
        <stp>DELTA</stp>
        <stp>.MUB201120C116</stp>
        <tr r="M436" s="1"/>
      </tp>
      <tp t="s">
        <v>N/A</v>
        <stp/>
        <stp>DELTA</stp>
        <stp>.IBB201120C140</stp>
        <tr r="M237" s="1"/>
      </tp>
      <tp t="s">
        <v>N/A</v>
        <stp/>
        <stp>DELTA</stp>
        <stp>.IBB201120P140</stp>
        <tr r="M238" s="1"/>
      </tp>
      <tp t="s">
        <v>N/A</v>
        <stp/>
        <stp>DELTA</stp>
        <stp>.IBB201120C141</stp>
        <tr r="M241" s="1"/>
      </tp>
      <tp t="s">
        <v>N/A</v>
        <stp/>
        <stp>DELTA</stp>
        <stp>.IBB201120P141</stp>
        <tr r="M242" s="1"/>
      </tp>
      <tp>
        <v>48.23</v>
        <stp/>
        <stp>ASK</stp>
        <stp>EEM</stp>
        <tr r="I94" s="1"/>
      </tp>
      <tp>
        <v>85.15</v>
        <stp/>
        <stp>LOW</stp>
        <stp>HYG</stp>
        <tr r="K220" s="1"/>
      </tp>
      <tp>
        <v>68.41</v>
        <stp/>
        <stp>ASK</stp>
        <stp>EFA</stp>
        <tr r="I101" s="1"/>
      </tp>
      <tp>
        <v>46.51</v>
        <stp/>
        <stp>ASK</stp>
        <stp>EFV</stp>
        <tr r="I108" s="1"/>
      </tp>
      <tp>
        <v>46.88</v>
        <stp/>
        <stp>BID</stp>
        <stp>FXI</stp>
        <tr r="H188" s="1"/>
      </tp>
      <tp>
        <v>0</v>
        <stp/>
        <stp>RHO</stp>
        <stp>VYM</stp>
        <tr r="Q758" s="1"/>
      </tp>
      <tp>
        <v>33.64</v>
        <stp/>
        <stp>BID</stp>
        <stp>FVD</stp>
        <tr r="H185" s="1"/>
      </tp>
      <tp>
        <v>0</v>
        <stp/>
        <stp>RHO</stp>
        <stp>VWO</stp>
        <tr r="Q748" s="1"/>
      </tp>
      <tp>
        <v>114.19</v>
        <stp/>
        <stp>ASK</stp>
        <stp>EMB</stp>
        <tr r="I111" s="1"/>
      </tp>
      <tp>
        <v>0</v>
        <stp/>
        <stp>RHO</stp>
        <stp>VTI</stp>
        <tr r="Q739" s="1"/>
      </tp>
      <tp>
        <v>0</v>
        <stp/>
        <stp>RHO</stp>
        <stp>VOO</stp>
        <tr r="Q729" s="1"/>
      </tp>
      <tp>
        <v>0</v>
        <stp/>
        <stp>RHO</stp>
        <stp>VNQ</stp>
        <tr r="Q724" s="1"/>
      </tp>
      <tp>
        <v>28.85</v>
        <stp/>
        <stp>ASK</stp>
        <stp>EWC</stp>
        <tr r="I123" s="1"/>
      </tp>
      <tp>
        <v>22.9</v>
        <stp/>
        <stp>ASK</stp>
        <stp>EWA</stp>
        <tr r="I120" s="1"/>
      </tp>
      <tp>
        <v>30.3</v>
        <stp/>
        <stp>ASK</stp>
        <stp>EWG</stp>
        <tr r="I126" s="1"/>
      </tp>
      <tp>
        <v>63.03</v>
        <stp/>
        <stp>ASK</stp>
        <stp>EWJ</stp>
        <tr r="I135" s="1"/>
      </tp>
      <tp>
        <v>24.1</v>
        <stp/>
        <stp>ASK</stp>
        <stp>EWH</stp>
        <tr r="I129" s="1"/>
      </tp>
      <tp>
        <v>27.5</v>
        <stp/>
        <stp>ASK</stp>
        <stp>EWI</stp>
        <tr r="I132" s="1"/>
      </tp>
      <tp>
        <v>51.89</v>
        <stp/>
        <stp>ASK</stp>
        <stp>EWL</stp>
        <tr r="I142" s="1"/>
      </tp>
      <tp>
        <v>28.27</v>
        <stp/>
        <stp>ASK</stp>
        <stp>EWP</stp>
        <tr r="I145" s="1"/>
      </tp>
      <tp>
        <v>39.79</v>
        <stp/>
        <stp>ASK</stp>
        <stp>EWW</stp>
        <tr r="I154" s="1"/>
      </tp>
      <tp>
        <v>50.03</v>
        <stp/>
        <stp>ASK</stp>
        <stp>EWT</stp>
        <tr r="I148" s="1"/>
      </tp>
      <tp>
        <v>29.07</v>
        <stp/>
        <stp>ASK</stp>
        <stp>EWU</stp>
        <tr r="I151" s="1"/>
      </tp>
      <tp>
        <v>31.51</v>
        <stp/>
        <stp>ASK</stp>
        <stp>EWZ</stp>
        <tr r="I172" s="1"/>
      </tp>
      <tp>
        <v>72.989999999999995</v>
        <stp/>
        <stp>ASK</stp>
        <stp>EWY</stp>
        <tr r="I161" s="1"/>
      </tp>
      <tp>
        <v>0</v>
        <stp/>
        <stp>RHO</stp>
        <stp>VGK</stp>
        <tr r="Q721" s="1"/>
      </tp>
      <tp>
        <v>0</v>
        <stp/>
        <stp>RHO</stp>
        <stp>VFH</stp>
        <tr r="Q713" s="1"/>
      </tp>
      <tp>
        <v>0</v>
        <stp/>
        <stp>RHO</stp>
        <stp>VEA</stp>
        <tr r="Q707" s="1"/>
      </tp>
      <tp>
        <v>0</v>
        <stp/>
        <stp>RHO</stp>
        <stp>VEU</stp>
        <tr r="Q710" s="1"/>
      </tp>
      <tp>
        <v>30.61</v>
        <stp/>
        <stp>BID</stp>
        <stp>FEZ</stp>
        <tr r="H180" s="1"/>
      </tp>
      <tp>
        <v>42</v>
        <stp/>
        <stp>ASK</stp>
        <stp>EZU</stp>
        <tr r="I177" s="1"/>
      </tp>
      <tp>
        <v>84.01</v>
        <stp/>
        <stp>OPEN</stp>
        <stp>XLI</stp>
        <tr r="L813" s="1"/>
      </tp>
      <tp>
        <v>121.26</v>
        <stp/>
        <stp>OPEN</stp>
        <stp>XLK</stp>
        <tr r="L824" s="1"/>
      </tp>
      <tp>
        <v>33.19</v>
        <stp/>
        <stp>OPEN</stp>
        <stp>XLE</stp>
        <tr r="L803" s="1"/>
      </tp>
      <tp>
        <v>26.71</v>
        <stp/>
        <stp>OPEN</stp>
        <stp>XLF</stp>
        <tr r="L810" s="1"/>
      </tp>
      <tp>
        <v>68.989999999999995</v>
        <stp/>
        <stp>OPEN</stp>
        <stp>XLB</stp>
        <tr r="L787" s="1"/>
      </tp>
      <tp>
        <v>63.49</v>
        <stp/>
        <stp>OPEN</stp>
        <stp>XLC</stp>
        <tr r="L796" s="1"/>
      </tp>
      <tp>
        <v>153.05000000000001</v>
        <stp/>
        <stp>OPEN</stp>
        <stp>XLY</stp>
        <tr r="L867" s="1"/>
      </tp>
      <tp>
        <v>66.12</v>
        <stp/>
        <stp>OPEN</stp>
        <stp>XLU</stp>
        <tr r="L849" s="1"/>
      </tp>
      <tp>
        <v>110.92</v>
        <stp/>
        <stp>OPEN</stp>
        <stp>XLV</stp>
        <tr r="L856" s="1"/>
      </tp>
      <tp>
        <v>66.61</v>
        <stp/>
        <stp>OPEN</stp>
        <stp>XLP</stp>
        <tr r="L841" s="1"/>
      </tp>
      <tp>
        <v>26.81</v>
        <stp/>
        <stp>OPEN</stp>
        <stp>XME</stp>
        <tr r="L884" s="1"/>
      </tp>
      <tp>
        <v>83.75</v>
        <stp/>
        <stp>LAST</stp>
        <stp>IYR</stp>
        <tr r="E366" s="1"/>
      </tp>
      <tp>
        <v>17.39</v>
        <stp/>
        <stp>LAST</stp>
        <stp>IYE</stp>
        <tr r="E363" s="1"/>
      </tp>
      <tp>
        <v>47.45</v>
        <stp/>
        <stp>OPEN</stp>
        <stp>XOP</stp>
        <tr r="L889" s="1"/>
      </tp>
      <tp>
        <v>55.6</v>
        <stp/>
        <stp>OPEN</stp>
        <stp>XHB</stp>
        <tr r="L780" s="1"/>
      </tp>
      <tp>
        <v>43.36</v>
        <stp/>
        <stp>BID</stp>
        <stp>NAIL</stp>
        <tr r="H438" s="1"/>
      </tp>
      <tp>
        <v>0.7</v>
        <stp/>
        <stp>OPEN</stp>
        <stp>.JETS201120P19.5</stp>
        <tr r="L377" s="1"/>
      </tp>
      <tp>
        <v>0.6</v>
        <stp/>
        <stp>OPEN</stp>
        <stp>.JETS201120C19.5</stp>
        <tr r="L376" s="1"/>
      </tp>
      <tp t="s">
        <v>N/A</v>
        <stp/>
        <stp>DESCRIPTION</stp>
        <stp>BKLN</stp>
        <tr r="B48" s="1"/>
      </tp>
      <tp>
        <v>117.63</v>
        <stp/>
        <stp>HIGH</stp>
        <stp>AGG</stp>
        <tr r="J15" s="1"/>
      </tp>
      <tp>
        <v>0</v>
        <stp/>
        <stp>VEGA</stp>
        <stp>MDY</stp>
        <tr r="P414" s="1"/>
      </tp>
      <tp>
        <v>354.52</v>
        <stp/>
        <stp>LAST</stp>
        <stp>IVV</stp>
        <tr r="E309" s="1"/>
      </tp>
      <tp>
        <v>60.3</v>
        <stp/>
        <stp>LAST</stp>
        <stp>IVW</stp>
        <tr r="E330" s="1"/>
      </tp>
      <tp>
        <v>120.61</v>
        <stp/>
        <stp>LAST</stp>
        <stp>IVE</stp>
        <tr r="E302" s="1"/>
      </tp>
      <tp>
        <v>42.1233</v>
        <stp/>
        <stp>LOW</stp>
        <stp>DGRO</stp>
        <tr r="K59" s="1"/>
      </tp>
      <tp>
        <v>224.8</v>
        <stp/>
        <stp>LAST</stp>
        <stp>IWF</stp>
        <tr r="E340" s="1"/>
      </tp>
      <tp>
        <v>127.53</v>
        <stp/>
        <stp>LAST</stp>
        <stp>IWD</stp>
        <tr r="E333" s="1"/>
      </tp>
      <tp>
        <v>169.98</v>
        <stp/>
        <stp>LAST</stp>
        <stp>IWM</stp>
        <tr r="E345" s="1"/>
      </tp>
      <tp>
        <v>123.71</v>
        <stp/>
        <stp>OPEN</stp>
        <stp>XBI</stp>
        <tr r="L763" s="1"/>
      </tp>
      <tp>
        <v>54.41</v>
        <stp/>
        <stp>LAST</stp>
        <stp>ITB</stp>
        <tr r="E288" s="1"/>
      </tp>
      <tp>
        <v>79.599999999999994</v>
        <stp/>
        <stp>LAST</stp>
        <stp>IJR</stp>
        <tr r="E274" s="1"/>
      </tp>
      <tp>
        <v>206.42</v>
        <stp/>
        <stp>LAST</stp>
        <stp>IJH</stp>
        <tr r="E271" s="1"/>
      </tp>
      <tp t="s">
        <v>N/A</v>
        <stp/>
        <stp>DELTA</stp>
        <stp>.VCLT201120C107</stp>
        <tr r="M705" s="1"/>
      </tp>
      <tp t="s">
        <v>N/A</v>
        <stp/>
        <stp>DELTA</stp>
        <stp>.VCLT201120P107</stp>
        <tr r="M706" s="1"/>
      </tp>
      <tp>
        <v>79.55</v>
        <stp/>
        <stp>BID</stp>
        <stp>AAXJ</stp>
        <tr r="H2" s="1"/>
      </tp>
      <tp>
        <v>24.22</v>
        <stp/>
        <stp>LAST</stp>
        <stp>ILF</stp>
        <tr r="E277" s="1"/>
      </tp>
      <tp>
        <v>60.88</v>
        <stp/>
        <stp>LOW</stp>
        <stp>IGIB</stp>
        <tr r="K261" s="1"/>
      </tp>
      <tp>
        <v>69.790000000000006</v>
        <stp/>
        <stp>LOW</stp>
        <stp>VGIT</stp>
        <tr r="K718" s="1"/>
      </tp>
      <tp>
        <v>139.53</v>
        <stp/>
        <stp>LAST</stp>
        <stp>IBB</stp>
        <tr r="E228" s="1"/>
      </tp>
      <tp>
        <v>0</v>
        <stp/>
        <stp>VEGA</stp>
        <stp>MUB</stp>
        <tr r="P435" s="1"/>
      </tp>
      <tp>
        <v>319.47000000000003</v>
        <stp/>
        <stp>LAST</stp>
        <stp>IGV</stp>
        <tr r="E264" s="1"/>
      </tp>
      <tp>
        <v>54.47</v>
        <stp/>
        <stp>OPEN</stp>
        <stp>XRT</stp>
        <tr r="L902" s="1"/>
      </tp>
      <tp>
        <v>120.14</v>
        <stp/>
        <stp>LAST</stp>
        <stp>IEF</stp>
        <tr r="E248" s="1"/>
      </tp>
      <tp t="s">
        <v>N/A</v>
        <stp/>
        <stp>HIGH</stp>
        <stp>.MUB201120C116</stp>
        <tr r="J436" s="1"/>
      </tp>
      <tp t="s">
        <v>N/A</v>
        <stp/>
        <stp>HIGH</stp>
        <stp>.MUB201120P116</stp>
        <tr r="J437" s="1"/>
      </tp>
      <tp t="s">
        <v>N/A</v>
        <stp/>
        <stp>HIGH</stp>
        <stp>.EMB201120P114</stp>
        <tr r="J113" s="1"/>
      </tp>
      <tp>
        <v>0.35</v>
        <stp/>
        <stp>HIGH</stp>
        <stp>.EMB201120C114</stp>
        <tr r="J112" s="1"/>
      </tp>
      <tp t="s">
        <v>N/A</v>
        <stp/>
        <stp>HIGH</stp>
        <stp>.IBB201120P139</stp>
        <tr r="J234" s="1"/>
      </tp>
      <tp>
        <v>3</v>
        <stp/>
        <stp>HIGH</stp>
        <stp>.IBB201120C139</stp>
        <tr r="J233" s="1"/>
      </tp>
      <tp t="s">
        <v>N/A</v>
        <stp/>
        <stp>HIGH</stp>
        <stp>.IBB201120P138</stp>
        <tr r="J230" s="1"/>
      </tp>
      <tp t="s">
        <v>N/A</v>
        <stp/>
        <stp>HIGH</stp>
        <stp>.IBB201120C138</stp>
        <tr r="J229" s="1"/>
      </tp>
      <tp>
        <v>0</v>
        <stp/>
        <stp>HIGH</stp>
        <stp>.IBB201120P141</stp>
        <tr r="J242" s="1"/>
      </tp>
      <tp t="s">
        <v>N/A</v>
        <stp/>
        <stp>HIGH</stp>
        <stp>.IBB201120C141</stp>
        <tr r="J241" s="1"/>
      </tp>
      <tp t="s">
        <v>N/A</v>
        <stp/>
        <stp>HIGH</stp>
        <stp>.IBB201120P140</stp>
        <tr r="J238" s="1"/>
      </tp>
      <tp t="s">
        <v>N/A</v>
        <stp/>
        <stp>HIGH</stp>
        <stp>.IBB201120C140</stp>
        <tr r="J237" s="1"/>
      </tp>
      <tp t="s">
        <v>N/A</v>
        <stp/>
        <stp>STRIKE</stp>
        <stp>VGK</stp>
        <tr r="W721" s="1"/>
      </tp>
      <tp t="s">
        <v>N/A</v>
        <stp/>
        <stp>STRIKE</stp>
        <stp>VFH</stp>
        <tr r="W713" s="1"/>
      </tp>
      <tp t="s">
        <v>N/A</v>
        <stp/>
        <stp>STRIKE</stp>
        <stp>VEA</stp>
        <tr r="W707" s="1"/>
      </tp>
      <tp t="s">
        <v>N/A</v>
        <stp/>
        <stp>STRIKE</stp>
        <stp>VEU</stp>
        <tr r="W710" s="1"/>
      </tp>
      <tp>
        <v>4</v>
        <stp/>
        <stp>PUT_CALL_RATIO</stp>
        <stp>PXH</stp>
        <tr r="C457" s="1"/>
      </tp>
      <tp>
        <v>1</v>
        <stp/>
        <stp>DELTA</stp>
        <stp>SHYG</stp>
        <tr r="M548" s="1"/>
      </tp>
      <tp>
        <v>0</v>
        <stp/>
        <stp>HIGH</stp>
        <stp>.IBB201120P138.5</stp>
        <tr r="J232" s="1"/>
      </tp>
      <tp>
        <v>0</v>
        <stp/>
        <stp>LAST</stp>
        <stp>.SMH201120C196.5</stp>
        <tr r="E568" s="1"/>
      </tp>
      <tp>
        <v>5.85</v>
        <stp/>
        <stp>HIGH</stp>
        <stp>.DIA201120P292</stp>
        <tr r="J66" s="1"/>
      </tp>
      <tp>
        <v>4.17</v>
        <stp/>
        <stp>HIGH</stp>
        <stp>.DIA201120C292</stp>
        <tr r="J65" s="1"/>
      </tp>
      <tp>
        <v>6.4</v>
        <stp/>
        <stp>HIGH</stp>
        <stp>.DIA201120P293</stp>
        <tr r="J70" s="1"/>
      </tp>
      <tp>
        <v>3.6</v>
        <stp/>
        <stp>HIGH</stp>
        <stp>.DIA201120C293</stp>
        <tr r="J69" s="1"/>
      </tp>
      <tp>
        <v>5.25</v>
        <stp/>
        <stp>HIGH</stp>
        <stp>.DIA201120P291</stp>
        <tr r="J64" s="1"/>
      </tp>
      <tp>
        <v>4.75</v>
        <stp/>
        <stp>HIGH</stp>
        <stp>.DIA201120C291</stp>
        <tr r="J63" s="1"/>
      </tp>
      <tp>
        <v>8.44</v>
        <stp/>
        <stp>HIGH</stp>
        <stp>.DIA201120P296</stp>
        <tr r="J76" s="1"/>
      </tp>
      <tp>
        <v>2.0699999999999998</v>
        <stp/>
        <stp>HIGH</stp>
        <stp>.DIA201120C296</stp>
        <tr r="J75" s="1"/>
      </tp>
      <tp>
        <v>8.99</v>
        <stp/>
        <stp>HIGH</stp>
        <stp>.DIA201120P297</stp>
        <tr r="J78" s="1"/>
      </tp>
      <tp>
        <v>1.69</v>
        <stp/>
        <stp>HIGH</stp>
        <stp>.DIA201120C297</stp>
        <tr r="J77" s="1"/>
      </tp>
      <tp>
        <v>7.1</v>
        <stp/>
        <stp>HIGH</stp>
        <stp>.DIA201120P294</stp>
        <tr r="J72" s="1"/>
      </tp>
      <tp>
        <v>3.03</v>
        <stp/>
        <stp>HIGH</stp>
        <stp>.DIA201120C294</stp>
        <tr r="J71" s="1"/>
      </tp>
      <tp>
        <v>7.8</v>
        <stp/>
        <stp>HIGH</stp>
        <stp>.DIA201120P295</stp>
        <tr r="J74" s="1"/>
      </tp>
      <tp>
        <v>2.5299999999999998</v>
        <stp/>
        <stp>HIGH</stp>
        <stp>.DIA201120C295</stp>
        <tr r="J73" s="1"/>
      </tp>
      <tp>
        <v>6.95</v>
        <stp/>
        <stp>OPEN</stp>
        <stp>.DIA201120P297.5</stp>
        <tr r="L80" s="1"/>
      </tp>
      <tp t="s">
        <v>N/A</v>
        <stp/>
        <stp>STRIKE</stp>
        <stp>VOO</stp>
        <tr r="W729" s="1"/>
      </tp>
      <tp t="s">
        <v>N/A</v>
        <stp/>
        <stp>PROB_OF_EXPIRING</stp>
        <stp>.SH201120C19</stp>
        <tr r="T543" s="1"/>
      </tp>
      <tp t="s">
        <v>N/A</v>
        <stp/>
        <stp>STRIKE</stp>
        <stp>VNQ</stp>
        <tr r="W724" s="1"/>
      </tp>
      <tp t="s">
        <v>N/A</v>
        <stp/>
        <stp>VEGA</stp>
        <stp>.IBB201120P138.5</stp>
        <tr r="P232" s="1"/>
      </tp>
      <tp>
        <v>7497160</v>
        <stp/>
        <stp>VOLUME</stp>
        <stp>JNK</stp>
        <tr r="F380" s="1"/>
      </tp>
      <tp t="s">
        <v>N/A</v>
        <stp/>
        <stp>PROB_OF_TOUCHING</stp>
        <stp>.VT201120C86</stp>
        <tr r="V735" s="1"/>
      </tp>
      <tp t="s">
        <v>N/A</v>
        <stp/>
        <stp>PROB_OF_TOUCHING</stp>
        <stp>.VT201120C87</stp>
        <tr r="V737" s="1"/>
      </tp>
      <tp t="s">
        <v>N/A</v>
        <stp/>
        <stp>HIGH</stp>
        <stp>.IBB201120C138.5</stp>
        <tr r="J231" s="1"/>
      </tp>
      <tp>
        <v>4.45</v>
        <stp/>
        <stp>LAST</stp>
        <stp>.SMH201120P196.5</stp>
        <tr r="E569" s="1"/>
      </tp>
      <tp t="s">
        <v>N/A</v>
        <stp/>
        <stp>STRIKE</stp>
        <stp>VWO</stp>
        <tr r="W748" s="1"/>
      </tp>
      <tp>
        <v>0</v>
        <stp/>
        <stp>THETA</stp>
        <stp>SHYG</stp>
        <tr r="O548" s="1"/>
      </tp>
      <tp t="s">
        <v>N/A</v>
        <stp/>
        <stp>STRIKE</stp>
        <stp>VTI</stp>
        <tr r="W739" s="1"/>
      </tp>
      <tp>
        <v>1.48</v>
        <stp/>
        <stp>OPEN</stp>
        <stp>.DIA201120C297.5</stp>
        <tr r="L79" s="1"/>
      </tp>
      <tp>
        <v>0.66700000000000004</v>
        <stp/>
        <stp>PUT_CALL_RATIO</stp>
        <stp>PGX</stp>
        <tr r="C454" s="1"/>
      </tp>
      <tp t="s">
        <v>N/A</v>
        <stp/>
        <stp>STRIKE</stp>
        <stp>VYM</stp>
        <tr r="W758" s="1"/>
      </tp>
      <tp t="s">
        <v>N/A</v>
        <stp/>
        <stp>OPEN</stp>
        <stp>.IWF201120C225</stp>
        <tr r="L341" s="1"/>
      </tp>
      <tp t="s">
        <v>N/A</v>
        <stp/>
        <stp>OPEN</stp>
        <stp>.IWF201120P225</stp>
        <tr r="L342" s="1"/>
      </tp>
      <tp t="s">
        <v>N/A</v>
        <stp/>
        <stp>OPEN</stp>
        <stp>.IVE201120C121</stp>
        <tr r="L303" s="1"/>
      </tp>
      <tp t="s">
        <v>N/A</v>
        <stp/>
        <stp>OPEN</stp>
        <stp>.IVE201120P121</stp>
        <tr r="L304" s="1"/>
      </tp>
      <tp t="s">
        <v>N/A</v>
        <stp/>
        <stp>OPEN</stp>
        <stp>.IVE201120C123</stp>
        <tr r="L307" s="1"/>
      </tp>
      <tp t="s">
        <v>N/A</v>
        <stp/>
        <stp>OPEN</stp>
        <stp>.IVE201120P123</stp>
        <tr r="L308" s="1"/>
      </tp>
      <tp t="s">
        <v>N/A</v>
        <stp/>
        <stp>OPEN</stp>
        <stp>.IVE201120C122</stp>
        <tr r="L305" s="1"/>
      </tp>
      <tp>
        <v>0</v>
        <stp/>
        <stp>OPEN</stp>
        <stp>.IVE201120P122</stp>
        <tr r="L306" s="1"/>
      </tp>
      <tp t="s">
        <v>N/A</v>
        <stp/>
        <stp>VEGA</stp>
        <stp>.IBB201120C138.5</stp>
        <tr r="P231" s="1"/>
      </tp>
      <tp t="s">
        <v>N/A</v>
        <stp/>
        <stp>GAMMA</stp>
        <stp>.AGG201120C117</stp>
        <tr r="N16" s="1"/>
      </tp>
      <tp t="s">
        <v>N/A</v>
        <stp/>
        <stp>GAMMA</stp>
        <stp>.AGG201120P117</stp>
        <tr r="N17" s="1"/>
      </tp>
      <tp>
        <v>1</v>
        <stp/>
        <stp>DELTA</stp>
        <stp>EWZ</stp>
        <tr r="M172" s="1"/>
      </tp>
      <tp>
        <v>1</v>
        <stp/>
        <stp>DELTA</stp>
        <stp>EWY</stp>
        <tr r="M161" s="1"/>
      </tp>
      <tp>
        <v>1</v>
        <stp/>
        <stp>DELTA</stp>
        <stp>EWW</stp>
        <tr r="M154" s="1"/>
      </tp>
      <tp>
        <v>1</v>
        <stp/>
        <stp>DELTA</stp>
        <stp>EWT</stp>
        <tr r="M148" s="1"/>
      </tp>
      <tp>
        <v>1</v>
        <stp/>
        <stp>DELTA</stp>
        <stp>EWU</stp>
        <tr r="M151" s="1"/>
      </tp>
      <tp>
        <v>1</v>
        <stp/>
        <stp>DELTA</stp>
        <stp>EWP</stp>
        <tr r="M145" s="1"/>
      </tp>
      <tp>
        <v>1</v>
        <stp/>
        <stp>DELTA</stp>
        <stp>EWL</stp>
        <tr r="M142" s="1"/>
      </tp>
      <tp>
        <v>1</v>
        <stp/>
        <stp>DELTA</stp>
        <stp>EWJ</stp>
        <tr r="M135" s="1"/>
      </tp>
      <tp>
        <v>1</v>
        <stp/>
        <stp>DELTA</stp>
        <stp>EWH</stp>
        <tr r="M129" s="1"/>
      </tp>
      <tp>
        <v>1</v>
        <stp/>
        <stp>DELTA</stp>
        <stp>EWI</stp>
        <tr r="M132" s="1"/>
      </tp>
      <tp>
        <v>1</v>
        <stp/>
        <stp>DELTA</stp>
        <stp>EWG</stp>
        <tr r="M126" s="1"/>
      </tp>
      <tp>
        <v>1</v>
        <stp/>
        <stp>DELTA</stp>
        <stp>EWC</stp>
        <tr r="M123" s="1"/>
      </tp>
      <tp>
        <v>1</v>
        <stp/>
        <stp>DELTA</stp>
        <stp>EWA</stp>
        <tr r="M120" s="1"/>
      </tp>
      <tp t="s">
        <v>N/A</v>
        <stp/>
        <stp>RHO</stp>
        <stp>.INDA201120P36.5</stp>
        <tr r="Q284" s="1"/>
      </tp>
      <tp t="s">
        <v>N/A</v>
        <stp/>
        <stp>RHO</stp>
        <stp>.INDA201120C36.5</stp>
        <tr r="Q283" s="1"/>
      </tp>
      <tp>
        <v>0</v>
        <stp/>
        <stp>THETA</stp>
        <stp>LQD</stp>
        <tr r="O404" s="1"/>
      </tp>
      <tp>
        <v>0</v>
        <stp/>
        <stp>VEGA</stp>
        <stp>INDA</stp>
        <tr r="P280" s="1"/>
      </tp>
      <tp>
        <v>0</v>
        <stp/>
        <stp>VEGA</stp>
        <stp>INDY</stp>
        <tr r="P285" s="1"/>
      </tp>
      <tp>
        <v>0</v>
        <stp/>
        <stp>GAMMA</stp>
        <stp>DIA</stp>
        <tr r="N62" s="1"/>
      </tp>
      <tp t="s">
        <v>N/A</v>
        <stp/>
        <stp>THETA</stp>
        <stp>.XOP201120P47</stp>
        <tr r="O891" s="1"/>
      </tp>
      <tp t="s">
        <v>N/A</v>
        <stp/>
        <stp>THETA</stp>
        <stp>.XOP201120P48</stp>
        <tr r="O895" s="1"/>
      </tp>
      <tp t="s">
        <v>N/A</v>
        <stp/>
        <stp>THETA</stp>
        <stp>.XOP201120P49</stp>
        <tr r="O899" s="1"/>
      </tp>
      <tp t="s">
        <v>N/A</v>
        <stp/>
        <stp>DELTA</stp>
        <stp>.XLP201120C67</stp>
        <tr r="M844" s="1"/>
      </tp>
      <tp>
        <v>1</v>
        <stp/>
        <stp>DELTA</stp>
        <stp>EZU</stp>
        <tr r="M177" s="1"/>
      </tp>
      <tp t="s">
        <v>N/A</v>
        <stp/>
        <stp>DELTA</stp>
        <stp>.XLU201120C67</stp>
        <tr r="M854" s="1"/>
      </tp>
      <tp t="s">
        <v>N/A</v>
        <stp/>
        <stp>DELTA</stp>
        <stp>.XLU201120C66</stp>
        <tr r="M850" s="1"/>
      </tp>
      <tp t="s">
        <v>N/A</v>
        <stp/>
        <stp>DESCRIPTION</stp>
        <stp>.GDXJ201120P53.5</stp>
        <tr r="B210" s="1"/>
      </tp>
      <tp>
        <v>38.130000000000003</v>
        <stp/>
        <stp>HIGH</stp>
        <stp>INDY</stp>
        <tr r="J285" s="1"/>
      </tp>
      <tp t="s">
        <v>N/A</v>
        <stp/>
        <stp>DESCRIPTION</stp>
        <stp>.GDXJ201120C53.5</stp>
        <tr r="B209" s="1"/>
      </tp>
      <tp>
        <v>36.015000000000001</v>
        <stp/>
        <stp>HIGH</stp>
        <stp>INDA</stp>
        <tr r="J280" s="1"/>
      </tp>
      <tp t="s">
        <v>N/A</v>
        <stp/>
        <stp>GAMMA</stp>
        <stp>.XOP201120C48</stp>
        <tr r="N894" s="1"/>
      </tp>
      <tp t="s">
        <v>N/A</v>
        <stp/>
        <stp>GAMMA</stp>
        <stp>.XOP201120C49</stp>
        <tr r="N898" s="1"/>
      </tp>
      <tp t="s">
        <v>N/A</v>
        <stp/>
        <stp>GAMMA</stp>
        <stp>.XOP201120C47</stp>
        <tr r="N890" s="1"/>
      </tp>
      <tp>
        <v>1</v>
        <stp/>
        <stp>DELTA</stp>
        <stp>EFV</stp>
        <tr r="M108" s="1"/>
      </tp>
      <tp>
        <v>1</v>
        <stp/>
        <stp>DELTA</stp>
        <stp>EFA</stp>
        <tr r="M101" s="1"/>
      </tp>
      <tp>
        <v>1</v>
        <stp/>
        <stp>DELTA</stp>
        <stp>EEM</stp>
        <tr r="M94" s="1"/>
      </tp>
      <tp t="s">
        <v>N/A</v>
        <stp/>
        <stp>DELTA</stp>
        <stp>.QLD201120C99</stp>
        <tr r="M469" s="1"/>
      </tp>
      <tp t="s">
        <v>N/A</v>
        <stp/>
        <stp>DELTA</stp>
        <stp>.QLD201120C98</stp>
        <tr r="M467" s="1"/>
      </tp>
      <tp t="s">
        <v>N/A</v>
        <stp/>
        <stp>DELTA</stp>
        <stp>.QLD201120C97</stp>
        <tr r="M465" s="1"/>
      </tp>
      <tp t="s">
        <v>N/A</v>
        <stp/>
        <stp>DELTA</stp>
        <stp>.QLD201120C96</stp>
        <tr r="M463" s="1"/>
      </tp>
      <tp>
        <v>0</v>
        <stp/>
        <stp>GAMMA</stp>
        <stp>DXD</stp>
        <tr r="N91" s="1"/>
      </tp>
      <tp>
        <v>0</v>
        <stp/>
        <stp>GAMMA</stp>
        <stp>DVY</stp>
        <tr r="N84" s="1"/>
      </tp>
      <tp t="s">
        <v>N/A</v>
        <stp/>
        <stp>DELTA</stp>
        <stp>.XLE201120C34</stp>
        <tr r="M806" s="1"/>
      </tp>
      <tp>
        <v>1</v>
        <stp/>
        <stp>DELTA</stp>
        <stp>EMB</stp>
        <tr r="M111" s="1"/>
      </tp>
      <tp t="s">
        <v>N/A</v>
        <stp/>
        <stp>DELTA</stp>
        <stp>.XLB201120C69</stp>
        <tr r="M790" s="1"/>
      </tp>
      <tp t="s">
        <v>N/A</v>
        <stp/>
        <stp>DELTA</stp>
        <stp>.XLF201120C27</stp>
        <tr r="M811" s="1"/>
      </tp>
      <tp t="s">
        <v>N/A</v>
        <stp/>
        <stp>DELTA</stp>
        <stp>.ILF201120C25</stp>
        <tr r="M278" s="1"/>
      </tp>
      <tp t="s">
        <v>N/A</v>
        <stp/>
        <stp>DELTA</stp>
        <stp>.XLC201120C63</stp>
        <tr r="M797" s="1"/>
      </tp>
      <tp t="s">
        <v>N/A</v>
        <stp/>
        <stp>DELTA</stp>
        <stp>.XLB201120C70</stp>
        <tr r="M794" s="1"/>
      </tp>
      <tp t="s">
        <v>N/A</v>
        <stp/>
        <stp>DELTA</stp>
        <stp>.XLC201120C64</stp>
        <tr r="M801" s="1"/>
      </tp>
      <tp>
        <v>36.94</v>
        <stp/>
        <stp>OPEN</stp>
        <stp>XLRE</stp>
        <tr r="L846" s="1"/>
      </tp>
      <tp t="s">
        <v>N/A</v>
        <stp/>
        <stp>DELTA</stp>
        <stp>.XLI201120C86</stp>
        <tr r="M822" s="1"/>
      </tp>
      <tp t="s">
        <v>N/A</v>
        <stp/>
        <stp>DELTA</stp>
        <stp>.XLI201120C85</stp>
        <tr r="M818" s="1"/>
      </tp>
      <tp t="s">
        <v>N/A</v>
        <stp/>
        <stp>DELTA</stp>
        <stp>.XLI201120C84</stp>
        <tr r="M814" s="1"/>
      </tp>
      <tp t="s">
        <v>N/A</v>
        <stp/>
        <stp>ASK</stp>
        <stp>.SPYV201120C33</stp>
        <tr r="I635" s="1"/>
      </tp>
      <tp t="s">
        <v>N/A</v>
        <stp/>
        <stp>ASK</stp>
        <stp>.VCLT201120P107</stp>
        <tr r="I706" s="1"/>
      </tp>
      <tp t="s">
        <v>N/A</v>
        <stp/>
        <stp>ASK</stp>
        <stp>.VCLT201120C107</stp>
        <tr r="I705" s="1"/>
      </tp>
      <tp t="s">
        <v>N/A</v>
        <stp/>
        <stp>BID</stp>
        <stp>.SPYV201120C33</stp>
        <tr r="H635" s="1"/>
      </tp>
      <tp t="s">
        <v>N/A</v>
        <stp/>
        <stp>DESCRIPTION</stp>
        <stp>.EUFN201120C16</stp>
        <tr r="B118" s="1"/>
      </tp>
      <tp t="s">
        <v>N/A</v>
        <stp/>
        <stp>RHO</stp>
        <stp>.SPYG201120C52</stp>
        <tr r="Q630" s="1"/>
      </tp>
      <tp t="s">
        <v>N/A</v>
        <stp/>
        <stp>RHO</stp>
        <stp>.SPYG201120C53</stp>
        <tr r="Q632" s="1"/>
      </tp>
      <tp t="s">
        <v>N/A</v>
        <stp/>
        <stp>RHO</stp>
        <stp>.SHYG201120C45</stp>
        <tr r="Q549" s="1"/>
      </tp>
      <tp t="s">
        <v>N/A</v>
        <stp/>
        <stp>PUT_CALL_RATIO</stp>
        <stp>.XLP201120C67</stp>
        <tr r="C844" s="1"/>
      </tp>
      <tp t="s">
        <v>N/A</v>
        <stp/>
        <stp>DESCRIPTION</stp>
        <stp>.IEFA201120C65</stp>
        <tr r="B252" s="1"/>
      </tp>
      <tp t="s">
        <v>N/A</v>
        <stp/>
        <stp>DESCRIPTION</stp>
        <stp>.IEFA201120C66</stp>
        <tr r="B254" s="1"/>
      </tp>
      <tp t="s">
        <v>N/A</v>
        <stp/>
        <stp>LOW</stp>
        <stp>.SPYV201120C33</stp>
        <tr r="K635" s="1"/>
      </tp>
      <tp t="s">
        <v>N/A</v>
        <stp/>
        <stp>BID</stp>
        <stp>.ARKW201120P119</stp>
        <tr r="H42" s="1"/>
      </tp>
      <tp>
        <v>1.4</v>
        <stp/>
        <stp>BID</stp>
        <stp>.ARKW201120C119</stp>
        <tr r="H41" s="1"/>
      </tp>
      <tp t="s">
        <v>N/A</v>
        <stp/>
        <stp>BID</stp>
        <stp>.ARKW201120P118</stp>
        <tr r="H40" s="1"/>
      </tp>
      <tp t="s">
        <v>N/A</v>
        <stp/>
        <stp>BID</stp>
        <stp>.ARKW201120C118</stp>
        <tr r="H39" s="1"/>
      </tp>
      <tp t="s">
        <v>N/A</v>
        <stp/>
        <stp>BID</stp>
        <stp>.ARKW201120P117</stp>
        <tr r="H38" s="1"/>
      </tp>
      <tp>
        <v>2.4500000000000002</v>
        <stp/>
        <stp>BID</stp>
        <stp>.ARKW201120C117</stp>
        <tr r="H37" s="1"/>
      </tp>
      <tp t="s">
        <v>N/A</v>
        <stp/>
        <stp>BID</stp>
        <stp>.ARKW201120P116</stp>
        <tr r="H36" s="1"/>
      </tp>
      <tp>
        <v>3.3</v>
        <stp/>
        <stp>BID</stp>
        <stp>.ARKW201120C116</stp>
        <tr r="H35" s="1"/>
      </tp>
      <tp t="s">
        <v>N/A</v>
        <stp/>
        <stp>STRIKE</stp>
        <stp>.PGX201120P15</stp>
        <tr r="W456" s="1"/>
      </tp>
      <tp t="s">
        <v>N/A</v>
        <stp/>
        <stp>PUT_CALL_RATIO</stp>
        <stp>.XLU201120C67</stp>
        <tr r="C854" s="1"/>
      </tp>
      <tp t="s">
        <v>N/A</v>
        <stp/>
        <stp>PUT_CALL_RATIO</stp>
        <stp>.XLU201120C66</stp>
        <tr r="C850" s="1"/>
      </tp>
      <tp t="s">
        <v>N/A</v>
        <stp/>
        <stp>STRIKE</stp>
        <stp>.ITB201120C56</stp>
        <tr r="W295" s="1"/>
      </tp>
      <tp t="s">
        <v>N/A</v>
        <stp/>
        <stp>STRIKE</stp>
        <stp>.ITB201120C55</stp>
        <tr r="W291" s="1"/>
      </tp>
      <tp t="s">
        <v>N/A</v>
        <stp/>
        <stp>PUT_CALL_RATIO</stp>
        <stp>.QLD201120C97</stp>
        <tr r="C465" s="1"/>
      </tp>
      <tp t="s">
        <v>N/A</v>
        <stp/>
        <stp>PUT_CALL_RATIO</stp>
        <stp>.QLD201120C96</stp>
        <tr r="C463" s="1"/>
      </tp>
      <tp t="s">
        <v>N/A</v>
        <stp/>
        <stp>PUT_CALL_RATIO</stp>
        <stp>.QLD201120C99</stp>
        <tr r="C469" s="1"/>
      </tp>
      <tp t="s">
        <v>N/A</v>
        <stp/>
        <stp>PUT_CALL_RATIO</stp>
        <stp>.QLD201120C98</stp>
        <tr r="C467" s="1"/>
      </tp>
      <tp t="s">
        <v>N/A</v>
        <stp/>
        <stp>RHO</stp>
        <stp>.SPYV201120C33</stp>
        <tr r="Q635" s="1"/>
      </tp>
      <tp t="s">
        <v>N/A</v>
        <stp/>
        <stp>BID</stp>
        <stp>.SPYG201120C53</stp>
        <tr r="H632" s="1"/>
      </tp>
      <tp>
        <v>0.8</v>
        <stp/>
        <stp>BID</stp>
        <stp>.SPYG201120C52</stp>
        <tr r="H630" s="1"/>
      </tp>
      <tp>
        <v>0</v>
        <stp/>
        <stp>BID</stp>
        <stp>.SHYG201120C45</stp>
        <tr r="H549" s="1"/>
      </tp>
      <tp>
        <v>2.1</v>
        <stp/>
        <stp>ASK</stp>
        <stp>.SHYG201120C45</stp>
        <tr r="I549" s="1"/>
      </tp>
      <tp t="s">
        <v>N/A</v>
        <stp/>
        <stp>ASK</stp>
        <stp>.SPYG201120C53</stp>
        <tr r="I632" s="1"/>
      </tp>
      <tp>
        <v>1</v>
        <stp/>
        <stp>ASK</stp>
        <stp>.SPYG201120C52</stp>
        <tr r="I630" s="1"/>
      </tp>
      <tp t="s">
        <v>N/A</v>
        <stp/>
        <stp>PUT_CALL_RATIO</stp>
        <stp>.ILF201120C25</stp>
        <tr r="C278" s="1"/>
      </tp>
      <tp t="s">
        <v>N/A</v>
        <stp/>
        <stp>PUT_CALL_RATIO</stp>
        <stp>.XLF201120C27</stp>
        <tr r="C811" s="1"/>
      </tp>
      <tp t="s">
        <v>N/A</v>
        <stp/>
        <stp>PUT_CALL_RATIO</stp>
        <stp>.XLB201120C69</stp>
        <tr r="C790" s="1"/>
      </tp>
      <tp t="s">
        <v>N/A</v>
        <stp/>
        <stp>STRIKE</stp>
        <stp>.VGK201120P57</stp>
        <tr r="W723" s="1"/>
      </tp>
      <tp t="s">
        <v>N/A</v>
        <stp/>
        <stp>PUT_CALL_RATIO</stp>
        <stp>.XLB201120C70</stp>
        <tr r="C794" s="1"/>
      </tp>
      <tp t="s">
        <v>N/A</v>
        <stp/>
        <stp>PUT_CALL_RATIO</stp>
        <stp>.XLC201120C63</stp>
        <tr r="C797" s="1"/>
      </tp>
      <tp t="s">
        <v>N/A</v>
        <stp/>
        <stp>PUT_CALL_RATIO</stp>
        <stp>.XLC201120C64</stp>
        <tr r="C801" s="1"/>
      </tp>
      <tp t="s">
        <v>N/A</v>
        <stp/>
        <stp>LOW</stp>
        <stp>.SPYG201120C53</stp>
        <tr r="K632" s="1"/>
      </tp>
      <tp>
        <v>1.1499999999999999</v>
        <stp/>
        <stp>LOW</stp>
        <stp>.SPYG201120C52</stp>
        <tr r="K630" s="1"/>
      </tp>
      <tp t="s">
        <v>N/A</v>
        <stp/>
        <stp>PUT_CALL_RATIO</stp>
        <stp>.XLE201120C34</stp>
        <tr r="C806" s="1"/>
      </tp>
      <tp>
        <v>0</v>
        <stp/>
        <stp>LOW</stp>
        <stp>.SHYG201120C45</stp>
        <tr r="K549" s="1"/>
      </tp>
      <tp t="s">
        <v>N/A</v>
        <stp/>
        <stp>DESCRIPTION</stp>
        <stp>.VXUS201120P56</stp>
        <tr r="B755" s="1"/>
      </tp>
      <tp t="s">
        <v>N/A</v>
        <stp/>
        <stp>DESCRIPTION</stp>
        <stp>.VXUS201120P57</stp>
        <tr r="B757" s="1"/>
      </tp>
      <tp>
        <v>6170</v>
        <stp/>
        <stp>VOLUME</stp>
        <stp>.XOP201120C49</stp>
        <tr r="F898" s="1"/>
      </tp>
      <tp t="s">
        <v>N/A</v>
        <stp/>
        <stp>VOLUME</stp>
        <stp>.XOP201120C48</stp>
        <tr r="F894" s="1"/>
      </tp>
      <tp t="s">
        <v>N/A</v>
        <stp/>
        <stp>VOLUME</stp>
        <stp>.XOP201120C47</stp>
        <tr r="F890" s="1"/>
      </tp>
      <tp t="s">
        <v>N/A</v>
        <stp/>
        <stp>PUT_CALL_RATIO</stp>
        <stp>.XLI201120C85</stp>
        <tr r="C818" s="1"/>
      </tp>
      <tp t="s">
        <v>N/A</v>
        <stp/>
        <stp>PUT_CALL_RATIO</stp>
        <stp>.XLI201120C84</stp>
        <tr r="C814" s="1"/>
      </tp>
      <tp t="s">
        <v>N/A</v>
        <stp/>
        <stp>PUT_CALL_RATIO</stp>
        <stp>.XLI201120C86</stp>
        <tr r="C822" s="1"/>
      </tp>
      <tp t="s">
        <v>N/A</v>
        <stp/>
        <stp>DESCRIPTION</stp>
        <stp>.IXUS201120P63</stp>
        <tr r="B362" s="1"/>
      </tp>
      <tp t="s">
        <v>N/A</v>
        <stp/>
        <stp>PROB_OF_EXPIRING</stp>
        <stp>.RWM201120C29</stp>
        <tr r="T518" s="1"/>
      </tp>
      <tp>
        <v>22275</v>
        <stp/>
        <stp>OPEN_INT</stp>
        <stp>.EFA201120C69</stp>
        <tr r="G102" s="1"/>
      </tp>
      <tp>
        <v>13214</v>
        <stp/>
        <stp>OPEN_INT</stp>
        <stp>.EFA201120C70</stp>
        <tr r="G106" s="1"/>
      </tp>
      <tp t="s">
        <v>N/A</v>
        <stp/>
        <stp>PROB_OTM</stp>
        <stp>.RSX201120C22</stp>
        <tr r="U513" s="1"/>
      </tp>
      <tp t="s">
        <v>N/A</v>
        <stp/>
        <stp>PROB_OF_EXPIRING</stp>
        <stp>.EWJ201120C64</stp>
        <tr r="T140" s="1"/>
      </tp>
      <tp t="s">
        <v>N/A</v>
        <stp/>
        <stp>PROB_OF_EXPIRING</stp>
        <stp>.EWJ201120C63</stp>
        <tr r="T136" s="1"/>
      </tp>
      <tp t="s">
        <v>N/A</v>
        <stp/>
        <stp>INTRINSIC</stp>
        <stp>.AAXJ201120P84</stp>
        <tr r="R6" s="1"/>
      </tp>
      <tp t="s">
        <v>N/A</v>
        <stp/>
        <stp>INTRINSIC</stp>
        <stp>.ARKK201120C97</stp>
        <tr r="R26" s="1"/>
      </tp>
      <tp t="s">
        <v>N/A</v>
        <stp/>
        <stp>INTRINSIC</stp>
        <stp>.AAXJ201120P83</stp>
        <tr r="R4" s="1"/>
      </tp>
      <tp t="s">
        <v>N/A</v>
        <stp/>
        <stp>INTRINSIC</stp>
        <stp>.ARKK201120C99</stp>
        <tr r="R30" s="1"/>
      </tp>
      <tp t="s">
        <v>N/A</v>
        <stp/>
        <stp>INTRINSIC</stp>
        <stp>.ARKK201120C98</stp>
        <tr r="R28" s="1"/>
      </tp>
      <tp t="s">
        <v>N/A</v>
        <stp/>
        <stp>PROB_OF_EXPIRING</stp>
        <stp>.VWO201120C47</stp>
        <tr r="T751" s="1"/>
      </tp>
      <tp t="s">
        <v>N/A</v>
        <stp/>
        <stp>PROB_OF_EXPIRING</stp>
        <stp>.EWI201120C27</stp>
        <tr r="T133" s="1"/>
      </tp>
      <tp t="s">
        <v>N/A</v>
        <stp/>
        <stp>PROB_OF_EXPIRING</stp>
        <stp>.EWH201120C24</stp>
        <tr r="T130" s="1"/>
      </tp>
      <tp t="s">
        <v>N/A</v>
        <stp/>
        <stp>PROB_OF_EXPIRING</stp>
        <stp>.EWL201120C43</stp>
        <tr r="T143" s="1"/>
      </tp>
      <tp t="s">
        <v>N/A</v>
        <stp/>
        <stp>OPEN_INT</stp>
        <stp>.VFH201120C66</stp>
        <tr r="G714" s="1"/>
      </tp>
      <tp t="s">
        <v>N/A</v>
        <stp/>
        <stp>OPEN_INT</stp>
        <stp>.VFH201120C67</stp>
        <tr r="G716" s="1"/>
      </tp>
      <tp>
        <v>72</v>
        <stp/>
        <stp>VOLUME</stp>
        <stp>.XLK201120C120</stp>
        <tr r="F827" s="1"/>
      </tp>
      <tp>
        <v>160</v>
        <stp/>
        <stp>VOLUME</stp>
        <stp>.XLK201120P120</stp>
        <tr r="F828" s="1"/>
      </tp>
      <tp>
        <v>61</v>
        <stp/>
        <stp>VOLUME</stp>
        <stp>.XLK201120C121</stp>
        <tr r="F831" s="1"/>
      </tp>
      <tp>
        <v>66</v>
        <stp/>
        <stp>VOLUME</stp>
        <stp>.XLK201120P121</stp>
        <tr r="F832" s="1"/>
      </tp>
      <tp>
        <v>52</v>
        <stp/>
        <stp>VOLUME</stp>
        <stp>.XLK201120C122</stp>
        <tr r="F835" s="1"/>
      </tp>
      <tp>
        <v>53</v>
        <stp/>
        <stp>VOLUME</stp>
        <stp>.XLK201120P122</stp>
        <tr r="F836" s="1"/>
      </tp>
      <tp>
        <v>301</v>
        <stp/>
        <stp>VOLUME</stp>
        <stp>.XLK201120C123</stp>
        <tr r="F839" s="1"/>
      </tp>
      <tp>
        <v>2</v>
        <stp/>
        <stp>VOLUME</stp>
        <stp>.XLK201120P123</stp>
        <tr r="F840" s="1"/>
      </tp>
      <tp t="s">
        <v>N/A</v>
        <stp/>
        <stp>VOLUME</stp>
        <stp>.IJH201120C210</stp>
        <tr r="F272" s="1"/>
      </tp>
      <tp t="s">
        <v>N/A</v>
        <stp/>
        <stp>VOLUME</stp>
        <stp>.IJH201120P210</stp>
        <tr r="F273" s="1"/>
      </tp>
      <tp t="s">
        <v>N/A</v>
        <stp/>
        <stp>PROB_OF_EXPIRING</stp>
        <stp>.EWG201120C30</stp>
        <tr r="T127" s="1"/>
      </tp>
      <tp t="s">
        <v>N/A</v>
        <stp/>
        <stp>VOLUME</stp>
        <stp>.JNK201120C107</stp>
        <tr r="F383" s="1"/>
      </tp>
      <tp t="s">
        <v>N/A</v>
        <stp/>
        <stp>VOLUME</stp>
        <stp>.JNK201120P107</stp>
        <tr r="F384" s="1"/>
      </tp>
      <tp t="s">
        <v>N/A</v>
        <stp/>
        <stp>PROB_OF_EXPIRING</stp>
        <stp>.EWA201120C22</stp>
        <tr r="T121" s="1"/>
      </tp>
      <tp t="s">
        <v>N/A</v>
        <stp/>
        <stp>PROB_OF_EXPIRING</stp>
        <stp>.EWC201120C29</stp>
        <tr r="T124" s="1"/>
      </tp>
      <tp t="s">
        <v>N/A</v>
        <stp/>
        <stp>INTRINSIC</stp>
        <stp>.GDXJ201120P53</stp>
        <tr r="R208" s="1"/>
      </tp>
      <tp t="s">
        <v>N/A</v>
        <stp/>
        <stp>INTRINSIC</stp>
        <stp>.GDXJ201120P52</stp>
        <tr r="R204" s="1"/>
      </tp>
      <tp t="s">
        <v>N/A</v>
        <stp/>
        <stp>INTRINSIC</stp>
        <stp>.GDXJ201120P54</stp>
        <tr r="R212" s="1"/>
      </tp>
      <tp t="s">
        <v>N/A</v>
        <stp/>
        <stp>PROB_OF_EXPIRING</stp>
        <stp>.EWY201120C73</stp>
        <tr r="T168" s="1"/>
      </tp>
      <tp t="s">
        <v>N/A</v>
        <stp/>
        <stp>PROB_OF_EXPIRING</stp>
        <stp>.EWY201120C72</stp>
        <tr r="T164" s="1"/>
      </tp>
      <tp t="s">
        <v>N/A</v>
        <stp/>
        <stp>PROB_OF_EXPIRING</stp>
        <stp>.GDX201120P37</stp>
        <tr r="T199" s="1"/>
      </tp>
      <tp t="s">
        <v>N/A</v>
        <stp/>
        <stp>OPEN_INT</stp>
        <stp>.EFV201120C45</stp>
        <tr r="G109" s="1"/>
      </tp>
      <tp t="s">
        <v>N/A</v>
        <stp/>
        <stp>IMPL_VOL</stp>
        <stp>.XOP201120P47</stp>
        <tr r="D891" s="1"/>
      </tp>
      <tp t="s">
        <v>N/A</v>
        <stp/>
        <stp>IMPL_VOL</stp>
        <stp>.XOP201120P48</stp>
        <tr r="D895" s="1"/>
      </tp>
      <tp t="s">
        <v>N/A</v>
        <stp/>
        <stp>IMPL_VOL</stp>
        <stp>.XOP201120P49</stp>
        <tr r="D899" s="1"/>
      </tp>
      <tp t="s">
        <v>N/A</v>
        <stp/>
        <stp>PROB_OF_EXPIRING</stp>
        <stp>.EWZ201120C32</stp>
        <tr r="T175" s="1"/>
      </tp>
      <tp t="s">
        <v>N/A</v>
        <stp/>
        <stp>PROB_OF_EXPIRING</stp>
        <stp>.EWW201120C39</stp>
        <tr r="T157" s="1"/>
      </tp>
      <tp t="s">
        <v>N/A</v>
        <stp/>
        <stp>PROB_OF_EXPIRING</stp>
        <stp>.SDS201120P14</stp>
        <tr r="T541" s="1"/>
      </tp>
      <tp t="s">
        <v>N/A</v>
        <stp/>
        <stp>PROB_OF_EXPIRING</stp>
        <stp>.EWP201120C26</stp>
        <tr r="T146" s="1"/>
      </tp>
      <tp t="s">
        <v>N/A</v>
        <stp/>
        <stp>PROB_OF_TOUCHING</stp>
        <stp>.VNQ201120P84</stp>
        <tr r="V726" s="1"/>
      </tp>
      <tp t="s">
        <v>N/A</v>
        <stp/>
        <stp>PROB_OF_TOUCHING</stp>
        <stp>.VNQ201120P85</stp>
        <tr r="V728" s="1"/>
      </tp>
      <tp t="s">
        <v>N/A</v>
        <stp/>
        <stp>PROB_OF_EXPIRING</stp>
        <stp>.EWT201120C48</stp>
        <tr r="T149" s="1"/>
      </tp>
      <tp t="s">
        <v>N/A</v>
        <stp/>
        <stp>PROB_OTM</stp>
        <stp>.SSO201120C84</stp>
        <tr r="U655" s="1"/>
      </tp>
      <tp t="s">
        <v>N/A</v>
        <stp/>
        <stp>PROB_OTM</stp>
        <stp>.SSO201120C81</stp>
        <tr r="U643" s="1"/>
      </tp>
      <tp t="s">
        <v>N/A</v>
        <stp/>
        <stp>PROB_OTM</stp>
        <stp>.SSO201120C82</stp>
        <tr r="U647" s="1"/>
      </tp>
      <tp t="s">
        <v>N/A</v>
        <stp/>
        <stp>PROB_OTM</stp>
        <stp>.SSO201120C83</stp>
        <tr r="U651" s="1"/>
      </tp>
      <tp t="s">
        <v>N/A</v>
        <stp/>
        <stp>PROB_OTM</stp>
        <stp>.SCHF201120C34</stp>
        <tr r="U529" s="1"/>
      </tp>
      <tp t="s">
        <v>N/A</v>
        <stp/>
        <stp>OPEN_INT</stp>
        <stp>.ACWI201120C86</stp>
        <tr r="G10" s="1"/>
      </tp>
      <tp t="s">
        <v>N/A</v>
        <stp/>
        <stp>OPEN_INT</stp>
        <stp>.ACWI201120C85</stp>
        <tr r="G8" s="1"/>
      </tp>
      <tp t="s">
        <v>N/A</v>
        <stp/>
        <stp>LOW</stp>
        <stp>.IBB201120C141.5</stp>
        <tr r="K243" s="1"/>
      </tp>
      <tp t="s">
        <v>N/A</v>
        <stp/>
        <stp>LOW</stp>
        <stp>.LQD201120P134.5</stp>
        <tr r="K406" s="1"/>
      </tp>
      <tp>
        <v>5.95</v>
        <stp/>
        <stp>ASK</stp>
        <stp>.SMH201120P197.5</stp>
        <tr r="I573" s="1"/>
      </tp>
      <tp t="s">
        <v>N/A</v>
        <stp/>
        <stp>IMPL_VOL</stp>
        <stp>.PDBC201120P14</stp>
        <tr r="D453" s="1"/>
      </tp>
      <tp t="s">
        <v>N/A</v>
        <stp/>
        <stp>PROB_OTM</stp>
        <stp>.SPHD201120C36</stp>
        <tr r="U582" s="1"/>
      </tp>
      <tp t="s">
        <v>N/A</v>
        <stp/>
        <stp>PROB_OTM</stp>
        <stp>.SCHE201120C29</stp>
        <tr r="U526" s="1"/>
      </tp>
      <tp t="s">
        <v>N/A</v>
        <stp/>
        <stp>OPEN_INT</stp>
        <stp>.INDA201120P36</stp>
        <tr r="G282" s="1"/>
      </tp>
      <tp t="s">
        <v>N/A</v>
        <stp/>
        <stp>PROB_OTM</stp>
        <stp>.MCHI201120C80</stp>
        <tr r="U412" s="1"/>
      </tp>
      <tp t="s">
        <v>N/A</v>
        <stp/>
        <stp>PROB_OF_EXPIRING</stp>
        <stp>.AMLP201120P24</stp>
        <tr r="T24" s="1"/>
      </tp>
      <tp t="s">
        <v>N/A</v>
        <stp/>
        <stp>PROB_OF_EXPIRING</stp>
        <stp>.AMLP201120P23</stp>
        <tr r="T20" s="1"/>
      </tp>
      <tp t="s">
        <v>N/A</v>
        <stp/>
        <stp>BID</stp>
        <stp>.IWF201120C227.5</stp>
        <tr r="H343" s="1"/>
      </tp>
      <tp t="s">
        <v>N/A</v>
        <stp/>
        <stp>PROB_OTM</stp>
        <stp>.SCHD201120C61</stp>
        <tr r="U521" s="1"/>
      </tp>
      <tp t="s">
        <v>N/A</v>
        <stp/>
        <stp>PROB_OTM</stp>
        <stp>.SCHD201120C62</stp>
        <tr r="U523" s="1"/>
      </tp>
      <tp t="s">
        <v>N/A</v>
        <stp/>
        <stp>PROB_OF_EXPIRING</stp>
        <stp>.SPLV201120P55</stp>
        <tr r="T589" s="1"/>
      </tp>
      <tp>
        <v>2.5499999999999998</v>
        <stp/>
        <stp>BID</stp>
        <stp>.IVV201120C357.5</stp>
        <tr r="H318" s="1"/>
      </tp>
      <tp t="s">
        <v>N/A</v>
        <stp/>
        <stp>RHO</stp>
        <stp>.MDY201120P382.5</stp>
        <tr r="Q418" s="1"/>
      </tp>
      <tp>
        <v>2.4900000000000002</v>
        <stp/>
        <stp>ASK</stp>
        <stp>.SPY201120C357.5</stp>
        <tr r="I619" s="1"/>
      </tp>
      <tp t="s">
        <v>N/A</v>
        <stp/>
        <stp>PROB_OF_TOUCHING</stp>
        <stp>.JETS201120C20</stp>
        <tr r="V378" s="1"/>
      </tp>
      <tp t="s">
        <v>N/A</v>
        <stp/>
        <stp>PROB_OF_EXPIRING</stp>
        <stp>.HYLB201120P49</stp>
        <tr r="T227" s="1"/>
      </tp>
      <tp t="s">
        <v>N/A</v>
        <stp/>
        <stp>PROB_OTM</stp>
        <stp>.SCHP201120C61</stp>
        <tr r="U532" s="1"/>
      </tp>
      <tp>
        <v>0</v>
        <stp/>
        <stp>LOW</stp>
        <stp>.IBB201120P141.5</stp>
        <tr r="K244" s="1"/>
      </tp>
      <tp t="s">
        <v>N/A</v>
        <stp/>
        <stp>LOW</stp>
        <stp>.LQD201120C134.5</stp>
        <tr r="K405" s="1"/>
      </tp>
      <tp>
        <v>1.66</v>
        <stp/>
        <stp>ASK</stp>
        <stp>.SMH201120C197.5</stp>
        <tr r="I572" s="1"/>
      </tp>
      <tp t="s">
        <v>N/A</v>
        <stp/>
        <stp>PROB_OF_EXPIRING</stp>
        <stp>.EMLC201120P32</stp>
        <tr r="T116" s="1"/>
      </tp>
      <tp t="s">
        <v>N/A</v>
        <stp/>
        <stp>PROB_OTM</stp>
        <stp>.ASHR201120C38</stp>
        <tr r="U46" s="1"/>
      </tp>
      <tp>
        <v>5.6</v>
        <stp/>
        <stp>BID</stp>
        <stp>.IVV201120P357.5</stp>
        <tr r="H319" s="1"/>
      </tp>
      <tp t="s">
        <v>N/A</v>
        <stp/>
        <stp>OPEN_INT</stp>
        <stp>.SPDW201120P32</stp>
        <tr r="G580" s="1"/>
      </tp>
      <tp>
        <v>4.5</v>
        <stp/>
        <stp>BID</stp>
        <stp>.IWF201120P227.5</stp>
        <tr r="H344" s="1"/>
      </tp>
      <tp t="s">
        <v>N/A</v>
        <stp/>
        <stp>PROB_OF_EXPIRING</stp>
        <stp>.SPLG201120P42</stp>
        <tr r="T586" s="1"/>
      </tp>
      <tp t="s">
        <v>N/A</v>
        <stp/>
        <stp>PROB_OF_EXPIRING</stp>
        <stp>.ICLN201120P22</stp>
        <tr r="T247" s="1"/>
      </tp>
      <tp t="s">
        <v>N/A</v>
        <stp/>
        <stp>PROB_OF_EXPIRING</stp>
        <stp>.BKLN201120P22</stp>
        <tr r="T50" s="1"/>
      </tp>
      <tp t="s">
        <v>N/A</v>
        <stp/>
        <stp>OPEN_INT</stp>
        <stp>.INDY201120P38</stp>
        <tr r="G287" s="1"/>
      </tp>
      <tp t="s">
        <v>N/A</v>
        <stp/>
        <stp>OPEN_INT</stp>
        <stp>.ACWX201120C50</stp>
        <tr r="G13" s="1"/>
      </tp>
      <tp>
        <v>6.19</v>
        <stp/>
        <stp>ASK</stp>
        <stp>.SPY201120P357.5</stp>
        <tr r="I620" s="1"/>
      </tp>
      <tp t="s">
        <v>N/A</v>
        <stp/>
        <stp>RHO</stp>
        <stp>.MDY201120C382.5</stp>
        <tr r="Q417" s="1"/>
      </tp>
      <tp>
        <v>22.51</v>
        <stp/>
        <stp>OPEN</stp>
        <stp>AMLP</stp>
        <tr r="L18" s="1"/>
      </tp>
      <tp>
        <v>32.049999999999997</v>
        <stp/>
        <stp>OPEN</stp>
        <stp>EMLC</stp>
        <tr r="L114" s="1"/>
      </tp>
      <tp>
        <v>1</v>
        <stp/>
        <stp>DELTA</stp>
        <stp>DVY</stp>
        <tr r="M84" s="1"/>
      </tp>
      <tp>
        <v>0</v>
        <stp/>
        <stp>THETA</stp>
        <stp>MUB</stp>
        <tr r="O435" s="1"/>
      </tp>
      <tp>
        <v>0</v>
        <stp/>
        <stp>GAMMA</stp>
        <stp>EMB</stp>
        <tr r="N111" s="1"/>
      </tp>
      <tp t="s">
        <v>N/A</v>
        <stp/>
        <stp>GAMMA</stp>
        <stp>.VNQ201120C84</stp>
        <tr r="N725" s="1"/>
      </tp>
      <tp t="s">
        <v>N/A</v>
        <stp/>
        <stp>GAMMA</stp>
        <stp>.VNQ201120C85</stp>
        <tr r="N727" s="1"/>
      </tp>
      <tp t="s">
        <v>N/A</v>
        <stp/>
        <stp>THETA</stp>
        <stp>.DIA201120P292.5</stp>
        <tr r="O68" s="1"/>
      </tp>
      <tp>
        <v>0</v>
        <stp/>
        <stp>GAMMA</stp>
        <stp>EFV</stp>
        <tr r="N108" s="1"/>
      </tp>
      <tp>
        <v>0</v>
        <stp/>
        <stp>GAMMA</stp>
        <stp>EFA</stp>
        <tr r="N101" s="1"/>
      </tp>
      <tp t="s">
        <v>N/A</v>
        <stp/>
        <stp>THETA</stp>
        <stp>.VNQ201120P84</stp>
        <tr r="O726" s="1"/>
      </tp>
      <tp t="s">
        <v>N/A</v>
        <stp/>
        <stp>THETA</stp>
        <stp>.VNQ201120P85</stp>
        <tr r="O728" s="1"/>
      </tp>
      <tp t="s">
        <v>N/A</v>
        <stp/>
        <stp>DELTA</stp>
        <stp>.DIA201120C292.5</stp>
        <tr r="M67" s="1"/>
      </tp>
      <tp>
        <v>0</v>
        <stp/>
        <stp>GAMMA</stp>
        <stp>EEM</stp>
        <tr r="N94" s="1"/>
      </tp>
      <tp>
        <v>0.68</v>
        <stp/>
        <stp>BID</stp>
        <stp>.INDA201120P36.5</stp>
        <tr r="H284" s="1"/>
      </tp>
      <tp t="s">
        <v>N/A</v>
        <stp/>
        <stp>BID</stp>
        <stp>.INDA201120C36.5</stp>
        <tr r="H283" s="1"/>
      </tp>
      <tp t="s">
        <v>N/A</v>
        <stp/>
        <stp>DESCRIPTION</stp>
        <stp>.GDXJ201120P52.5</stp>
        <tr r="B206" s="1"/>
      </tp>
      <tp t="s">
        <v>N/A</v>
        <stp/>
        <stp>DESCRIPTION</stp>
        <stp>.GDXJ201120C52.5</stp>
        <tr r="B205" s="1"/>
      </tp>
      <tp>
        <v>1</v>
        <stp/>
        <stp>DELTA</stp>
        <stp>DXD</stp>
        <tr r="M91" s="1"/>
      </tp>
      <tp>
        <v>0</v>
        <stp/>
        <stp>THETA</stp>
        <stp>MDY</stp>
        <tr r="O414" s="1"/>
      </tp>
      <tp>
        <v>0</v>
        <stp/>
        <stp>GAMMA</stp>
        <stp>EZU</stp>
        <tr r="N177" s="1"/>
      </tp>
      <tp t="s">
        <v>N/A</v>
        <stp/>
        <stp>DELTA</stp>
        <stp>.DIA201120P292.5</stp>
        <tr r="M68" s="1"/>
      </tp>
      <tp>
        <v>0</v>
        <stp/>
        <stp>GAMMA</stp>
        <stp>EWY</stp>
        <tr r="N161" s="1"/>
      </tp>
      <tp>
        <v>0</v>
        <stp/>
        <stp>GAMMA</stp>
        <stp>EWZ</stp>
        <tr r="N172" s="1"/>
      </tp>
      <tp>
        <v>0</v>
        <stp/>
        <stp>GAMMA</stp>
        <stp>EWU</stp>
        <tr r="N151" s="1"/>
      </tp>
      <tp>
        <v>0</v>
        <stp/>
        <stp>GAMMA</stp>
        <stp>EWT</stp>
        <tr r="N148" s="1"/>
      </tp>
      <tp>
        <v>0</v>
        <stp/>
        <stp>GAMMA</stp>
        <stp>EWW</stp>
        <tr r="N154" s="1"/>
      </tp>
      <tp>
        <v>0</v>
        <stp/>
        <stp>GAMMA</stp>
        <stp>EWP</stp>
        <tr r="N145" s="1"/>
      </tp>
      <tp>
        <v>0</v>
        <stp/>
        <stp>GAMMA</stp>
        <stp>EWL</stp>
        <tr r="N142" s="1"/>
      </tp>
      <tp>
        <v>0</v>
        <stp/>
        <stp>GAMMA</stp>
        <stp>EWI</stp>
        <tr r="N132" s="1"/>
      </tp>
      <tp>
        <v>0</v>
        <stp/>
        <stp>GAMMA</stp>
        <stp>EWH</stp>
        <tr r="N129" s="1"/>
      </tp>
      <tp>
        <v>0</v>
        <stp/>
        <stp>GAMMA</stp>
        <stp>EWJ</stp>
        <tr r="N135" s="1"/>
      </tp>
      <tp>
        <v>0</v>
        <stp/>
        <stp>GAMMA</stp>
        <stp>EWG</stp>
        <tr r="N126" s="1"/>
      </tp>
      <tp>
        <v>0</v>
        <stp/>
        <stp>GAMMA</stp>
        <stp>EWA</stp>
        <tr r="N120" s="1"/>
      </tp>
      <tp>
        <v>0</v>
        <stp/>
        <stp>GAMMA</stp>
        <stp>EWC</stp>
        <tr r="N123" s="1"/>
      </tp>
      <tp t="s">
        <v>N/A</v>
        <stp/>
        <stp>DELTA</stp>
        <stp>.XME201120C27</stp>
        <tr r="M887" s="1"/>
      </tp>
      <tp t="s">
        <v>N/A</v>
        <stp/>
        <stp>THETA</stp>
        <stp>.DIA201120C292.5</stp>
        <tr r="O67" s="1"/>
      </tp>
      <tp>
        <v>1</v>
        <stp/>
        <stp>DELTA</stp>
        <stp>DIA</stp>
        <tr r="M62" s="1"/>
      </tp>
      <tp t="s">
        <v>N/A</v>
        <stp/>
        <stp>RHO</stp>
        <stp>.ARKK201120P98</stp>
        <tr r="Q29" s="1"/>
      </tp>
      <tp t="s">
        <v>N/A</v>
        <stp/>
        <stp>RHO</stp>
        <stp>.ARKK201120P99</stp>
        <tr r="Q31" s="1"/>
      </tp>
      <tp t="s">
        <v>N/A</v>
        <stp/>
        <stp>RHO</stp>
        <stp>.ARKK201120P97</stp>
        <tr r="Q27" s="1"/>
      </tp>
      <tp t="s">
        <v>N/A</v>
        <stp/>
        <stp>RHO</stp>
        <stp>.AAXJ201120C84</stp>
        <tr r="Q5" s="1"/>
      </tp>
      <tp t="s">
        <v>N/A</v>
        <stp/>
        <stp>RHO</stp>
        <stp>.AAXJ201120C83</stp>
        <tr r="Q3" s="1"/>
      </tp>
      <tp t="s">
        <v>N/A</v>
        <stp/>
        <stp>DESCRIPTION</stp>
        <stp>.ARKK201120C100</stp>
        <tr r="B32" s="1"/>
      </tp>
      <tp t="s">
        <v>N/A</v>
        <stp/>
        <stp>DESCRIPTION</stp>
        <stp>.ARKK201120P100</stp>
        <tr r="B33" s="1"/>
      </tp>
      <tp t="s">
        <v>N/A</v>
        <stp/>
        <stp>STRIKE</stp>
        <stp>.EFV201120P45</stp>
        <tr r="W110" s="1"/>
      </tp>
      <tp t="s">
        <v>N/A</v>
        <stp/>
        <stp>RHO</stp>
        <stp>.GDXJ201120C52</stp>
        <tr r="Q203" s="1"/>
      </tp>
      <tp t="s">
        <v>N/A</v>
        <stp/>
        <stp>RHO</stp>
        <stp>.GDXJ201120C53</stp>
        <tr r="Q207" s="1"/>
      </tp>
      <tp t="s">
        <v>N/A</v>
        <stp/>
        <stp>RHO</stp>
        <stp>.GDXJ201120C54</stp>
        <tr r="Q211" s="1"/>
      </tp>
      <tp t="s">
        <v>N/A</v>
        <stp/>
        <stp>VOLUME</stp>
        <stp>.VNQ201120C85</stp>
        <tr r="F727" s="1"/>
      </tp>
      <tp>
        <v>26</v>
        <stp/>
        <stp>VOLUME</stp>
        <stp>.VNQ201120C84</stp>
        <tr r="F725" s="1"/>
      </tp>
      <tp t="s">
        <v>N/A</v>
        <stp/>
        <stp>STRIKE</stp>
        <stp>.EFA201120P69</stp>
        <tr r="W103" s="1"/>
      </tp>
      <tp t="s">
        <v>N/A</v>
        <stp/>
        <stp>STRIKE</stp>
        <stp>.EFA201120P70</stp>
        <tr r="W107" s="1"/>
      </tp>
      <tp>
        <v>2.25</v>
        <stp/>
        <stp>BID</stp>
        <stp>.ARKK201120P99</stp>
        <tr r="H31" s="1"/>
      </tp>
      <tp>
        <v>1.8</v>
        <stp/>
        <stp>BID</stp>
        <stp>.ARKK201120P98</stp>
        <tr r="H29" s="1"/>
      </tp>
      <tp>
        <v>1.35</v>
        <stp/>
        <stp>BID</stp>
        <stp>.ARKK201120P97</stp>
        <tr r="H27" s="1"/>
      </tp>
      <tp t="s">
        <v>N/A</v>
        <stp/>
        <stp>BID</stp>
        <stp>.AAXJ201120C84</stp>
        <tr r="H5" s="1"/>
      </tp>
      <tp t="s">
        <v>N/A</v>
        <stp/>
        <stp>BID</stp>
        <stp>.AAXJ201120C83</stp>
        <tr r="H3" s="1"/>
      </tp>
      <tp>
        <v>1.22</v>
        <stp/>
        <stp>LOW</stp>
        <stp>.GDXJ201120C54</stp>
        <tr r="K211" s="1"/>
      </tp>
      <tp>
        <v>1.77</v>
        <stp/>
        <stp>LOW</stp>
        <stp>.GDXJ201120C53</stp>
        <tr r="K207" s="1"/>
      </tp>
      <tp>
        <v>0</v>
        <stp/>
        <stp>LOW</stp>
        <stp>.GDXJ201120C52</stp>
        <tr r="K203" s="1"/>
      </tp>
      <tp t="s">
        <v>N/A</v>
        <stp/>
        <stp>ASK</stp>
        <stp>.AAXJ201120C84</stp>
        <tr r="I5" s="1"/>
      </tp>
      <tp>
        <v>1.75</v>
        <stp/>
        <stp>ASK</stp>
        <stp>.ARKK201120P97</stp>
        <tr r="I27" s="1"/>
      </tp>
      <tp t="s">
        <v>N/A</v>
        <stp/>
        <stp>ASK</stp>
        <stp>.AAXJ201120C83</stp>
        <tr r="I3" s="1"/>
      </tp>
      <tp>
        <v>2.65</v>
        <stp/>
        <stp>ASK</stp>
        <stp>.ARKK201120P99</stp>
        <tr r="I31" s="1"/>
      </tp>
      <tp>
        <v>2.1</v>
        <stp/>
        <stp>ASK</stp>
        <stp>.ARKK201120P98</stp>
        <tr r="I29" s="1"/>
      </tp>
      <tp>
        <v>1.66</v>
        <stp/>
        <stp>BID</stp>
        <stp>.GDXJ201120C53</stp>
        <tr r="H207" s="1"/>
      </tp>
      <tp>
        <v>2.27</v>
        <stp/>
        <stp>BID</stp>
        <stp>.GDXJ201120C52</stp>
        <tr r="H203" s="1"/>
      </tp>
      <tp>
        <v>0.84</v>
        <stp/>
        <stp>BID</stp>
        <stp>.GDXJ201120C54</stp>
        <tr r="H211" s="1"/>
      </tp>
      <tp t="s">
        <v>N/A</v>
        <stp/>
        <stp>STRIKE</stp>
        <stp>.VFH201120P67</stp>
        <tr r="W717" s="1"/>
      </tp>
      <tp t="s">
        <v>N/A</v>
        <stp/>
        <stp>STRIKE</stp>
        <stp>.VFH201120P66</stp>
        <tr r="W715" s="1"/>
      </tp>
      <tp>
        <v>1.9</v>
        <stp/>
        <stp>LOW</stp>
        <stp>.ARKK201120P99</stp>
        <tr r="K31" s="1"/>
      </tp>
      <tp>
        <v>1.48</v>
        <stp/>
        <stp>LOW</stp>
        <stp>.ARKK201120P98</stp>
        <tr r="K29" s="1"/>
      </tp>
      <tp t="s">
        <v>N/A</v>
        <stp/>
        <stp>LOW</stp>
        <stp>.AAXJ201120C83</stp>
        <tr r="K3" s="1"/>
      </tp>
      <tp t="s">
        <v>N/A</v>
        <stp/>
        <stp>LOW</stp>
        <stp>.AAXJ201120C84</stp>
        <tr r="K5" s="1"/>
      </tp>
      <tp t="s">
        <v>N/A</v>
        <stp/>
        <stp>DESCRIPTION</stp>
        <stp>.JETS201120P20</stp>
        <tr r="B379" s="1"/>
      </tp>
      <tp>
        <v>1.1000000000000001</v>
        <stp/>
        <stp>LOW</stp>
        <stp>.ARKK201120P97</stp>
        <tr r="K27" s="1"/>
      </tp>
      <tp>
        <v>1.76</v>
        <stp/>
        <stp>ASK</stp>
        <stp>.GDXJ201120C53</stp>
        <tr r="I207" s="1"/>
      </tp>
      <tp>
        <v>2.38</v>
        <stp/>
        <stp>ASK</stp>
        <stp>.GDXJ201120C52</stp>
        <tr r="I203" s="1"/>
      </tp>
      <tp>
        <v>1.25</v>
        <stp/>
        <stp>ASK</stp>
        <stp>.GDXJ201120C54</stp>
        <tr r="I211" s="1"/>
      </tp>
      <tp t="s">
        <v>N/A</v>
        <stp/>
        <stp>PUT_CALL_RATIO</stp>
        <stp>.XME201120C27</stp>
        <tr r="C887" s="1"/>
      </tp>
      <tp t="s">
        <v>N/A</v>
        <stp/>
        <stp>OPEN_INT</stp>
        <stp>.ITB201120P55</stp>
        <tr r="G292" s="1"/>
      </tp>
      <tp t="s">
        <v>N/A</v>
        <stp/>
        <stp>OPEN_INT</stp>
        <stp>.ITB201120P56</stp>
        <tr r="G296" s="1"/>
      </tp>
      <tp t="s">
        <v>N/A</v>
        <stp/>
        <stp>INTRINSIC</stp>
        <stp>.SHYG201120P45</stp>
        <tr r="R550" s="1"/>
      </tp>
      <tp t="s">
        <v>N/A</v>
        <stp/>
        <stp>INTRINSIC</stp>
        <stp>.SPYG201120P53</stp>
        <tr r="R633" s="1"/>
      </tp>
      <tp t="s">
        <v>N/A</v>
        <stp/>
        <stp>INTRINSIC</stp>
        <stp>.SPYG201120P52</stp>
        <tr r="R631" s="1"/>
      </tp>
      <tp t="s">
        <v>N/A</v>
        <stp/>
        <stp>PROB_OF_EXPIRING</stp>
        <stp>.EEM201120P48</stp>
        <tr r="T98" s="1"/>
      </tp>
      <tp t="s">
        <v>N/A</v>
        <stp/>
        <stp>PROB_OF_EXPIRING</stp>
        <stp>.FVD201120C35</stp>
        <tr r="T186" s="1"/>
      </tp>
      <tp t="s">
        <v>N/A</v>
        <stp/>
        <stp>PROB_OTM</stp>
        <stp>.XRT201120C54</stp>
        <tr r="U903" s="1"/>
      </tp>
      <tp t="s">
        <v>N/A</v>
        <stp/>
        <stp>PROB_OTM</stp>
        <stp>.XRT201120C55</stp>
        <tr r="U907" s="1"/>
      </tp>
      <tp t="s">
        <v>N/A</v>
        <stp/>
        <stp>OPEN_INT</stp>
        <stp>.VGK201120C57</stp>
        <tr r="G722" s="1"/>
      </tp>
      <tp t="s">
        <v>N/A</v>
        <stp/>
        <stp>PROB_OF_EXPIRING</stp>
        <stp>.VEA201120P44</stp>
        <tr r="T709" s="1"/>
      </tp>
      <tp t="s">
        <v>N/A</v>
        <stp/>
        <stp>PROB_OF_TOUCHING</stp>
        <stp>.XOP201120P47</stp>
        <tr r="V891" s="1"/>
      </tp>
      <tp t="s">
        <v>N/A</v>
        <stp/>
        <stp>PROB_OF_TOUCHING</stp>
        <stp>.XOP201120P48</stp>
        <tr r="V895" s="1"/>
      </tp>
      <tp t="s">
        <v>N/A</v>
        <stp/>
        <stp>PROB_OF_TOUCHING</stp>
        <stp>.XOP201120P49</stp>
        <tr r="V899" s="1"/>
      </tp>
      <tp t="s">
        <v>N/A</v>
        <stp/>
        <stp>PROB_OF_EXPIRING</stp>
        <stp>.FEZ201120P40</stp>
        <tr r="T184" s="1"/>
      </tp>
      <tp t="s">
        <v>N/A</v>
        <stp/>
        <stp>PROB_OTM</stp>
        <stp>.TAN201120P74</stp>
        <tr r="U667" s="1"/>
      </tp>
      <tp t="s">
        <v>N/A</v>
        <stp/>
        <stp>PROB_OTM</stp>
        <stp>.TAN201120P75</stp>
        <tr r="U671" s="1"/>
      </tp>
      <tp t="s">
        <v>N/A</v>
        <stp/>
        <stp>PROB_OTM</stp>
        <stp>.TAN201120P76</stp>
        <tr r="U675" s="1"/>
      </tp>
      <tp t="s">
        <v>N/A</v>
        <stp/>
        <stp>PROB_OTM</stp>
        <stp>.TAN201120P77</stp>
        <tr r="U679" s="1"/>
      </tp>
      <tp t="s">
        <v>N/A</v>
        <stp/>
        <stp>PROB_OTM</stp>
        <stp>.TAN201120P73</stp>
        <tr r="U663" s="1"/>
      </tp>
      <tp t="s">
        <v>N/A</v>
        <stp/>
        <stp>STRIKE</stp>
        <stp>.IVV201120C362</stp>
        <tr r="W328" s="1"/>
      </tp>
      <tp t="s">
        <v>N/A</v>
        <stp/>
        <stp>STRIKE</stp>
        <stp>.IVV201120P362</stp>
        <tr r="W329" s="1"/>
      </tp>
      <tp t="s">
        <v>N/A</v>
        <stp/>
        <stp>STRIKE</stp>
        <stp>.IVV201120C360</stp>
        <tr r="W324" s="1"/>
      </tp>
      <tp t="s">
        <v>N/A</v>
        <stp/>
        <stp>STRIKE</stp>
        <stp>.IVV201120P360</stp>
        <tr r="W325" s="1"/>
      </tp>
      <tp t="s">
        <v>N/A</v>
        <stp/>
        <stp>STRIKE</stp>
        <stp>.IVV201120C361</stp>
        <tr r="W326" s="1"/>
      </tp>
      <tp t="s">
        <v>N/A</v>
        <stp/>
        <stp>STRIKE</stp>
        <stp>.IVV201120P361</stp>
        <tr r="W327" s="1"/>
      </tp>
      <tp t="s">
        <v>N/A</v>
        <stp/>
        <stp>STRIKE</stp>
        <stp>.TLT201120P156</stp>
        <tr r="W695" s="1"/>
      </tp>
      <tp t="s">
        <v>N/A</v>
        <stp/>
        <stp>STRIKE</stp>
        <stp>.TLT201120C156</stp>
        <tr r="W694" s="1"/>
      </tp>
      <tp t="s">
        <v>N/A</v>
        <stp/>
        <stp>STRIKE</stp>
        <stp>.TLT201120P155</stp>
        <tr r="W691" s="1"/>
      </tp>
      <tp t="s">
        <v>N/A</v>
        <stp/>
        <stp>STRIKE</stp>
        <stp>.TLT201120C155</stp>
        <tr r="W690" s="1"/>
      </tp>
      <tp t="s">
        <v>N/A</v>
        <stp/>
        <stp>STRIKE</stp>
        <stp>.IVV201120C358</stp>
        <tr r="W320" s="1"/>
      </tp>
      <tp t="s">
        <v>N/A</v>
        <stp/>
        <stp>STRIKE</stp>
        <stp>.IVV201120P358</stp>
        <tr r="W321" s="1"/>
      </tp>
      <tp t="s">
        <v>N/A</v>
        <stp/>
        <stp>STRIKE</stp>
        <stp>.IVV201120C359</stp>
        <tr r="W322" s="1"/>
      </tp>
      <tp t="s">
        <v>N/A</v>
        <stp/>
        <stp>STRIKE</stp>
        <stp>.IVV201120P359</stp>
        <tr r="W323" s="1"/>
      </tp>
      <tp t="s">
        <v>N/A</v>
        <stp/>
        <stp>STRIKE</stp>
        <stp>.IVV201120C356</stp>
        <tr r="W314" s="1"/>
      </tp>
      <tp t="s">
        <v>N/A</v>
        <stp/>
        <stp>STRIKE</stp>
        <stp>.IVV201120P356</stp>
        <tr r="W315" s="1"/>
      </tp>
      <tp t="s">
        <v>N/A</v>
        <stp/>
        <stp>STRIKE</stp>
        <stp>.IVV201120C357</stp>
        <tr r="W316" s="1"/>
      </tp>
      <tp t="s">
        <v>N/A</v>
        <stp/>
        <stp>STRIKE</stp>
        <stp>.IVV201120P357</stp>
        <tr r="W317" s="1"/>
      </tp>
      <tp t="s">
        <v>N/A</v>
        <stp/>
        <stp>STRIKE</stp>
        <stp>.IVV201120C354</stp>
        <tr r="W310" s="1"/>
      </tp>
      <tp t="s">
        <v>N/A</v>
        <stp/>
        <stp>STRIKE</stp>
        <stp>.IVV201120P354</stp>
        <tr r="W311" s="1"/>
      </tp>
      <tp t="s">
        <v>N/A</v>
        <stp/>
        <stp>STRIKE</stp>
        <stp>.IVV201120C355</stp>
        <tr r="W312" s="1"/>
      </tp>
      <tp t="s">
        <v>N/A</v>
        <stp/>
        <stp>STRIKE</stp>
        <stp>.IVV201120P355</stp>
        <tr r="W313" s="1"/>
      </tp>
      <tp t="s">
        <v>N/A</v>
        <stp/>
        <stp>PUT_CALL_RATIO</stp>
        <stp>.MJ201120C13</stp>
        <tr r="C424" s="1"/>
      </tp>
      <tp t="s">
        <v>N/A</v>
        <stp/>
        <stp>INTRINSIC</stp>
        <stp>.SPYV201120P33</stp>
        <tr r="R636" s="1"/>
      </tp>
      <tp>
        <v>125</v>
        <stp/>
        <stp>VOLUME</stp>
        <stp>.SH201120C19</stp>
        <tr r="F543" s="1"/>
      </tp>
      <tp t="s">
        <v>N/A</v>
        <stp/>
        <stp>STRIKE</stp>
        <stp>.IGV201120P320</stp>
        <tr r="W268" s="1"/>
      </tp>
      <tp t="s">
        <v>N/A</v>
        <stp/>
        <stp>STRIKE</stp>
        <stp>.IGV201120C320</stp>
        <tr r="W267" s="1"/>
      </tp>
      <tp t="s">
        <v>N/A</v>
        <stp/>
        <stp>STRIKE</stp>
        <stp>.IGV201120P325</stp>
        <tr r="W270" s="1"/>
      </tp>
      <tp t="s">
        <v>N/A</v>
        <stp/>
        <stp>STRIKE</stp>
        <stp>.IGV201120C325</stp>
        <tr r="W269" s="1"/>
      </tp>
      <tp t="s">
        <v>N/A</v>
        <stp/>
        <stp>STRIKE</stp>
        <stp>.IGV201120P315</stp>
        <tr r="W266" s="1"/>
      </tp>
      <tp t="s">
        <v>N/A</v>
        <stp/>
        <stp>STRIKE</stp>
        <stp>.IGV201120C315</stp>
        <tr r="W265" s="1"/>
      </tp>
      <tp t="s">
        <v>N/A</v>
        <stp/>
        <stp>IMPL_VOL</stp>
        <stp>.VNQ201120P84</stp>
        <tr r="D726" s="1"/>
      </tp>
      <tp t="s">
        <v>N/A</v>
        <stp/>
        <stp>IMPL_VOL</stp>
        <stp>.VNQ201120P85</stp>
        <tr r="D728" s="1"/>
      </tp>
      <tp t="s">
        <v>N/A</v>
        <stp/>
        <stp>PROB_OTM</stp>
        <stp>.KRE201120C46</stp>
        <tr r="U389" s="1"/>
      </tp>
      <tp t="s">
        <v>N/A</v>
        <stp/>
        <stp>PROB_OTM</stp>
        <stp>.KRE201120C47</stp>
        <tr r="U393" s="1"/>
      </tp>
      <tp t="s">
        <v>N/A</v>
        <stp/>
        <stp>EXTRINSIC</stp>
        <stp>.ITOT201120P81</stp>
        <tr r="S301" s="1"/>
      </tp>
      <tp t="s">
        <v>N/A</v>
        <stp/>
        <stp>EXTRINSIC</stp>
        <stp>.ITOT201120P80</stp>
        <tr r="S299" s="1"/>
      </tp>
      <tp t="s">
        <v>N/A</v>
        <stp/>
        <stp>OPEN_INT</stp>
        <stp>.PGX201120C15</stp>
        <tr r="G455" s="1"/>
      </tp>
      <tp t="s">
        <v>N/A</v>
        <stp/>
        <stp>PROB_OF_EXPIRING</stp>
        <stp>.VEU201120P55</stp>
        <tr r="T712" s="1"/>
      </tp>
      <tp t="s">
        <v>N/A</v>
        <stp/>
        <stp>PROB_OF_EXPIRING</stp>
        <stp>.DVY201120C91</stp>
        <tr r="T85" s="1"/>
      </tp>
      <tp t="s">
        <v>N/A</v>
        <stp/>
        <stp>PROB_OF_EXPIRING</stp>
        <stp>.DVY201120C93</stp>
        <tr r="T89" s="1"/>
      </tp>
      <tp t="s">
        <v>N/A</v>
        <stp/>
        <stp>PROB_OF_EXPIRING</stp>
        <stp>.DVY201120C92</stp>
        <tr r="T87" s="1"/>
      </tp>
      <tp t="s">
        <v>N/A</v>
        <stp/>
        <stp>LOW</stp>
        <stp>.IBB201120C140.5</stp>
        <tr r="K239" s="1"/>
      </tp>
      <tp t="s">
        <v>N/A</v>
        <stp/>
        <stp>LOW</stp>
        <stp>.LQD201120P135.5</stp>
        <tr r="K410" s="1"/>
      </tp>
      <tp>
        <v>5.35</v>
        <stp/>
        <stp>ASK</stp>
        <stp>.SMH201120P196.5</stp>
        <tr r="I569" s="1"/>
      </tp>
      <tp t="s">
        <v>N/A</v>
        <stp/>
        <stp>PROB_OTM</stp>
        <stp>.IGIB201120C61</stp>
        <tr r="U262" s="1"/>
      </tp>
      <tp t="s">
        <v>N/A</v>
        <stp/>
        <stp>DELTA</stp>
        <stp>.ASHR201120C37.5</stp>
        <tr r="M44" s="1"/>
      </tp>
      <tp t="s">
        <v>N/A</v>
        <stp/>
        <stp>DELTA</stp>
        <stp>.ASHR201120P37.5</stp>
        <tr r="M45" s="1"/>
      </tp>
      <tp t="s">
        <v>N/A</v>
        <stp/>
        <stp>PROB_OF_TOUCHING</stp>
        <stp>.IEFA201120P66</stp>
        <tr r="V255" s="1"/>
      </tp>
      <tp t="s">
        <v>N/A</v>
        <stp/>
        <stp>PROB_OF_TOUCHING</stp>
        <stp>.IEFA201120P65</stp>
        <tr r="V253" s="1"/>
      </tp>
      <tp t="s">
        <v>N/A</v>
        <stp/>
        <stp>OPEN_INT</stp>
        <stp>.KWEB201120P73</stp>
        <tr r="G401" s="1"/>
      </tp>
      <tp t="s">
        <v>N/A</v>
        <stp/>
        <stp>OPEN_INT</stp>
        <stp>.KWEB201120P72</stp>
        <tr r="G399" s="1"/>
      </tp>
      <tp t="s">
        <v>N/A</v>
        <stp/>
        <stp>PROB_OF_EXPIRING</stp>
        <stp>.USMV201120P67</stp>
        <tr r="T700" s="1"/>
      </tp>
      <tp>
        <v>106</v>
        <stp/>
        <stp>OPEN_INT</stp>
        <stp>.KWEB201120P74</stp>
        <tr r="G403" s="1"/>
      </tp>
      <tp t="s">
        <v>N/A</v>
        <stp/>
        <stp>BID</stp>
        <stp>.MDY201120P382.5</stp>
        <tr r="H418" s="1"/>
      </tp>
      <tp t="s">
        <v>N/A</v>
        <stp/>
        <stp>PROB_OF_TOUCHING</stp>
        <stp>.EUFN201120P16</stp>
        <tr r="V119" s="1"/>
      </tp>
      <tp t="s">
        <v>N/A</v>
        <stp/>
        <stp>RHO</stp>
        <stp>.IVV201120C357.5</stp>
        <tr r="Q318" s="1"/>
      </tp>
      <tp t="s">
        <v>N/A</v>
        <stp/>
        <stp>PROB_OTM</stp>
        <stp>.NAIL201120C48</stp>
        <tr r="U447" s="1"/>
      </tp>
      <tp t="s">
        <v>N/A</v>
        <stp/>
        <stp>PROB_OTM</stp>
        <stp>.NAIL201120C49</stp>
        <tr r="U449" s="1"/>
      </tp>
      <tp t="s">
        <v>N/A</v>
        <stp/>
        <stp>PROB_OTM</stp>
        <stp>.NAIL201120C44</stp>
        <tr r="U439" s="1"/>
      </tp>
      <tp t="s">
        <v>N/A</v>
        <stp/>
        <stp>PROB_OTM</stp>
        <stp>.NAIL201120C45</stp>
        <tr r="U441" s="1"/>
      </tp>
      <tp t="s">
        <v>N/A</v>
        <stp/>
        <stp>PROB_OTM</stp>
        <stp>.NAIL201120C46</stp>
        <tr r="U443" s="1"/>
      </tp>
      <tp t="s">
        <v>N/A</v>
        <stp/>
        <stp>PROB_OTM</stp>
        <stp>.NAIL201120C47</stp>
        <tr r="U445" s="1"/>
      </tp>
      <tp t="s">
        <v>N/A</v>
        <stp/>
        <stp>RHO</stp>
        <stp>.IWF201120C227.5</stp>
        <tr r="Q343" s="1"/>
      </tp>
      <tp>
        <v>153</v>
        <stp/>
        <stp>OPEN_INT</stp>
        <stp>.DFEN201120P14</stp>
        <tr r="G58" s="1"/>
      </tp>
      <tp>
        <v>726</v>
        <stp/>
        <stp>OPEN_INT</stp>
        <stp>.DFEN201120P13</stp>
        <tr r="G56" s="1"/>
      </tp>
      <tp t="s">
        <v>N/A</v>
        <stp/>
        <stp>OPEN_INT</stp>
        <stp>.SRVR201120C35</stp>
        <tr r="G638" s="1"/>
      </tp>
      <tp t="s">
        <v>N/A</v>
        <stp/>
        <stp>OPEN_INT</stp>
        <stp>.SRVR201120C36</stp>
        <tr r="G640" s="1"/>
      </tp>
      <tp t="s">
        <v>N/A</v>
        <stp/>
        <stp>PROB_OTM</stp>
        <stp>.DRIP201120C45</stp>
        <tr r="U82" s="1"/>
      </tp>
      <tp t="s">
        <v>N/A</v>
        <stp/>
        <stp>THETA</stp>
        <stp>.ASHR201120C37.5</stp>
        <tr r="O44" s="1"/>
      </tp>
      <tp t="s">
        <v>N/A</v>
        <stp/>
        <stp>THETA</stp>
        <stp>.ASHR201120P37.5</stp>
        <tr r="O45" s="1"/>
      </tp>
      <tp>
        <v>0</v>
        <stp/>
        <stp>LOW</stp>
        <stp>.IBB201120P140.5</stp>
        <tr r="K240" s="1"/>
      </tp>
      <tp>
        <v>0.36</v>
        <stp/>
        <stp>LOW</stp>
        <stp>.LQD201120C135.5</stp>
        <tr r="K409" s="1"/>
      </tp>
      <tp>
        <v>2.08</v>
        <stp/>
        <stp>ASK</stp>
        <stp>.SMH201120C196.5</stp>
        <tr r="I568" s="1"/>
      </tp>
      <tp t="s">
        <v>N/A</v>
        <stp/>
        <stp>PROB_OF_TOUCHING</stp>
        <stp>.VXUS201120C57</stp>
        <tr r="V756" s="1"/>
      </tp>
      <tp t="s">
        <v>N/A</v>
        <stp/>
        <stp>PROB_OF_TOUCHING</stp>
        <stp>.VXUS201120C56</stp>
        <tr r="V754" s="1"/>
      </tp>
      <tp t="s">
        <v>N/A</v>
        <stp/>
        <stp>BID</stp>
        <stp>.MDY201120C382.5</stp>
        <tr r="H417" s="1"/>
      </tp>
      <tp t="s">
        <v>N/A</v>
        <stp/>
        <stp>PROB_OF_EXPIRING</stp>
        <stp>.IEMG201120P57</stp>
        <tr r="T258" s="1"/>
      </tp>
      <tp t="s">
        <v>N/A</v>
        <stp/>
        <stp>PROB_OF_TOUCHING</stp>
        <stp>.IXUS201120C63</stp>
        <tr r="V361" s="1"/>
      </tp>
      <tp t="s">
        <v>N/A</v>
        <stp/>
        <stp>PROB_OF_EXPIRING</stp>
        <stp>.IEMG201120P58</stp>
        <tr r="T260" s="1"/>
      </tp>
      <tp t="s">
        <v>N/A</v>
        <stp/>
        <stp>PROB_OTM</stp>
        <stp>.VGIT201120C70</stp>
        <tr r="U719" s="1"/>
      </tp>
      <tp t="s">
        <v>N/A</v>
        <stp/>
        <stp>PROB_OTM</stp>
        <stp>.VCIT201120C96</stp>
        <tr r="U702" s="1"/>
      </tp>
      <tp t="s">
        <v>N/A</v>
        <stp/>
        <stp>RHO</stp>
        <stp>.IWF201120P227.5</stp>
        <tr r="Q344" s="1"/>
      </tp>
      <tp t="s">
        <v>N/A</v>
        <stp/>
        <stp>RHO</stp>
        <stp>.IVV201120P357.5</stp>
        <tr r="Q319" s="1"/>
      </tp>
      <tp>
        <v>55.79</v>
        <stp/>
        <stp>LAST</stp>
        <stp>VXUS</stp>
        <tr r="E753" s="1"/>
      </tp>
      <tp>
        <v>62.41</v>
        <stp/>
        <stp>LAST</stp>
        <stp>IXUS</stp>
        <tr r="E360" s="1"/>
      </tp>
      <tp t="s">
        <v>N/A</v>
        <stp/>
        <stp>GAMMA</stp>
        <stp>.XBI201120C124.5</stp>
        <tr r="N774" s="1"/>
      </tp>
      <tp t="s">
        <v>N/A</v>
        <stp/>
        <stp>DELTA</stp>
        <stp>.VNQ201120C85</stp>
        <tr r="M727" s="1"/>
      </tp>
      <tp t="s">
        <v>N/A</v>
        <stp/>
        <stp>DELTA</stp>
        <stp>.VNQ201120C84</stp>
        <tr r="M725" s="1"/>
      </tp>
      <tp>
        <v>38.08</v>
        <stp/>
        <stp>OPEN</stp>
        <stp>INDY</stp>
        <tr r="L285" s="1"/>
      </tp>
      <tp>
        <v>35.9</v>
        <stp/>
        <stp>OPEN</stp>
        <stp>INDA</stp>
        <tr r="L280" s="1"/>
      </tp>
      <tp>
        <v>0</v>
        <stp/>
        <stp>GAMMA</stp>
        <stp>FEZ</stp>
        <tr r="N180" s="1"/>
      </tp>
      <tp t="s">
        <v>N/A</v>
        <stp/>
        <stp>GAMMA</stp>
        <stp>.XLY201120C154.5</stp>
        <tr r="N880" s="1"/>
      </tp>
      <tp t="s">
        <v>N/A</v>
        <stp/>
        <stp>GAMMA</stp>
        <stp>.XBI201120P124.5</stp>
        <tr r="N775" s="1"/>
      </tp>
      <tp>
        <v>0</v>
        <stp/>
        <stp>VEGA</stp>
        <stp>XLRE</stp>
        <tr r="P846" s="1"/>
      </tp>
      <tp>
        <v>1</v>
        <stp/>
        <stp>DELTA</stp>
        <stp>GDX</stp>
        <tr r="M195" s="1"/>
      </tp>
      <tp t="s">
        <v>N/A</v>
        <stp/>
        <stp>THETA</stp>
        <stp>.XME201120P27</stp>
        <tr r="O888" s="1"/>
      </tp>
      <tp>
        <v>0</v>
        <stp/>
        <stp>GAMMA</stp>
        <stp>FXI</stp>
        <tr r="N188" s="1"/>
      </tp>
      <tp>
        <v>37.164999999999999</v>
        <stp/>
        <stp>HIGH</stp>
        <stp>XLRE</stp>
        <tr r="J846" s="1"/>
      </tp>
      <tp>
        <v>0</v>
        <stp/>
        <stp>GAMMA</stp>
        <stp>FVD</stp>
        <tr r="N185" s="1"/>
      </tp>
      <tp t="s">
        <v>N/A</v>
        <stp/>
        <stp>DESCRIPTION</stp>
        <stp>.ASHR201120C37.5</stp>
        <tr r="B44" s="1"/>
      </tp>
      <tp t="s">
        <v>N/A</v>
        <stp/>
        <stp>DESCRIPTION</stp>
        <stp>.ASHR201120P37.5</stp>
        <tr r="B45" s="1"/>
      </tp>
      <tp>
        <v>2.29</v>
        <stp/>
        <stp>OPEN</stp>
        <stp>.ARKK201120C100</stp>
        <tr r="L32" s="1"/>
      </tp>
      <tp>
        <v>2.61</v>
        <stp/>
        <stp>OPEN</stp>
        <stp>.ARKK201120P100</stp>
        <tr r="L33" s="1"/>
      </tp>
      <tp t="s">
        <v>N/A</v>
        <stp/>
        <stp>GAMMA</stp>
        <stp>.XME201120C27</stp>
        <tr r="N887" s="1"/>
      </tp>
      <tp t="s">
        <v>N/A</v>
        <stp/>
        <stp>GAMMA</stp>
        <stp>.XLY201120P154.5</stp>
        <tr r="N881" s="1"/>
      </tp>
      <tp>
        <v>0</v>
        <stp/>
        <stp>BID</stp>
        <stp>.SCHP201120P61</stp>
        <tr r="H533" s="1"/>
      </tp>
      <tp t="s">
        <v>N/A</v>
        <stp/>
        <stp>RHO</stp>
        <stp>.SCHE201120P29</stp>
        <tr r="Q527" s="1"/>
      </tp>
      <tp t="s">
        <v>N/A</v>
        <stp/>
        <stp>RHO</stp>
        <stp>.SPHD201120P36</stp>
        <tr r="Q583" s="1"/>
      </tp>
      <tp>
        <v>0.25</v>
        <stp/>
        <stp>ASK</stp>
        <stp>.SCHP201120P61</stp>
        <tr r="I533" s="1"/>
      </tp>
      <tp t="s">
        <v>N/A</v>
        <stp/>
        <stp>RHO</stp>
        <stp>.SCHF201120P34</stp>
        <tr r="Q530" s="1"/>
      </tp>
      <tp t="s">
        <v>N/A</v>
        <stp/>
        <stp>RHO</stp>
        <stp>.SCHD201120P61</stp>
        <tr r="Q522" s="1"/>
      </tp>
      <tp t="s">
        <v>N/A</v>
        <stp/>
        <stp>ASK</stp>
        <stp>.ASHR201120P38</stp>
        <tr r="I47" s="1"/>
      </tp>
      <tp t="s">
        <v>N/A</v>
        <stp/>
        <stp>RHO</stp>
        <stp>.SCHD201120P62</stp>
        <tr r="Q524" s="1"/>
      </tp>
      <tp t="s">
        <v>N/A</v>
        <stp/>
        <stp>PUT_CALL_RATIO</stp>
        <stp>.VNQ201120C85</stp>
        <tr r="C727" s="1"/>
      </tp>
      <tp t="s">
        <v>N/A</v>
        <stp/>
        <stp>PUT_CALL_RATIO</stp>
        <stp>.VNQ201120C84</stp>
        <tr r="C725" s="1"/>
      </tp>
      <tp t="s">
        <v>N/A</v>
        <stp/>
        <stp>RHO</stp>
        <stp>.MCHI201120P80</stp>
        <tr r="Q413" s="1"/>
      </tp>
      <tp t="s">
        <v>N/A</v>
        <stp/>
        <stp>BID</stp>
        <stp>.ASHR201120P38</stp>
        <tr r="H47" s="1"/>
      </tp>
      <tp t="s">
        <v>N/A</v>
        <stp/>
        <stp>STRIKE</stp>
        <stp>.VEU201120P55</stp>
        <tr r="W712" s="1"/>
      </tp>
      <tp t="s">
        <v>N/A</v>
        <stp/>
        <stp>STRIKE</stp>
        <stp>.DVY201120C93</stp>
        <tr r="W89" s="1"/>
      </tp>
      <tp t="s">
        <v>N/A</v>
        <stp/>
        <stp>STRIKE</stp>
        <stp>.DVY201120C92</stp>
        <tr r="W87" s="1"/>
      </tp>
      <tp t="s">
        <v>N/A</v>
        <stp/>
        <stp>STRIKE</stp>
        <stp>.DVY201120C91</stp>
        <tr r="W85" s="1"/>
      </tp>
      <tp t="s">
        <v>N/A</v>
        <stp/>
        <stp>LOW</stp>
        <stp>.ASHR201120P38</stp>
        <tr r="K47" s="1"/>
      </tp>
      <tp t="s">
        <v>N/A</v>
        <stp/>
        <stp>DESCRIPTION</stp>
        <stp>.INDA201120C36</stp>
        <tr r="B281" s="1"/>
      </tp>
      <tp t="s">
        <v>N/A</v>
        <stp/>
        <stp>STRIKE</stp>
        <stp>.FEZ201120P40</stp>
        <tr r="W184" s="1"/>
      </tp>
      <tp t="s">
        <v>N/A</v>
        <stp/>
        <stp>DESCRIPTION</stp>
        <stp>.ACWI201120P85</stp>
        <tr r="B9" s="1"/>
      </tp>
      <tp t="s">
        <v>N/A</v>
        <stp/>
        <stp>DESCRIPTION</stp>
        <stp>.ACWI201120P86</stp>
        <tr r="B11" s="1"/>
      </tp>
      <tp>
        <v>0</v>
        <stp/>
        <stp>LOW</stp>
        <stp>.SCHP201120P61</stp>
        <tr r="K533" s="1"/>
      </tp>
      <tp>
        <v>7</v>
        <stp/>
        <stp>VOLUME</stp>
        <stp>.XME201120C27</stp>
        <tr r="F887" s="1"/>
      </tp>
      <tp t="s">
        <v>N/A</v>
        <stp/>
        <stp>ASK</stp>
        <stp>.SCHF201120P34</stp>
        <tr r="I530" s="1"/>
      </tp>
      <tp t="s">
        <v>N/A</v>
        <stp/>
        <stp>RHO</stp>
        <stp>.SCHP201120P61</stp>
        <tr r="Q533" s="1"/>
      </tp>
      <tp t="s">
        <v>N/A</v>
        <stp/>
        <stp>STRIKE</stp>
        <stp>.FVD201120C35</stp>
        <tr r="W186" s="1"/>
      </tp>
      <tp t="s">
        <v>N/A</v>
        <stp/>
        <stp>DESCRIPTION</stp>
        <stp>.INDY201120C38</stp>
        <tr r="B286" s="1"/>
      </tp>
      <tp t="s">
        <v>N/A</v>
        <stp/>
        <stp>BID</stp>
        <stp>.SCHE201120P29</stp>
        <tr r="H527" s="1"/>
      </tp>
      <tp t="s">
        <v>N/A</v>
        <stp/>
        <stp>BID</stp>
        <stp>.SPHD201120P36</stp>
        <tr r="H583" s="1"/>
      </tp>
      <tp t="s">
        <v>N/A</v>
        <stp/>
        <stp>ASK</stp>
        <stp>.SPHD201120P36</stp>
        <tr r="I583" s="1"/>
      </tp>
      <tp t="s">
        <v>N/A</v>
        <stp/>
        <stp>ASK</stp>
        <stp>.SCHE201120P29</stp>
        <tr r="I527" s="1"/>
      </tp>
      <tp t="s">
        <v>N/A</v>
        <stp/>
        <stp>STRIKE</stp>
        <stp>.VEA201120P44</stp>
        <tr r="W709" s="1"/>
      </tp>
      <tp t="s">
        <v>N/A</v>
        <stp/>
        <stp>BID</stp>
        <stp>.SCHF201120P34</stp>
        <tr r="H530" s="1"/>
      </tp>
      <tp>
        <v>1.55</v>
        <stp/>
        <stp>ASK</stp>
        <stp>.MCHI201120P80</stp>
        <tr r="I413" s="1"/>
      </tp>
      <tp t="s">
        <v>N/A</v>
        <stp/>
        <stp>BID</stp>
        <stp>.SCHD201120P61</stp>
        <tr r="H522" s="1"/>
      </tp>
      <tp t="s">
        <v>N/A</v>
        <stp/>
        <stp>BID</stp>
        <stp>.SCHD201120P62</stp>
        <tr r="H524" s="1"/>
      </tp>
      <tp t="s">
        <v>N/A</v>
        <stp/>
        <stp>DESCRIPTION</stp>
        <stp>.ACWX201120P50</stp>
        <tr r="B14" s="1"/>
      </tp>
      <tp>
        <v>1.3</v>
        <stp/>
        <stp>BID</stp>
        <stp>.MCHI201120P80</stp>
        <tr r="H413" s="1"/>
      </tp>
      <tp t="s">
        <v>N/A</v>
        <stp/>
        <stp>ASK</stp>
        <stp>.SCHD201120P62</stp>
        <tr r="I524" s="1"/>
      </tp>
      <tp t="s">
        <v>N/A</v>
        <stp/>
        <stp>ASK</stp>
        <stp>.SCHD201120P61</stp>
        <tr r="I522" s="1"/>
      </tp>
      <tp t="s">
        <v>N/A</v>
        <stp/>
        <stp>RHO</stp>
        <stp>.ASHR201120P38</stp>
        <tr r="Q47" s="1"/>
      </tp>
      <tp>
        <v>0.9</v>
        <stp/>
        <stp>LOW</stp>
        <stp>.MCHI201120P80</stp>
        <tr r="K413" s="1"/>
      </tp>
      <tp t="s">
        <v>N/A</v>
        <stp/>
        <stp>LOW</stp>
        <stp>.SCHD201120P62</stp>
        <tr r="K524" s="1"/>
      </tp>
      <tp t="s">
        <v>N/A</v>
        <stp/>
        <stp>LOW</stp>
        <stp>.SCHD201120P61</stp>
        <tr r="K522" s="1"/>
      </tp>
      <tp t="s">
        <v>N/A</v>
        <stp/>
        <stp>LOW</stp>
        <stp>.SCHF201120P34</stp>
        <tr r="K530" s="1"/>
      </tp>
      <tp t="s">
        <v>N/A</v>
        <stp/>
        <stp>STRIKE</stp>
        <stp>.EEM201120P48</stp>
        <tr r="W98" s="1"/>
      </tp>
      <tp t="s">
        <v>N/A</v>
        <stp/>
        <stp>LOW</stp>
        <stp>.SCHE201120P29</stp>
        <tr r="K527" s="1"/>
      </tp>
      <tp t="s">
        <v>N/A</v>
        <stp/>
        <stp>DESCRIPTION</stp>
        <stp>.SPDW201120C32</stp>
        <tr r="B579" s="1"/>
      </tp>
      <tp t="s">
        <v>N/A</v>
        <stp/>
        <stp>LOW</stp>
        <stp>.SPHD201120P36</stp>
        <tr r="K583" s="1"/>
      </tp>
      <tp t="s">
        <v>N/A</v>
        <stp/>
        <stp>PROB_OF_TOUCHING</stp>
        <stp>.XLF201120P27</stp>
        <tr r="V812" s="1"/>
      </tp>
      <tp t="s">
        <v>N/A</v>
        <stp/>
        <stp>PROB_OF_TOUCHING</stp>
        <stp>.ILF201120P25</stp>
        <tr r="V279" s="1"/>
      </tp>
      <tp t="s">
        <v>N/A</v>
        <stp/>
        <stp>PROB_OF_TOUCHING</stp>
        <stp>.XLB201120P69</stp>
        <tr r="V791" s="1"/>
      </tp>
      <tp t="s">
        <v>N/A</v>
        <stp/>
        <stp>PROB_OF_EXPIRING</stp>
        <stp>.VFH201120P67</stp>
        <tr r="T717" s="1"/>
      </tp>
      <tp t="s">
        <v>N/A</v>
        <stp/>
        <stp>PROB_OF_EXPIRING</stp>
        <stp>.VFH201120P66</stp>
        <tr r="T715" s="1"/>
      </tp>
      <tp t="s">
        <v>N/A</v>
        <stp/>
        <stp>PROB_OF_TOUCHING</stp>
        <stp>.XLC201120P63</stp>
        <tr r="V798" s="1"/>
      </tp>
      <tp t="s">
        <v>N/A</v>
        <stp/>
        <stp>PROB_OF_TOUCHING</stp>
        <stp>.XLB201120P70</stp>
        <tr r="V795" s="1"/>
      </tp>
      <tp t="s">
        <v>N/A</v>
        <stp/>
        <stp>PROB_OF_TOUCHING</stp>
        <stp>.XLC201120P64</stp>
        <tr r="V802" s="1"/>
      </tp>
      <tp t="s">
        <v>N/A</v>
        <stp/>
        <stp>EXTRINSIC</stp>
        <stp>.EMLC201120P32</stp>
        <tr r="S116" s="1"/>
      </tp>
      <tp t="s">
        <v>N/A</v>
        <stp/>
        <stp>PROB_OF_TOUCHING</stp>
        <stp>.XLE201120P34</stp>
        <tr r="V807" s="1"/>
      </tp>
      <tp t="s">
        <v>N/A</v>
        <stp/>
        <stp>EXTRINSIC</stp>
        <stp>.SPLG201120P42</stp>
        <tr r="S586" s="1"/>
      </tp>
      <tp t="s">
        <v>N/A</v>
        <stp/>
        <stp>OPEN_INT</stp>
        <stp>.EWG201120P30</stp>
        <tr r="G128" s="1"/>
      </tp>
      <tp>
        <v>0</v>
        <stp/>
        <stp>VOLUME</stp>
        <stp>.VTI201120P184</stp>
        <tr r="F747" s="1"/>
      </tp>
      <tp t="s">
        <v>N/A</v>
        <stp/>
        <stp>VOLUME</stp>
        <stp>.VTI201120C184</stp>
        <tr r="F746" s="1"/>
      </tp>
      <tp t="s">
        <v>N/A</v>
        <stp/>
        <stp>VOLUME</stp>
        <stp>.VTI201120P182</stp>
        <tr r="F743" s="1"/>
      </tp>
      <tp t="s">
        <v>N/A</v>
        <stp/>
        <stp>VOLUME</stp>
        <stp>.VTI201120C182</stp>
        <tr r="F742" s="1"/>
      </tp>
      <tp t="s">
        <v>N/A</v>
        <stp/>
        <stp>VOLUME</stp>
        <stp>.VTI201120P183</stp>
        <tr r="F745" s="1"/>
      </tp>
      <tp t="s">
        <v>N/A</v>
        <stp/>
        <stp>VOLUME</stp>
        <stp>.VTI201120C183</stp>
        <tr r="F744" s="1"/>
      </tp>
      <tp t="s">
        <v>N/A</v>
        <stp/>
        <stp>VOLUME</stp>
        <stp>.VTI201120P181</stp>
        <tr r="F741" s="1"/>
      </tp>
      <tp t="s">
        <v>N/A</v>
        <stp/>
        <stp>VOLUME</stp>
        <stp>.VTI201120C181</stp>
        <tr r="F740" s="1"/>
      </tp>
      <tp t="s">
        <v>N/A</v>
        <stp/>
        <stp>OPEN_INT</stp>
        <stp>.EWA201120P22</stp>
        <tr r="G122" s="1"/>
      </tp>
      <tp t="s">
        <v>N/A</v>
        <stp/>
        <stp>PROB_OF_TOUCHING</stp>
        <stp>.XLI201120P86</stp>
        <tr r="V823" s="1"/>
      </tp>
      <tp t="s">
        <v>N/A</v>
        <stp/>
        <stp>PROB_OF_TOUCHING</stp>
        <stp>.XLI201120P84</stp>
        <tr r="V815" s="1"/>
      </tp>
      <tp t="s">
        <v>N/A</v>
        <stp/>
        <stp>PROB_OF_TOUCHING</stp>
        <stp>.XLI201120P85</stp>
        <tr r="V819" s="1"/>
      </tp>
      <tp t="s">
        <v>N/A</v>
        <stp/>
        <stp>INTRINSIC</stp>
        <stp>.IGIB201120C61</stp>
        <tr r="R262" s="1"/>
      </tp>
      <tp t="s">
        <v>N/A</v>
        <stp/>
        <stp>IMPL_VOL</stp>
        <stp>.XME201120P27</stp>
        <tr r="D888" s="1"/>
      </tp>
      <tp t="s">
        <v>N/A</v>
        <stp/>
        <stp>OPEN_INT</stp>
        <stp>.EWC201120P29</stp>
        <tr r="G125" s="1"/>
      </tp>
      <tp t="s">
        <v>N/A</v>
        <stp/>
        <stp>EXTRINSIC</stp>
        <stp>.HYLB201120P49</stp>
        <tr r="S227" s="1"/>
      </tp>
      <tp t="s">
        <v>N/A</v>
        <stp/>
        <stp>PROB_OF_EXPIRING</stp>
        <stp>.EFA201120P69</stp>
        <tr r="T103" s="1"/>
      </tp>
      <tp>
        <v>5</v>
        <stp/>
        <stp>OPEN_INT</stp>
        <stp>.RWM201120P29</stp>
        <tr r="G519" s="1"/>
      </tp>
      <tp t="s">
        <v>N/A</v>
        <stp/>
        <stp>PROB_OF_EXPIRING</stp>
        <stp>.EFA201120P70</stp>
        <tr r="T107" s="1"/>
      </tp>
      <tp t="s">
        <v>N/A</v>
        <stp/>
        <stp>PROB_OF_TOUCHING</stp>
        <stp>.QLD201120P96</stp>
        <tr r="V464" s="1"/>
      </tp>
      <tp t="s">
        <v>N/A</v>
        <stp/>
        <stp>PROB_OF_TOUCHING</stp>
        <stp>.QLD201120P97</stp>
        <tr r="V466" s="1"/>
      </tp>
      <tp t="s">
        <v>N/A</v>
        <stp/>
        <stp>PROB_OF_TOUCHING</stp>
        <stp>.QLD201120P98</stp>
        <tr r="V468" s="1"/>
      </tp>
      <tp t="s">
        <v>N/A</v>
        <stp/>
        <stp>PROB_OF_TOUCHING</stp>
        <stp>.QLD201120P99</stp>
        <tr r="V470" s="1"/>
      </tp>
      <tp t="s">
        <v>N/A</v>
        <stp/>
        <stp>INTRINSIC</stp>
        <stp>.NAIL201120C48</stp>
        <tr r="R447" s="1"/>
      </tp>
      <tp t="s">
        <v>N/A</v>
        <stp/>
        <stp>INTRINSIC</stp>
        <stp>.NAIL201120C49</stp>
        <tr r="R449" s="1"/>
      </tp>
      <tp>
        <v>20</v>
        <stp/>
        <stp>VOLUME</stp>
        <stp>.XBI201120C122</stp>
        <tr r="F764" s="1"/>
      </tp>
      <tp>
        <v>283</v>
        <stp/>
        <stp>VOLUME</stp>
        <stp>.XBI201120P122</stp>
        <tr r="F765" s="1"/>
      </tp>
      <tp>
        <v>19</v>
        <stp/>
        <stp>VOLUME</stp>
        <stp>.XBI201120C123</stp>
        <tr r="F768" s="1"/>
      </tp>
      <tp>
        <v>13</v>
        <stp/>
        <stp>VOLUME</stp>
        <stp>.XBI201120P123</stp>
        <tr r="F769" s="1"/>
      </tp>
      <tp t="s">
        <v>N/A</v>
        <stp/>
        <stp>INTRINSIC</stp>
        <stp>.NAIL201120C46</stp>
        <tr r="R443" s="1"/>
      </tp>
      <tp>
        <v>34</v>
        <stp/>
        <stp>VOLUME</stp>
        <stp>.XBI201120C124</stp>
        <tr r="F772" s="1"/>
      </tp>
      <tp>
        <v>7</v>
        <stp/>
        <stp>VOLUME</stp>
        <stp>.XBI201120P124</stp>
        <tr r="F773" s="1"/>
      </tp>
      <tp t="s">
        <v>N/A</v>
        <stp/>
        <stp>INTRINSIC</stp>
        <stp>.NAIL201120C47</stp>
        <tr r="R445" s="1"/>
      </tp>
      <tp>
        <v>357</v>
        <stp/>
        <stp>VOLUME</stp>
        <stp>.XBI201120C125</stp>
        <tr r="F776" s="1"/>
      </tp>
      <tp>
        <v>1107</v>
        <stp/>
        <stp>VOLUME</stp>
        <stp>.XBI201120P125</stp>
        <tr r="F777" s="1"/>
      </tp>
      <tp t="s">
        <v>N/A</v>
        <stp/>
        <stp>INTRINSIC</stp>
        <stp>.NAIL201120C44</stp>
        <tr r="R439" s="1"/>
      </tp>
      <tp t="s">
        <v>N/A</v>
        <stp/>
        <stp>INTRINSIC</stp>
        <stp>.NAIL201120C45</stp>
        <tr r="R441" s="1"/>
      </tp>
      <tp t="s">
        <v>N/A</v>
        <stp/>
        <stp>OPEN_INT</stp>
        <stp>.EWJ201120P63</stp>
        <tr r="G137" s="1"/>
      </tp>
      <tp t="s">
        <v>N/A</v>
        <stp/>
        <stp>OPEN_INT</stp>
        <stp>.EWJ201120P64</stp>
        <tr r="G141" s="1"/>
      </tp>
      <tp>
        <v>1</v>
        <stp/>
        <stp>OPEN_INT</stp>
        <stp>.EWI201120P27</stp>
        <tr r="G134" s="1"/>
      </tp>
      <tp t="s">
        <v>N/A</v>
        <stp/>
        <stp>OPEN_INT</stp>
        <stp>.VWO201120P47</stp>
        <tr r="G752" s="1"/>
      </tp>
      <tp t="s">
        <v>N/A</v>
        <stp/>
        <stp>PROB_OTM</stp>
        <stp>.TBT201120P17</stp>
        <tr r="U685" s="1"/>
      </tp>
      <tp t="s">
        <v>N/A</v>
        <stp/>
        <stp>OPEN_INT</stp>
        <stp>.EWH201120P24</stp>
        <tr r="G131" s="1"/>
      </tp>
      <tp t="s">
        <v>N/A</v>
        <stp/>
        <stp>EXTRINSIC</stp>
        <stp>.BKLN201120P22</stp>
        <tr r="S50" s="1"/>
      </tp>
      <tp t="s">
        <v>N/A</v>
        <stp/>
        <stp>EXTRINSIC</stp>
        <stp>.ICLN201120P22</stp>
        <tr r="S247" s="1"/>
      </tp>
      <tp t="s">
        <v>N/A</v>
        <stp/>
        <stp>STRIKE</stp>
        <stp>.SH201120C19</stp>
        <tr r="W543" s="1"/>
      </tp>
      <tp t="s">
        <v>N/A</v>
        <stp/>
        <stp>OPEN_INT</stp>
        <stp>.EWL201120P43</stp>
        <tr r="G144" s="1"/>
      </tp>
      <tp t="s">
        <v>N/A</v>
        <stp/>
        <stp>PROB_OF_TOUCHING</stp>
        <stp>.XLP201120P67</stp>
        <tr r="V845" s="1"/>
      </tp>
      <tp t="s">
        <v>N/A</v>
        <stp/>
        <stp>EXTRINSIC</stp>
        <stp>.SPLV201120P55</stp>
        <tr r="S589" s="1"/>
      </tp>
      <tp t="s">
        <v>N/A</v>
        <stp/>
        <stp>INTRINSIC</stp>
        <stp>.VGIT201120C70</stp>
        <tr r="R719" s="1"/>
      </tp>
      <tp>
        <v>23</v>
        <stp/>
        <stp>OPEN_INT</stp>
        <stp>.EWW201120P39</stp>
        <tr r="G158" s="1"/>
      </tp>
      <tp t="s">
        <v>N/A</v>
        <stp/>
        <stp>EXTRINSIC</stp>
        <stp>.AMLP201120P24</stp>
        <tr r="S24" s="1"/>
      </tp>
      <tp t="s">
        <v>N/A</v>
        <stp/>
        <stp>EXTRINSIC</stp>
        <stp>.AMLP201120P23</stp>
        <tr r="S20" s="1"/>
      </tp>
      <tp>
        <v>3306</v>
        <stp/>
        <stp>OPEN_INT</stp>
        <stp>.SDS201120C14</stp>
        <tr r="G540" s="1"/>
      </tp>
      <tp t="s">
        <v>N/A</v>
        <stp/>
        <stp>OPEN_INT</stp>
        <stp>.EWP201120P26</stp>
        <tr r="G147" s="1"/>
      </tp>
      <tp t="s">
        <v>N/A</v>
        <stp/>
        <stp>INTRINSIC</stp>
        <stp>.DRIP201120C45</stp>
        <tr r="R82" s="1"/>
      </tp>
      <tp t="s">
        <v>N/A</v>
        <stp/>
        <stp>PROB_OF_TOUCHING</stp>
        <stp>.XLU201120P66</stp>
        <tr r="V851" s="1"/>
      </tp>
      <tp t="s">
        <v>N/A</v>
        <stp/>
        <stp>PROB_OF_TOUCHING</stp>
        <stp>.XLU201120P67</stp>
        <tr r="V855" s="1"/>
      </tp>
      <tp>
        <v>1</v>
        <stp/>
        <stp>OPEN_INT</stp>
        <stp>.EWT201120P48</stp>
        <tr r="G150" s="1"/>
      </tp>
      <tp t="s">
        <v>N/A</v>
        <stp/>
        <stp>OPEN_INT</stp>
        <stp>.EWY201120P72</stp>
        <tr r="G165" s="1"/>
      </tp>
      <tp t="s">
        <v>N/A</v>
        <stp/>
        <stp>OPEN_INT</stp>
        <stp>.EWY201120P73</stp>
        <tr r="G169" s="1"/>
      </tp>
      <tp>
        <v>2624</v>
        <stp/>
        <stp>OPEN_INT</stp>
        <stp>.GDX201120C37</stp>
        <tr r="G198" s="1"/>
      </tp>
      <tp t="s">
        <v>N/A</v>
        <stp/>
        <stp>INTRINSIC</stp>
        <stp>.VCIT201120C96</stp>
        <tr r="R702" s="1"/>
      </tp>
      <tp t="s">
        <v>N/A</v>
        <stp/>
        <stp>PROB_OF_EXPIRING</stp>
        <stp>.EFV201120P45</stp>
        <tr r="T110" s="1"/>
      </tp>
      <tp>
        <v>1429</v>
        <stp/>
        <stp>OPEN_INT</stp>
        <stp>.EWZ201120P32</stp>
        <tr r="G176" s="1"/>
      </tp>
      <tp t="s">
        <v>N/A</v>
        <stp/>
        <stp>PROB_OTM</stp>
        <stp>.KBE201120P38</stp>
        <tr r="U387" s="1"/>
      </tp>
      <tp t="s">
        <v>N/A</v>
        <stp/>
        <stp>PROB_OTM</stp>
        <stp>.TBF201120P16</stp>
        <tr r="U682" s="1"/>
      </tp>
      <tp>
        <v>4.75</v>
        <stp/>
        <stp>ASK</stp>
        <stp>.SMH201120P195.5</stp>
        <tr r="I565" s="1"/>
      </tp>
      <tp t="s">
        <v>N/A</v>
        <stp/>
        <stp>DESCRIPTION</stp>
        <stp>.DIA201120P292.5</stp>
        <tr r="B68" s="1"/>
      </tp>
      <tp t="s">
        <v>N/A</v>
        <stp/>
        <stp>THETA</stp>
        <stp>.GDXJ201120P52.5</stp>
        <tr r="O206" s="1"/>
      </tp>
      <tp t="s">
        <v>N/A</v>
        <stp/>
        <stp>THETA</stp>
        <stp>.GDXJ201120C52.5</stp>
        <tr r="O205" s="1"/>
      </tp>
      <tp t="s">
        <v>N/A</v>
        <stp/>
        <stp>PROB_OF_TOUCHING</stp>
        <stp>.KWEB201120P72</stp>
        <tr r="V399" s="1"/>
      </tp>
      <tp t="s">
        <v>N/A</v>
        <stp/>
        <stp>PROB_OF_TOUCHING</stp>
        <stp>.KWEB201120P73</stp>
        <tr r="V401" s="1"/>
      </tp>
      <tp t="s">
        <v>N/A</v>
        <stp/>
        <stp>PROB_OF_TOUCHING</stp>
        <stp>.KWEB201120P74</stp>
        <tr r="V403" s="1"/>
      </tp>
      <tp t="s">
        <v>N/A</v>
        <stp/>
        <stp>PROB_OTM</stp>
        <stp>.SHYG201120P45</stp>
        <tr r="U550" s="1"/>
      </tp>
      <tp t="s">
        <v>N/A</v>
        <stp/>
        <stp>OPEN_INT</stp>
        <stp>.IEFA201120P66</stp>
        <tr r="G255" s="1"/>
      </tp>
      <tp t="s">
        <v>N/A</v>
        <stp/>
        <stp>OPEN_INT</stp>
        <stp>.IEFA201120P65</stp>
        <tr r="G253" s="1"/>
      </tp>
      <tp t="s">
        <v>N/A</v>
        <stp/>
        <stp>LOW</stp>
        <stp>.MDY201120C387.5</stp>
        <tr r="K421" s="1"/>
      </tp>
      <tp t="s">
        <v>N/A</v>
        <stp/>
        <stp>PROB_OTM</stp>
        <stp>.SPYG201120P53</stp>
        <tr r="U633" s="1"/>
      </tp>
      <tp t="s">
        <v>N/A</v>
        <stp/>
        <stp>PROB_OTM</stp>
        <stp>.SPYG201120P52</stp>
        <tr r="U631" s="1"/>
      </tp>
      <tp t="s">
        <v>N/A</v>
        <stp/>
        <stp>IMPL_VOL</stp>
        <stp>.GUSH201120C27</stp>
        <tr r="D216" s="1"/>
      </tp>
      <tp t="s">
        <v>N/A</v>
        <stp/>
        <stp>IMPL_VOL</stp>
        <stp>.GUSH201120C26</stp>
        <tr r="D214" s="1"/>
      </tp>
      <tp t="s">
        <v>N/A</v>
        <stp/>
        <stp>IMPL_VOL</stp>
        <stp>.GUSH201120C28</stp>
        <tr r="D218" s="1"/>
      </tp>
      <tp t="s">
        <v>N/A</v>
        <stp/>
        <stp>PROB_OF_TOUCHING</stp>
        <stp>.DFEN201120P14</stp>
        <tr r="V58" s="1"/>
      </tp>
      <tp t="s">
        <v>N/A</v>
        <stp/>
        <stp>PROB_OF_TOUCHING</stp>
        <stp>.DFEN201120P13</stp>
        <tr r="V56" s="1"/>
      </tp>
      <tp t="s">
        <v>N/A</v>
        <stp/>
        <stp>BID</stp>
        <stp>.JNK201120P106.5</stp>
        <tr r="H382" s="1"/>
      </tp>
      <tp>
        <v>676</v>
        <stp/>
        <stp>OPEN_INT</stp>
        <stp>.EUFN201120P16</stp>
        <tr r="G119" s="1"/>
      </tp>
      <tp>
        <v>5.61</v>
        <stp/>
        <stp>ASK</stp>
        <stp>.QQQ201120C287.5</stp>
        <tr r="I480" s="1"/>
      </tp>
      <tp t="s">
        <v>N/A</v>
        <stp/>
        <stp>PROB_OTM</stp>
        <stp>.SPYV201120P33</stp>
        <tr r="U636" s="1"/>
      </tp>
      <tp t="s">
        <v>N/A</v>
        <stp/>
        <stp>DESCRIPTION</stp>
        <stp>.DIA201120C292.5</stp>
        <tr r="B67" s="1"/>
      </tp>
      <tp t="s">
        <v>N/A</v>
        <stp/>
        <stp>PROB_OF_TOUCHING</stp>
        <stp>.SRVR201120C35</stp>
        <tr r="V638" s="1"/>
      </tp>
      <tp t="s">
        <v>N/A</v>
        <stp/>
        <stp>PROB_OF_TOUCHING</stp>
        <stp>.SRVR201120C36</stp>
        <tr r="V640" s="1"/>
      </tp>
      <tp>
        <v>2.54</v>
        <stp/>
        <stp>ASK</stp>
        <stp>.SMH201120C195.5</stp>
        <tr r="I564" s="1"/>
      </tp>
      <tp t="s">
        <v>N/A</v>
        <stp/>
        <stp>DELTA</stp>
        <stp>.GDXJ201120P52.5</stp>
        <tr r="M206" s="1"/>
      </tp>
      <tp>
        <v>3</v>
        <stp/>
        <stp>OPEN_INT</stp>
        <stp>.IXUS201120C63</stp>
        <tr r="G361" s="1"/>
      </tp>
      <tp t="s">
        <v>N/A</v>
        <stp/>
        <stp>DELTA</stp>
        <stp>.GDXJ201120C52.5</stp>
        <tr r="M205" s="1"/>
      </tp>
      <tp t="s">
        <v>N/A</v>
        <stp/>
        <stp>LOW</stp>
        <stp>.MDY201120P387.5</stp>
        <tr r="K422" s="1"/>
      </tp>
      <tp t="s">
        <v>N/A</v>
        <stp/>
        <stp>OPEN_INT</stp>
        <stp>.VXUS201120C56</stp>
        <tr r="G754" s="1"/>
      </tp>
      <tp t="s">
        <v>N/A</v>
        <stp/>
        <stp>OPEN_INT</stp>
        <stp>.VXUS201120C57</stp>
        <tr r="G756" s="1"/>
      </tp>
      <tp>
        <v>3.96</v>
        <stp/>
        <stp>ASK</stp>
        <stp>.QQQ201120P287.5</stp>
        <tr r="I481" s="1"/>
      </tp>
      <tp t="s">
        <v>N/A</v>
        <stp/>
        <stp>BID</stp>
        <stp>.JNK201120C106.5</stp>
        <tr r="H381" s="1"/>
      </tp>
      <tp t="s">
        <v>N/A</v>
        <stp/>
        <stp>THETA</stp>
        <stp>.XLU201120P66</stp>
        <tr r="O851" s="1"/>
      </tp>
      <tp t="s">
        <v>N/A</v>
        <stp/>
        <stp>THETA</stp>
        <stp>.XLU201120P67</stp>
        <tr r="O855" s="1"/>
      </tp>
      <tp>
        <v>1</v>
        <stp/>
        <stp>DELTA</stp>
        <stp>FVD</stp>
        <tr r="M185" s="1"/>
      </tp>
      <tp t="s">
        <v>N/A</v>
        <stp/>
        <stp>GAMMA</stp>
        <stp>.XBI201120C125.5</stp>
        <tr r="N778" s="1"/>
      </tp>
      <tp t="s">
        <v>N/A</v>
        <stp/>
        <stp>INTRINSIC</stp>
        <stp>.VT201120P87</stp>
        <tr r="R738" s="1"/>
      </tp>
      <tp t="s">
        <v>N/A</v>
        <stp/>
        <stp>INTRINSIC</stp>
        <stp>.VT201120P86</stp>
        <tr r="R736" s="1"/>
      </tp>
      <tp t="s">
        <v>N/A</v>
        <stp/>
        <stp>THETA</stp>
        <stp>.XLP201120P67</stp>
        <tr r="O845" s="1"/>
      </tp>
      <tp>
        <v>22.92</v>
        <stp/>
        <stp>HIGH</stp>
        <stp>AMLP</stp>
        <tr r="J18" s="1"/>
      </tp>
      <tp>
        <v>32.14</v>
        <stp/>
        <stp>HIGH</stp>
        <stp>EMLC</stp>
        <tr r="J114" s="1"/>
      </tp>
      <tp t="s">
        <v>N/A</v>
        <stp/>
        <stp>EXTRINSIC</stp>
        <stp>.VT201120P87</stp>
        <tr r="S738" s="1"/>
      </tp>
      <tp t="s">
        <v>N/A</v>
        <stp/>
        <stp>EXTRINSIC</stp>
        <stp>.VT201120P86</stp>
        <tr r="S736" s="1"/>
      </tp>
      <tp t="s">
        <v>N/A</v>
        <stp/>
        <stp>GAMMA</stp>
        <stp>.XLU201120C66</stp>
        <tr r="N850" s="1"/>
      </tp>
      <tp t="s">
        <v>N/A</v>
        <stp/>
        <stp>GAMMA</stp>
        <stp>.XLU201120C67</stp>
        <tr r="N854" s="1"/>
      </tp>
      <tp>
        <v>0</v>
        <stp/>
        <stp>GAMMA</stp>
        <stp>GDX</stp>
        <tr r="N195" s="1"/>
      </tp>
      <tp t="s">
        <v>N/A</v>
        <stp/>
        <stp>DELTA</stp>
        <stp>.XOP201120C49</stp>
        <tr r="M898" s="1"/>
      </tp>
      <tp t="s">
        <v>N/A</v>
        <stp/>
        <stp>DELTA</stp>
        <stp>.XOP201120C48</stp>
        <tr r="M894" s="1"/>
      </tp>
      <tp t="s">
        <v>N/A</v>
        <stp/>
        <stp>DELTA</stp>
        <stp>.XOP201120C47</stp>
        <tr r="M890" s="1"/>
      </tp>
      <tp t="s">
        <v>N/A</v>
        <stp/>
        <stp>GAMMA</stp>
        <stp>.XLP201120C67</stp>
        <tr r="N844" s="1"/>
      </tp>
      <tp>
        <v>0</v>
        <stp/>
        <stp>VEGA</stp>
        <stp>EMLC</stp>
        <tr r="P114" s="1"/>
      </tp>
      <tp>
        <v>0</v>
        <stp/>
        <stp>VEGA</stp>
        <stp>AMLP</stp>
        <tr r="P18" s="1"/>
      </tp>
      <tp>
        <v>1</v>
        <stp/>
        <stp>DELTA</stp>
        <stp>FXI</stp>
        <tr r="M188" s="1"/>
      </tp>
      <tp t="s">
        <v>N/A</v>
        <stp/>
        <stp>GAMMA</stp>
        <stp>.XBI201120P125.5</stp>
        <tr r="N779" s="1"/>
      </tp>
      <tp>
        <v>1</v>
        <stp/>
        <stp>DELTA</stp>
        <stp>FEZ</stp>
        <tr r="M180" s="1"/>
      </tp>
      <tp t="s">
        <v>N/A</v>
        <stp/>
        <stp>THETA</stp>
        <stp>.XLI201120P86</stp>
        <tr r="O823" s="1"/>
      </tp>
      <tp t="s">
        <v>N/A</v>
        <stp/>
        <stp>THETA</stp>
        <stp>.XLI201120P84</stp>
        <tr r="O815" s="1"/>
      </tp>
      <tp t="s">
        <v>N/A</v>
        <stp/>
        <stp>THETA</stp>
        <stp>.XLI201120P85</stp>
        <tr r="O819" s="1"/>
      </tp>
      <tp t="s">
        <v>N/A</v>
        <stp/>
        <stp>THETA</stp>
        <stp>.XLE201120P34</stp>
        <tr r="O807" s="1"/>
      </tp>
      <tp t="s">
        <v>N/A</v>
        <stp/>
        <stp>THETA</stp>
        <stp>.XLC201120P63</stp>
        <tr r="O798" s="1"/>
      </tp>
      <tp t="s">
        <v>N/A</v>
        <stp/>
        <stp>THETA</stp>
        <stp>.XLB201120P70</stp>
        <tr r="O795" s="1"/>
      </tp>
      <tp t="s">
        <v>N/A</v>
        <stp/>
        <stp>THETA</stp>
        <stp>.XLC201120P64</stp>
        <tr r="O802" s="1"/>
      </tp>
      <tp t="s">
        <v>N/A</v>
        <stp/>
        <stp>GAMMA</stp>
        <stp>.QLD201120C98</stp>
        <tr r="N467" s="1"/>
      </tp>
      <tp t="s">
        <v>N/A</v>
        <stp/>
        <stp>GAMMA</stp>
        <stp>.QLD201120C99</stp>
        <tr r="N469" s="1"/>
      </tp>
      <tp t="s">
        <v>N/A</v>
        <stp/>
        <stp>THETA</stp>
        <stp>.XLF201120P27</stp>
        <tr r="O812" s="1"/>
      </tp>
      <tp t="s">
        <v>N/A</v>
        <stp/>
        <stp>THETA</stp>
        <stp>.ILF201120P25</stp>
        <tr r="O279" s="1"/>
      </tp>
      <tp t="s">
        <v>N/A</v>
        <stp/>
        <stp>THETA</stp>
        <stp>.XLB201120P69</stp>
        <tr r="O791" s="1"/>
      </tp>
      <tp t="s">
        <v>N/A</v>
        <stp/>
        <stp>GAMMA</stp>
        <stp>.QLD201120C96</stp>
        <tr r="N463" s="1"/>
      </tp>
      <tp t="s">
        <v>N/A</v>
        <stp/>
        <stp>GAMMA</stp>
        <stp>.QLD201120C97</stp>
        <tr r="N465" s="1"/>
      </tp>
      <tp>
        <v>48.83</v>
        <stp/>
        <stp>LAST</stp>
        <stp>HYLB</stp>
        <tr r="E225" s="1"/>
      </tp>
      <tp t="s">
        <v>N/A</v>
        <stp/>
        <stp>GAMMA</stp>
        <stp>.XLI201120C86</stp>
        <tr r="N822" s="1"/>
      </tp>
      <tp t="s">
        <v>N/A</v>
        <stp/>
        <stp>GAMMA</stp>
        <stp>.XLI201120C84</stp>
        <tr r="N814" s="1"/>
      </tp>
      <tp t="s">
        <v>N/A</v>
        <stp/>
        <stp>GAMMA</stp>
        <stp>.XLI201120C85</stp>
        <tr r="N818" s="1"/>
      </tp>
      <tp t="s">
        <v>N/A</v>
        <stp/>
        <stp>GAMMA</stp>
        <stp>.XLE201120C34</stp>
        <tr r="N806" s="1"/>
      </tp>
      <tp t="s">
        <v>N/A</v>
        <stp/>
        <stp>GAMMA</stp>
        <stp>.XLB201120C69</stp>
        <tr r="N790" s="1"/>
      </tp>
      <tp t="s">
        <v>N/A</v>
        <stp/>
        <stp>THETA</stp>
        <stp>.QLD201120P96</stp>
        <tr r="O464" s="1"/>
      </tp>
      <tp t="s">
        <v>N/A</v>
        <stp/>
        <stp>THETA</stp>
        <stp>.QLD201120P97</stp>
        <tr r="O466" s="1"/>
      </tp>
      <tp t="s">
        <v>N/A</v>
        <stp/>
        <stp>THETA</stp>
        <stp>.QLD201120P98</stp>
        <tr r="O468" s="1"/>
      </tp>
      <tp t="s">
        <v>N/A</v>
        <stp/>
        <stp>THETA</stp>
        <stp>.QLD201120P99</stp>
        <tr r="O470" s="1"/>
      </tp>
      <tp t="s">
        <v>N/A</v>
        <stp/>
        <stp>GAMMA</stp>
        <stp>.XLF201120C27</stp>
        <tr r="N811" s="1"/>
      </tp>
      <tp t="s">
        <v>N/A</v>
        <stp/>
        <stp>GAMMA</stp>
        <stp>.ILF201120C25</stp>
        <tr r="N278" s="1"/>
      </tp>
      <tp t="s">
        <v>N/A</v>
        <stp/>
        <stp>GAMMA</stp>
        <stp>.XLC201120C63</stp>
        <tr r="N797" s="1"/>
      </tp>
      <tp t="s">
        <v>N/A</v>
        <stp/>
        <stp>GAMMA</stp>
        <stp>.XLB201120C70</stp>
        <tr r="N794" s="1"/>
      </tp>
      <tp t="s">
        <v>N/A</v>
        <stp/>
        <stp>GAMMA</stp>
        <stp>.XLC201120C64</stp>
        <tr r="N801" s="1"/>
      </tp>
      <tp>
        <v>1.55</v>
        <stp/>
        <stp>ASK</stp>
        <stp>.DRIP201120P45</stp>
        <tr r="I83" s="1"/>
      </tp>
      <tp t="s">
        <v>N/A</v>
        <stp/>
        <stp>RHO</stp>
        <stp>.IGIB201120P61</stp>
        <tr r="Q263" s="1"/>
      </tp>
      <tp>
        <v>1</v>
        <stp/>
        <stp>BID</stp>
        <stp>.DRIP201120P45</stp>
        <tr r="H83" s="1"/>
      </tp>
      <tp t="s">
        <v>N/A</v>
        <stp/>
        <stp>STRIKE</stp>
        <stp>.EWW201120C39</stp>
        <tr r="W157" s="1"/>
      </tp>
      <tp t="s">
        <v>N/A</v>
        <stp/>
        <stp>DESCRIPTION</stp>
        <stp>.DFEN201120C13</stp>
        <tr r="B55" s="1"/>
      </tp>
      <tp t="s">
        <v>N/A</v>
        <stp/>
        <stp>DESCRIPTION</stp>
        <stp>.DFEN201120C14</stp>
        <tr r="B57" s="1"/>
      </tp>
      <tp>
        <v>0</v>
        <stp/>
        <stp>VOLUME</stp>
        <stp>.QLD201120C99</stp>
        <tr r="F469" s="1"/>
      </tp>
      <tp>
        <v>4</v>
        <stp/>
        <stp>VOLUME</stp>
        <stp>.QLD201120C98</stp>
        <tr r="F467" s="1"/>
      </tp>
      <tp>
        <v>11</v>
        <stp/>
        <stp>VOLUME</stp>
        <stp>.QLD201120C97</stp>
        <tr r="F465" s="1"/>
      </tp>
      <tp>
        <v>0</v>
        <stp/>
        <stp>VOLUME</stp>
        <stp>.QLD201120C96</stp>
        <tr r="F463" s="1"/>
      </tp>
      <tp t="s">
        <v>N/A</v>
        <stp/>
        <stp>BID</stp>
        <stp>.VGIT201120P70</stp>
        <tr r="H720" s="1"/>
      </tp>
      <tp t="s">
        <v>N/A</v>
        <stp/>
        <stp>LOW</stp>
        <stp>.VCIT201120P96</stp>
        <tr r="K703" s="1"/>
      </tp>
      <tp t="s">
        <v>N/A</v>
        <stp/>
        <stp>STRIKE</stp>
        <stp>.EWP201120C26</stp>
        <tr r="W146" s="1"/>
      </tp>
      <tp t="s">
        <v>N/A</v>
        <stp/>
        <stp>STRIKE</stp>
        <stp>.SDS201120P14</stp>
        <tr r="W541" s="1"/>
      </tp>
      <tp t="s">
        <v>N/A</v>
        <stp/>
        <stp>ASK</stp>
        <stp>.VGIT201120P70</stp>
        <tr r="I720" s="1"/>
      </tp>
      <tp t="s">
        <v>N/A</v>
        <stp/>
        <stp>STRIKE</stp>
        <stp>.EWT201120C48</stp>
        <tr r="W149" s="1"/>
      </tp>
      <tp t="s">
        <v>N/A</v>
        <stp/>
        <stp>ASK</stp>
        <stp>.VCIT201120P96</stp>
        <tr r="I703" s="1"/>
      </tp>
      <tp t="s">
        <v>N/A</v>
        <stp/>
        <stp>VOLUME</stp>
        <stp>.XLI201120C86</stp>
        <tr r="F822" s="1"/>
      </tp>
      <tp>
        <v>15</v>
        <stp/>
        <stp>VOLUME</stp>
        <stp>.XLI201120C85</stp>
        <tr r="F818" s="1"/>
      </tp>
      <tp t="s">
        <v>N/A</v>
        <stp/>
        <stp>VOLUME</stp>
        <stp>.XLI201120C84</stp>
        <tr r="F814" s="1"/>
      </tp>
      <tp t="s">
        <v>N/A</v>
        <stp/>
        <stp>PUT_CALL_RATIO</stp>
        <stp>.XOP201120C47</stp>
        <tr r="C890" s="1"/>
      </tp>
      <tp t="s">
        <v>N/A</v>
        <stp/>
        <stp>PUT_CALL_RATIO</stp>
        <stp>.XOP201120C49</stp>
        <tr r="C898" s="1"/>
      </tp>
      <tp t="s">
        <v>N/A</v>
        <stp/>
        <stp>PUT_CALL_RATIO</stp>
        <stp>.XOP201120C48</stp>
        <tr r="C894" s="1"/>
      </tp>
      <tp t="s">
        <v>N/A</v>
        <stp/>
        <stp>STRIKE</stp>
        <stp>.EWY201120C73</stp>
        <tr r="W168" s="1"/>
      </tp>
      <tp t="s">
        <v>N/A</v>
        <stp/>
        <stp>STRIKE</stp>
        <stp>.EWY201120C72</stp>
        <tr r="W164" s="1"/>
      </tp>
      <tp t="s">
        <v>N/A</v>
        <stp/>
        <stp>BID</stp>
        <stp>.VCIT201120P96</stp>
        <tr r="H703" s="1"/>
      </tp>
      <tp t="s">
        <v>N/A</v>
        <stp/>
        <stp>LOW</stp>
        <stp>.VGIT201120P70</stp>
        <tr r="K720" s="1"/>
      </tp>
      <tp>
        <v>2.2999999999999998</v>
        <stp/>
        <stp>LOW</stp>
        <stp>.DRIP201120P45</stp>
        <tr r="K83" s="1"/>
      </tp>
      <tp>
        <v>6</v>
        <stp/>
        <stp>VOLUME</stp>
        <stp>.XLC201120C63</stp>
        <tr r="F797" s="1"/>
      </tp>
      <tp>
        <v>9</v>
        <stp/>
        <stp>VOLUME</stp>
        <stp>.XLB201120C70</stp>
        <tr r="F794" s="1"/>
      </tp>
      <tp>
        <v>4</v>
        <stp/>
        <stp>VOLUME</stp>
        <stp>.XLC201120C64</stp>
        <tr r="F801" s="1"/>
      </tp>
      <tp t="s">
        <v>N/A</v>
        <stp/>
        <stp>STRIKE</stp>
        <stp>.GDX201120P37</stp>
        <tr r="W199" s="1"/>
      </tp>
      <tp>
        <v>11</v>
        <stp/>
        <stp>VOLUME</stp>
        <stp>.XLB201120C69</stp>
        <tr r="F790" s="1"/>
      </tp>
      <tp>
        <v>3852</v>
        <stp/>
        <stp>VOLUME</stp>
        <stp>.XLF201120C27</stp>
        <tr r="F811" s="1"/>
      </tp>
      <tp t="s">
        <v>N/A</v>
        <stp/>
        <stp>VOLUME</stp>
        <stp>.ILF201120C25</stp>
        <tr r="F278" s="1"/>
      </tp>
      <tp t="s">
        <v>N/A</v>
        <stp/>
        <stp>RHO</stp>
        <stp>.NAIL201120P45</stp>
        <tr r="Q442" s="1"/>
      </tp>
      <tp t="s">
        <v>N/A</v>
        <stp/>
        <stp>RHO</stp>
        <stp>.NAIL201120P44</stp>
        <tr r="Q440" s="1"/>
      </tp>
      <tp t="s">
        <v>N/A</v>
        <stp/>
        <stp>RHO</stp>
        <stp>.NAIL201120P47</stp>
        <tr r="Q446" s="1"/>
      </tp>
      <tp t="s">
        <v>N/A</v>
        <stp/>
        <stp>RHO</stp>
        <stp>.NAIL201120P46</stp>
        <tr r="Q444" s="1"/>
      </tp>
      <tp t="s">
        <v>N/A</v>
        <stp/>
        <stp>RHO</stp>
        <stp>.NAIL201120P49</stp>
        <tr r="Q450" s="1"/>
      </tp>
      <tp t="s">
        <v>N/A</v>
        <stp/>
        <stp>RHO</stp>
        <stp>.NAIL201120P48</stp>
        <tr r="Q448" s="1"/>
      </tp>
      <tp t="s">
        <v>N/A</v>
        <stp/>
        <stp>DESCRIPTION</stp>
        <stp>.KWEB201120C74</stp>
        <tr r="B402" s="1"/>
      </tp>
      <tp t="s">
        <v>N/A</v>
        <stp/>
        <stp>DESCRIPTION</stp>
        <stp>.KWEB201120C73</stp>
        <tr r="B400" s="1"/>
      </tp>
      <tp t="s">
        <v>N/A</v>
        <stp/>
        <stp>DESCRIPTION</stp>
        <stp>.KWEB201120C72</stp>
        <tr r="B398" s="1"/>
      </tp>
      <tp t="s">
        <v>N/A</v>
        <stp/>
        <stp>STRIKE</stp>
        <stp>.EWZ201120C32</stp>
        <tr r="W175" s="1"/>
      </tp>
      <tp>
        <v>7193</v>
        <stp/>
        <stp>VOLUME</stp>
        <stp>.XLE201120C34</stp>
        <tr r="F806" s="1"/>
      </tp>
      <tp>
        <v>2.4</v>
        <stp/>
        <stp>LOW</stp>
        <stp>.NAIL201120P46</stp>
        <tr r="K444" s="1"/>
      </tp>
      <tp>
        <v>0</v>
        <stp/>
        <stp>LOW</stp>
        <stp>.NAIL201120P47</stp>
        <tr r="K446" s="1"/>
      </tp>
      <tp>
        <v>1.89</v>
        <stp/>
        <stp>LOW</stp>
        <stp>.NAIL201120P44</stp>
        <tr r="K440" s="1"/>
      </tp>
      <tp>
        <v>2.2000000000000002</v>
        <stp/>
        <stp>LOW</stp>
        <stp>.NAIL201120P45</stp>
        <tr r="K442" s="1"/>
      </tp>
      <tp>
        <v>0</v>
        <stp/>
        <stp>LOW</stp>
        <stp>.NAIL201120P48</stp>
        <tr r="K448" s="1"/>
      </tp>
      <tp>
        <v>0</v>
        <stp/>
        <stp>LOW</stp>
        <stp>.NAIL201120P49</stp>
        <tr r="K450" s="1"/>
      </tp>
      <tp t="s">
        <v>N/A</v>
        <stp/>
        <stp>ASK</stp>
        <stp>.IGIB201120P61</stp>
        <tr r="I263" s="1"/>
      </tp>
      <tp t="s">
        <v>N/A</v>
        <stp/>
        <stp>BID</stp>
        <stp>.IGIB201120P61</stp>
        <tr r="H263" s="1"/>
      </tp>
      <tp t="s">
        <v>N/A</v>
        <stp/>
        <stp>RHO</stp>
        <stp>.DRIP201120P45</stp>
        <tr r="Q83" s="1"/>
      </tp>
      <tp t="s">
        <v>N/A</v>
        <stp/>
        <stp>STRIKE</stp>
        <stp>.EWG201120C30</stp>
        <tr r="W127" s="1"/>
      </tp>
      <tp t="s">
        <v>N/A</v>
        <stp/>
        <stp>ASK</stp>
        <stp>.ARKW201120P116</stp>
        <tr r="I36" s="1"/>
      </tp>
      <tp>
        <v>5.0999999999999996</v>
        <stp/>
        <stp>ASK</stp>
        <stp>.ARKW201120C116</stp>
        <tr r="I35" s="1"/>
      </tp>
      <tp t="s">
        <v>N/A</v>
        <stp/>
        <stp>ASK</stp>
        <stp>.ARKW201120P117</stp>
        <tr r="I38" s="1"/>
      </tp>
      <tp>
        <v>3.5</v>
        <stp/>
        <stp>ASK</stp>
        <stp>.ARKW201120C117</stp>
        <tr r="I37" s="1"/>
      </tp>
      <tp t="s">
        <v>N/A</v>
        <stp/>
        <stp>ASK</stp>
        <stp>.ARKW201120P118</stp>
        <tr r="I40" s="1"/>
      </tp>
      <tp t="s">
        <v>N/A</v>
        <stp/>
        <stp>ASK</stp>
        <stp>.ARKW201120C118</stp>
        <tr r="I39" s="1"/>
      </tp>
      <tp t="s">
        <v>N/A</v>
        <stp/>
        <stp>ASK</stp>
        <stp>.ARKW201120P119</stp>
        <tr r="I42" s="1"/>
      </tp>
      <tp>
        <v>2.35</v>
        <stp/>
        <stp>ASK</stp>
        <stp>.ARKW201120C119</stp>
        <tr r="I41" s="1"/>
      </tp>
      <tp t="s">
        <v>N/A</v>
        <stp/>
        <stp>STRIKE</stp>
        <stp>.EWA201120C22</stp>
        <tr r="W121" s="1"/>
      </tp>
      <tp t="s">
        <v>N/A</v>
        <stp/>
        <stp>RHO</stp>
        <stp>.VGIT201120P70</stp>
        <tr r="Q720" s="1"/>
      </tp>
      <tp t="s">
        <v>N/A</v>
        <stp/>
        <stp>STRIKE</stp>
        <stp>.EWC201120C29</stp>
        <tr r="W124" s="1"/>
      </tp>
      <tp t="s">
        <v>N/A</v>
        <stp/>
        <stp>BID</stp>
        <stp>.VCLT201120P107</stp>
        <tr r="H706" s="1"/>
      </tp>
      <tp t="s">
        <v>N/A</v>
        <stp/>
        <stp>BID</stp>
        <stp>.VCLT201120C107</stp>
        <tr r="H705" s="1"/>
      </tp>
      <tp t="s">
        <v>N/A</v>
        <stp/>
        <stp>STRIKE</stp>
        <stp>.RWM201120C29</stp>
        <tr r="W518" s="1"/>
      </tp>
      <tp t="s">
        <v>N/A</v>
        <stp/>
        <stp>DESCRIPTION</stp>
        <stp>.SRVR201120P36</stp>
        <tr r="B641" s="1"/>
      </tp>
      <tp t="s">
        <v>N/A</v>
        <stp/>
        <stp>DESCRIPTION</stp>
        <stp>.SRVR201120P35</stp>
        <tr r="B639" s="1"/>
      </tp>
      <tp>
        <v>720</v>
        <stp/>
        <stp>VOLUME</stp>
        <stp>.XLU201120C67</stp>
        <tr r="F854" s="1"/>
      </tp>
      <tp>
        <v>3503</v>
        <stp/>
        <stp>VOLUME</stp>
        <stp>.XLU201120C66</stp>
        <tr r="F850" s="1"/>
      </tp>
      <tp t="s">
        <v>N/A</v>
        <stp/>
        <stp>RHO</stp>
        <stp>.VCIT201120P96</stp>
        <tr r="Q703" s="1"/>
      </tp>
      <tp t="s">
        <v>N/A</v>
        <stp/>
        <stp>STRIKE</stp>
        <stp>.EWJ201120C64</stp>
        <tr r="W140" s="1"/>
      </tp>
      <tp t="s">
        <v>N/A</v>
        <stp/>
        <stp>STRIKE</stp>
        <stp>.EWJ201120C63</stp>
        <tr r="W136" s="1"/>
      </tp>
      <tp t="s">
        <v>N/A</v>
        <stp/>
        <stp>LOW</stp>
        <stp>.IGIB201120P61</stp>
        <tr r="K263" s="1"/>
      </tp>
      <tp t="s">
        <v>N/A</v>
        <stp/>
        <stp>STRIKE</stp>
        <stp>.EWI201120C27</stp>
        <tr r="W133" s="1"/>
      </tp>
      <tp t="s">
        <v>N/A</v>
        <stp/>
        <stp>STRIKE</stp>
        <stp>.VWO201120C47</stp>
        <tr r="W751" s="1"/>
      </tp>
      <tp>
        <v>5.9</v>
        <stp/>
        <stp>ASK</stp>
        <stp>.NAIL201120P48</stp>
        <tr r="I448" s="1"/>
      </tp>
      <tp>
        <v>6.7</v>
        <stp/>
        <stp>ASK</stp>
        <stp>.NAIL201120P49</stp>
        <tr r="I450" s="1"/>
      </tp>
      <tp>
        <v>4.4000000000000004</v>
        <stp/>
        <stp>ASK</stp>
        <stp>.NAIL201120P46</stp>
        <tr r="I444" s="1"/>
      </tp>
      <tp>
        <v>5.2</v>
        <stp/>
        <stp>ASK</stp>
        <stp>.NAIL201120P47</stp>
        <tr r="I446" s="1"/>
      </tp>
      <tp>
        <v>3.4</v>
        <stp/>
        <stp>ASK</stp>
        <stp>.NAIL201120P44</stp>
        <tr r="I440" s="1"/>
      </tp>
      <tp>
        <v>3.9</v>
        <stp/>
        <stp>ASK</stp>
        <stp>.NAIL201120P45</stp>
        <tr r="I442" s="1"/>
      </tp>
      <tp t="s">
        <v>N/A</v>
        <stp/>
        <stp>STRIKE</stp>
        <stp>.EWH201120C24</stp>
        <tr r="W130" s="1"/>
      </tp>
      <tp>
        <v>2.9</v>
        <stp/>
        <stp>BID</stp>
        <stp>.NAIL201120P44</stp>
        <tr r="H440" s="1"/>
      </tp>
      <tp>
        <v>3.3</v>
        <stp/>
        <stp>BID</stp>
        <stp>.NAIL201120P45</stp>
        <tr r="H442" s="1"/>
      </tp>
      <tp>
        <v>4</v>
        <stp/>
        <stp>BID</stp>
        <stp>.NAIL201120P46</stp>
        <tr r="H444" s="1"/>
      </tp>
      <tp>
        <v>4.4000000000000004</v>
        <stp/>
        <stp>BID</stp>
        <stp>.NAIL201120P47</stp>
        <tr r="H446" s="1"/>
      </tp>
      <tp>
        <v>5.2</v>
        <stp/>
        <stp>BID</stp>
        <stp>.NAIL201120P48</stp>
        <tr r="H448" s="1"/>
      </tp>
      <tp>
        <v>6</v>
        <stp/>
        <stp>BID</stp>
        <stp>.NAIL201120P49</stp>
        <tr r="H450" s="1"/>
      </tp>
      <tp>
        <v>20</v>
        <stp/>
        <stp>VOLUME</stp>
        <stp>.XLP201120C67</stp>
        <tr r="F844" s="1"/>
      </tp>
      <tp t="s">
        <v>N/A</v>
        <stp/>
        <stp>STRIKE</stp>
        <stp>.EWL201120C43</stp>
        <tr r="W143" s="1"/>
      </tp>
      <tp t="s">
        <v>N/A</v>
        <stp/>
        <stp>IMPL_VOL</stp>
        <stp>.XLI201120P86</stp>
        <tr r="D823" s="1"/>
      </tp>
      <tp t="s">
        <v>N/A</v>
        <stp/>
        <stp>OPEN_INT</stp>
        <stp>.FVD201120P35</stp>
        <tr r="G187" s="1"/>
      </tp>
      <tp t="s">
        <v>N/A</v>
        <stp/>
        <stp>IMPL_VOL</stp>
        <stp>.XLI201120P84</stp>
        <tr r="D815" s="1"/>
      </tp>
      <tp t="s">
        <v>N/A</v>
        <stp/>
        <stp>IMPL_VOL</stp>
        <stp>.XLI201120P85</stp>
        <tr r="D819" s="1"/>
      </tp>
      <tp t="s">
        <v>N/A</v>
        <stp/>
        <stp>INTRINSIC</stp>
        <stp>.MCHI201120C80</stp>
        <tr r="R412" s="1"/>
      </tp>
      <tp t="s">
        <v>N/A</v>
        <stp/>
        <stp>PROB_OF_EXPIRING</stp>
        <stp>.VGK201120P57</stp>
        <tr r="T723" s="1"/>
      </tp>
      <tp>
        <v>184</v>
        <stp/>
        <stp>OPEN_INT</stp>
        <stp>.VEA201120C44</stp>
        <tr r="G708" s="1"/>
      </tp>
      <tp>
        <v>4</v>
        <stp/>
        <stp>VOLUME</stp>
        <stp>.SMH201120C193</stp>
        <tr r="F554" s="1"/>
      </tp>
      <tp>
        <v>52</v>
        <stp/>
        <stp>VOLUME</stp>
        <stp>.SMH201120P193</stp>
        <tr r="F555" s="1"/>
      </tp>
      <tp>
        <v>21</v>
        <stp/>
        <stp>VOLUME</stp>
        <stp>.SMH201120C197</stp>
        <tr r="F570" s="1"/>
      </tp>
      <tp>
        <v>0</v>
        <stp/>
        <stp>VOLUME</stp>
        <stp>.SMH201120P197</stp>
        <tr r="F571" s="1"/>
      </tp>
      <tp>
        <v>5</v>
        <stp/>
        <stp>VOLUME</stp>
        <stp>.SMH201120C196</stp>
        <tr r="F566" s="1"/>
      </tp>
      <tp>
        <v>0</v>
        <stp/>
        <stp>VOLUME</stp>
        <stp>.SMH201120P196</stp>
        <tr r="F567" s="1"/>
      </tp>
      <tp>
        <v>61</v>
        <stp/>
        <stp>VOLUME</stp>
        <stp>.SMH201120C195</stp>
        <tr r="F562" s="1"/>
      </tp>
      <tp>
        <v>54</v>
        <stp/>
        <stp>VOLUME</stp>
        <stp>.SMH201120P195</stp>
        <tr r="F563" s="1"/>
      </tp>
      <tp>
        <v>4</v>
        <stp/>
        <stp>VOLUME</stp>
        <stp>.SMH201120C194</stp>
        <tr r="F558" s="1"/>
      </tp>
      <tp>
        <v>19</v>
        <stp/>
        <stp>VOLUME</stp>
        <stp>.SMH201120P194</stp>
        <tr r="F559" s="1"/>
      </tp>
      <tp>
        <v>3</v>
        <stp/>
        <stp>VOLUME</stp>
        <stp>.SMH201120C198</stp>
        <tr r="F574" s="1"/>
      </tp>
      <tp>
        <v>0</v>
        <stp/>
        <stp>VOLUME</stp>
        <stp>.SMH201120P198</stp>
        <tr r="F575" s="1"/>
      </tp>
      <tp t="s">
        <v>N/A</v>
        <stp/>
        <stp>PROB_OF_TOUCHING</stp>
        <stp>.XME201120P27</stp>
        <tr r="V888" s="1"/>
      </tp>
      <tp t="s">
        <v>N/A</v>
        <stp/>
        <stp>EXTRINSIC</stp>
        <stp>.IEMG201120P58</stp>
        <tr r="S260" s="1"/>
      </tp>
      <tp t="s">
        <v>N/A</v>
        <stp/>
        <stp>EXTRINSIC</stp>
        <stp>.IEMG201120P57</stp>
        <tr r="S258" s="1"/>
      </tp>
      <tp t="s">
        <v>N/A</v>
        <stp/>
        <stp>INTRINSIC</stp>
        <stp>.SCHD201120C62</stp>
        <tr r="R523" s="1"/>
      </tp>
      <tp t="s">
        <v>N/A</v>
        <stp/>
        <stp>INTRINSIC</stp>
        <stp>.SCHD201120C61</stp>
        <tr r="R521" s="1"/>
      </tp>
      <tp t="s">
        <v>N/A</v>
        <stp/>
        <stp>IMPL_VOL</stp>
        <stp>.XLC201120P63</stp>
        <tr r="D798" s="1"/>
      </tp>
      <tp t="s">
        <v>N/A</v>
        <stp/>
        <stp>IMPL_VOL</stp>
        <stp>.XLB201120P70</stp>
        <tr r="D795" s="1"/>
      </tp>
      <tp t="s">
        <v>N/A</v>
        <stp/>
        <stp>IMPL_VOL</stp>
        <stp>.XLC201120P64</stp>
        <tr r="D802" s="1"/>
      </tp>
      <tp t="s">
        <v>N/A</v>
        <stp/>
        <stp>PROB_OTM</stp>
        <stp>.SCZ201120P63</stp>
        <tr r="U536" s="1"/>
      </tp>
      <tp t="s">
        <v>N/A</v>
        <stp/>
        <stp>INTRINSIC</stp>
        <stp>.SCHF201120C34</stp>
        <tr r="R529" s="1"/>
      </tp>
      <tp t="s">
        <v>N/A</v>
        <stp/>
        <stp>IMPL_VOL</stp>
        <stp>.XLF201120P27</stp>
        <tr r="D812" s="1"/>
      </tp>
      <tp t="s">
        <v>N/A</v>
        <stp/>
        <stp>IMPL_VOL</stp>
        <stp>.ILF201120P25</stp>
        <tr r="D279" s="1"/>
      </tp>
      <tp t="s">
        <v>N/A</v>
        <stp/>
        <stp>IMPL_VOL</stp>
        <stp>.XLB201120P69</stp>
        <tr r="D791" s="1"/>
      </tp>
      <tp t="s">
        <v>N/A</v>
        <stp/>
        <stp>INTRINSIC</stp>
        <stp>.SPHD201120C36</stp>
        <tr r="R582" s="1"/>
      </tp>
      <tp t="s">
        <v>N/A</v>
        <stp/>
        <stp>INTRINSIC</stp>
        <stp>.SCHE201120C29</stp>
        <tr r="R526" s="1"/>
      </tp>
      <tp t="s">
        <v>N/A</v>
        <stp/>
        <stp>IMPL_VOL</stp>
        <stp>.XLE201120P34</stp>
        <tr r="D807" s="1"/>
      </tp>
      <tp t="s">
        <v>N/A</v>
        <stp/>
        <stp>PROB_OF_EXPIRING</stp>
        <stp>.ITB201120C55</stp>
        <tr r="T291" s="1"/>
      </tp>
      <tp t="s">
        <v>N/A</v>
        <stp/>
        <stp>PROB_OF_EXPIRING</stp>
        <stp>.ITB201120C56</stp>
        <tr r="T295" s="1"/>
      </tp>
      <tp t="s">
        <v>N/A</v>
        <stp/>
        <stp>IMPL_VOL</stp>
        <stp>.QLD201120P96</stp>
        <tr r="D464" s="1"/>
      </tp>
      <tp t="s">
        <v>N/A</v>
        <stp/>
        <stp>IMPL_VOL</stp>
        <stp>.QLD201120P97</stp>
        <tr r="D466" s="1"/>
      </tp>
      <tp t="s">
        <v>N/A</v>
        <stp/>
        <stp>IMPL_VOL</stp>
        <stp>.QLD201120P98</stp>
        <tr r="D468" s="1"/>
      </tp>
      <tp t="s">
        <v>N/A</v>
        <stp/>
        <stp>IMPL_VOL</stp>
        <stp>.QLD201120P99</stp>
        <tr r="D470" s="1"/>
      </tp>
      <tp>
        <v>48143</v>
        <stp/>
        <stp>OPEN_INT</stp>
        <stp>.EEM201120C48</stp>
        <tr r="G97" s="1"/>
      </tp>
      <tp t="s">
        <v>N/A</v>
        <stp/>
        <stp>INTRINSIC</stp>
        <stp>.ASHR201120C38</stp>
        <tr r="R46" s="1"/>
      </tp>
      <tp t="s">
        <v>N/A</v>
        <stp/>
        <stp>EXTRINSIC</stp>
        <stp>.USMV201120P67</stp>
        <tr r="S700" s="1"/>
      </tp>
      <tp t="s">
        <v>N/A</v>
        <stp/>
        <stp>IMPL_VOL</stp>
        <stp>.XLU201120P66</stp>
        <tr r="D851" s="1"/>
      </tp>
      <tp t="s">
        <v>N/A</v>
        <stp/>
        <stp>IMPL_VOL</stp>
        <stp>.XLU201120P67</stp>
        <tr r="D855" s="1"/>
      </tp>
      <tp t="s">
        <v>N/A</v>
        <stp/>
        <stp>PROB_OF_EXPIRING</stp>
        <stp>.PGX201120P15</stp>
        <tr r="T456" s="1"/>
      </tp>
      <tp t="s">
        <v>N/A</v>
        <stp/>
        <stp>STRIKE</stp>
        <stp>.XLV201120P112</stp>
        <tr r="W866" s="1"/>
      </tp>
      <tp t="s">
        <v>N/A</v>
        <stp/>
        <stp>STRIKE</stp>
        <stp>.XLV201120C112</stp>
        <tr r="W865" s="1"/>
      </tp>
      <tp t="s">
        <v>N/A</v>
        <stp/>
        <stp>STRIKE</stp>
        <stp>.XLV201120P111</stp>
        <tr r="W862" s="1"/>
      </tp>
      <tp t="s">
        <v>N/A</v>
        <stp/>
        <stp>STRIKE</stp>
        <stp>.XLV201120C111</stp>
        <tr r="W861" s="1"/>
      </tp>
      <tp t="s">
        <v>N/A</v>
        <stp/>
        <stp>STRIKE</stp>
        <stp>.XLV201120P110</stp>
        <tr r="W858" s="1"/>
      </tp>
      <tp t="s">
        <v>N/A</v>
        <stp/>
        <stp>STRIKE</stp>
        <stp>.XLV201120C110</stp>
        <tr r="W857" s="1"/>
      </tp>
      <tp t="s">
        <v>N/A</v>
        <stp/>
        <stp>OPEN_INT</stp>
        <stp>.DVY201120P91</stp>
        <tr r="G86" s="1"/>
      </tp>
      <tp t="s">
        <v>N/A</v>
        <stp/>
        <stp>OPEN_INT</stp>
        <stp>.DVY201120P92</stp>
        <tr r="G88" s="1"/>
      </tp>
      <tp>
        <v>0</v>
        <stp/>
        <stp>OPEN_INT</stp>
        <stp>.DVY201120P93</stp>
        <tr r="G90" s="1"/>
      </tp>
      <tp t="s">
        <v>N/A</v>
        <stp/>
        <stp>IMPL_VOL</stp>
        <stp>.XLP201120P67</stp>
        <tr r="D845" s="1"/>
      </tp>
      <tp>
        <v>0</v>
        <stp/>
        <stp>OPEN_INT</stp>
        <stp>.VEU201120C55</stp>
        <tr r="G711" s="1"/>
      </tp>
      <tp t="s">
        <v>N/A</v>
        <stp/>
        <stp>INTRINSIC</stp>
        <stp>.SCHP201120C61</stp>
        <tr r="R532" s="1"/>
      </tp>
      <tp t="s">
        <v>N/A</v>
        <stp/>
        <stp>OPEN_INT</stp>
        <stp>.FEZ201120C40</stp>
        <tr r="G183" s="1"/>
      </tp>
      <tp>
        <v>4.1500000000000004</v>
        <stp/>
        <stp>ASK</stp>
        <stp>.SMH201120P194.5</stp>
        <tr r="I561" s="1"/>
      </tp>
      <tp t="s">
        <v>N/A</v>
        <stp/>
        <stp>PROB_OF_TOUCHING</stp>
        <stp>.INDA201120P36</stp>
        <tr r="V282" s="1"/>
      </tp>
      <tp t="s">
        <v>N/A</v>
        <stp/>
        <stp>PROB_OF_TOUCHING</stp>
        <stp>.ACWI201120C86</stp>
        <tr r="V10" s="1"/>
      </tp>
      <tp t="s">
        <v>N/A</v>
        <stp/>
        <stp>PROB_OF_TOUCHING</stp>
        <stp>.ACWI201120C85</stp>
        <tr r="V8" s="1"/>
      </tp>
      <tp t="s">
        <v>N/A</v>
        <stp/>
        <stp>THETA</stp>
        <stp>.GDXJ201120P53.5</stp>
        <tr r="O210" s="1"/>
      </tp>
      <tp t="s">
        <v>N/A</v>
        <stp/>
        <stp>THETA</stp>
        <stp>.GDXJ201120C53.5</stp>
        <tr r="O209" s="1"/>
      </tp>
      <tp t="s">
        <v>N/A</v>
        <stp/>
        <stp>IMPL_VOL</stp>
        <stp>.XLRE201120C37</stp>
        <tr r="D847" s="1"/>
      </tp>
      <tp>
        <v>3.1</v>
        <stp/>
        <stp>LOW</stp>
        <stp>.IWM201120P172.5</stp>
        <tr r="K353" s="1"/>
      </tp>
      <tp t="s">
        <v>N/A</v>
        <stp/>
        <stp>PROB_OTM</stp>
        <stp>.AAXJ201120P83</stp>
        <tr r="U4" s="1"/>
      </tp>
      <tp t="s">
        <v>N/A</v>
        <stp/>
        <stp>PROB_OTM</stp>
        <stp>.ARKK201120C97</stp>
        <tr r="U26" s="1"/>
      </tp>
      <tp t="s">
        <v>N/A</v>
        <stp/>
        <stp>PROB_OTM</stp>
        <stp>.AAXJ201120P84</stp>
        <tr r="U6" s="1"/>
      </tp>
      <tp t="s">
        <v>N/A</v>
        <stp/>
        <stp>PROB_OTM</stp>
        <stp>.ARKK201120C99</stp>
        <tr r="U30" s="1"/>
      </tp>
      <tp t="s">
        <v>N/A</v>
        <stp/>
        <stp>PROB_OTM</stp>
        <stp>.ARKK201120C98</stp>
        <tr r="U28" s="1"/>
      </tp>
      <tp t="s">
        <v>N/A</v>
        <stp/>
        <stp>RHO</stp>
        <stp>.JNK201120P106.5</stp>
        <tr r="Q382" s="1"/>
      </tp>
      <tp t="s">
        <v>N/A</v>
        <stp/>
        <stp>ASK</stp>
        <stp>.IVW201120P61.25</stp>
        <tr r="I332" s="1"/>
      </tp>
      <tp t="s">
        <v>N/A</v>
        <stp/>
        <stp>IMPL_VOL</stp>
        <stp>.DGRO201120C43</stp>
        <tr r="D60" s="1"/>
      </tp>
      <tp t="s">
        <v>N/A</v>
        <stp/>
        <stp>PROB_OF_EXPIRING</stp>
        <stp>.ITOT201120P81</stp>
        <tr r="T301" s="1"/>
      </tp>
      <tp t="s">
        <v>N/A</v>
        <stp/>
        <stp>PROB_OF_EXPIRING</stp>
        <stp>.ITOT201120P80</stp>
        <tr r="T299" s="1"/>
      </tp>
      <tp t="s">
        <v>N/A</v>
        <stp/>
        <stp>PROB_OTM</stp>
        <stp>.GDXJ201120P54</stp>
        <tr r="U212" s="1"/>
      </tp>
      <tp t="s">
        <v>N/A</v>
        <stp/>
        <stp>PROB_OTM</stp>
        <stp>.GDXJ201120P53</stp>
        <tr r="U208" s="1"/>
      </tp>
      <tp t="s">
        <v>N/A</v>
        <stp/>
        <stp>PROB_OTM</stp>
        <stp>.GDXJ201120P52</stp>
        <tr r="U204" s="1"/>
      </tp>
      <tp>
        <v>7793</v>
        <stp/>
        <stp>OPEN_INT</stp>
        <stp>.JETS201120C20</stp>
        <tr r="G378" s="1"/>
      </tp>
      <tp>
        <v>2.93</v>
        <stp/>
        <stp>ASK</stp>
        <stp>.SMH201120C194.5</stp>
        <tr r="I560" s="1"/>
      </tp>
      <tp t="s">
        <v>N/A</v>
        <stp/>
        <stp>DELTA</stp>
        <stp>.GDXJ201120P53.5</stp>
        <tr r="M210" s="1"/>
      </tp>
      <tp t="s">
        <v>N/A</v>
        <stp/>
        <stp>DELTA</stp>
        <stp>.GDXJ201120C53.5</stp>
        <tr r="M209" s="1"/>
      </tp>
      <tp t="s">
        <v>N/A</v>
        <stp/>
        <stp>RHO</stp>
        <stp>.JNK201120C106.5</stp>
        <tr r="Q381" s="1"/>
      </tp>
      <tp>
        <v>0.55000000000000004</v>
        <stp/>
        <stp>ASK</stp>
        <stp>.IVW201120C61.25</stp>
        <tr r="I331" s="1"/>
      </tp>
      <tp>
        <v>1.39</v>
        <stp/>
        <stp>LOW</stp>
        <stp>.IWM201120C172.5</stp>
        <tr r="K352" s="1"/>
      </tp>
      <tp t="s">
        <v>N/A</v>
        <stp/>
        <stp>PROB_OF_TOUCHING</stp>
        <stp>.SPDW201120P32</stp>
        <tr r="V580" s="1"/>
      </tp>
      <tp t="s">
        <v>N/A</v>
        <stp/>
        <stp>PROB_OF_TOUCHING</stp>
        <stp>.INDY201120P38</stp>
        <tr r="V287" s="1"/>
      </tp>
      <tp t="s">
        <v>N/A</v>
        <stp/>
        <stp>PROB_OF_TOUCHING</stp>
        <stp>.ACWX201120C50</stp>
        <tr r="V13" s="1"/>
      </tp>
      <tp t="s">
        <v>N/A</v>
        <stp/>
        <stp>GAMMA</stp>
        <stp>.XBI201120C122.5</stp>
        <tr r="N766" s="1"/>
      </tp>
      <tp t="s">
        <v>N/A</v>
        <stp/>
        <stp>THETA</stp>
        <stp>.DIA201120P297.5</stp>
        <tr r="O80" s="1"/>
      </tp>
      <tp t="s">
        <v>N/A</v>
        <stp/>
        <stp>HIGH</stp>
        <stp>.VCLT201120C107</stp>
        <tr r="J705" s="1"/>
      </tp>
      <tp t="s">
        <v>N/A</v>
        <stp/>
        <stp>HIGH</stp>
        <stp>.VCLT201120P107</stp>
        <tr r="J706" s="1"/>
      </tp>
      <tp t="s">
        <v>N/A</v>
        <stp/>
        <stp>DELTA</stp>
        <stp>.DIA201120C297.5</stp>
        <tr r="M79" s="1"/>
      </tp>
      <tp t="s">
        <v>N/A</v>
        <stp/>
        <stp>GAMMA</stp>
        <stp>.XLY201120C152.5</stp>
        <tr r="N872" s="1"/>
      </tp>
      <tp t="s">
        <v>N/A</v>
        <stp/>
        <stp>GAMMA</stp>
        <stp>.XLK201120C122.5</stp>
        <tr r="N837" s="1"/>
      </tp>
      <tp>
        <v>0</v>
        <stp/>
        <stp>THETA</stp>
        <stp>HYG</stp>
        <tr r="O220" s="1"/>
      </tp>
      <tp t="s">
        <v>N/A</v>
        <stp/>
        <stp>GAMMA</stp>
        <stp>.XBI201120P122.5</stp>
        <tr r="N767" s="1"/>
      </tp>
      <tp>
        <v>1</v>
        <stp/>
        <stp>DELTA</stp>
        <stp>AGG</stp>
        <tr r="M15" s="1"/>
      </tp>
      <tp t="s">
        <v>N/A</v>
        <stp/>
        <stp>GAMMA</stp>
        <stp>.PXH201120P20</stp>
        <tr r="N461" s="1"/>
      </tp>
      <tp t="s">
        <v>N/A</v>
        <stp/>
        <stp>GAMMA</stp>
        <stp>.PXH201120P19</stp>
        <tr r="N459" s="1"/>
      </tp>
      <tp t="s">
        <v>N/A</v>
        <stp/>
        <stp>OPEN</stp>
        <stp>.MTUM201120P150</stp>
        <tr r="L430" s="1"/>
      </tp>
      <tp>
        <v>0</v>
        <stp/>
        <stp>OPEN</stp>
        <stp>.MTUM201120C150</stp>
        <tr r="L429" s="1"/>
      </tp>
      <tp t="s">
        <v>N/A</v>
        <stp/>
        <stp>OPEN</stp>
        <stp>.MTUM201120P151</stp>
        <tr r="L432" s="1"/>
      </tp>
      <tp t="s">
        <v>N/A</v>
        <stp/>
        <stp>OPEN</stp>
        <stp>.MTUM201120C151</stp>
        <tr r="L431" s="1"/>
      </tp>
      <tp t="s">
        <v>N/A</v>
        <stp/>
        <stp>OPEN</stp>
        <stp>.MTUM201120P152</stp>
        <tr r="L434" s="1"/>
      </tp>
      <tp>
        <v>0</v>
        <stp/>
        <stp>OPEN</stp>
        <stp>.MTUM201120C152</stp>
        <tr r="L433" s="1"/>
      </tp>
      <tp>
        <v>44.71</v>
        <stp/>
        <stp>OPEN</stp>
        <stp>SHYG</stp>
        <tr r="L548" s="1"/>
      </tp>
      <tp t="s">
        <v>N/A</v>
        <stp/>
        <stp>OPEN</stp>
        <stp>.MTUM201120P149</stp>
        <tr r="L428" s="1"/>
      </tp>
      <tp t="s">
        <v>N/A</v>
        <stp/>
        <stp>OPEN</stp>
        <stp>.MTUM201120C149</stp>
        <tr r="L427" s="1"/>
      </tp>
      <tp t="s">
        <v>N/A</v>
        <stp/>
        <stp>THETA</stp>
        <stp>.DXD201120C14</stp>
        <tr r="O92" s="1"/>
      </tp>
      <tp t="s">
        <v>N/A</v>
        <stp/>
        <stp>GAMMA</stp>
        <stp>.FXI201120P48</stp>
        <tr r="N194" s="1"/>
      </tp>
      <tp t="s">
        <v>N/A</v>
        <stp/>
        <stp>GAMMA</stp>
        <stp>.FXI201120P47</stp>
        <tr r="N190" s="1"/>
      </tp>
      <tp t="s">
        <v>N/A</v>
        <stp/>
        <stp>DELTA</stp>
        <stp>.DIA201120P297.5</stp>
        <tr r="M80" s="1"/>
      </tp>
      <tp t="s">
        <v>N/A</v>
        <stp/>
        <stp>THETA</stp>
        <stp>.PXH201120C20</stp>
        <tr r="O460" s="1"/>
      </tp>
      <tp t="s">
        <v>N/A</v>
        <stp/>
        <stp>DELTA</stp>
        <stp>.XHB201120C56</stp>
        <tr r="M785" s="1"/>
      </tp>
      <tp t="s">
        <v>N/A</v>
        <stp/>
        <stp>DELTA</stp>
        <stp>.XHB201120C55</stp>
        <tr r="M781" s="1"/>
      </tp>
      <tp t="s">
        <v>N/A</v>
        <stp/>
        <stp>THETA</stp>
        <stp>.PXH201120C19</stp>
        <tr r="O458" s="1"/>
      </tp>
      <tp t="s">
        <v>N/A</v>
        <stp/>
        <stp>THETA</stp>
        <stp>.DIA201120C297.5</stp>
        <tr r="O79" s="1"/>
      </tp>
      <tp t="s">
        <v>N/A</v>
        <stp/>
        <stp>GAMMA</stp>
        <stp>.XLY201120P152.5</stp>
        <tr r="N873" s="1"/>
      </tp>
      <tp t="s">
        <v>N/A</v>
        <stp/>
        <stp>GAMMA</stp>
        <stp>.XLK201120P122.5</stp>
        <tr r="N838" s="1"/>
      </tp>
      <tp t="s">
        <v>N/A</v>
        <stp/>
        <stp>THETA</stp>
        <stp>.FXI201120C47</stp>
        <tr r="O189" s="1"/>
      </tp>
      <tp t="s">
        <v>N/A</v>
        <stp/>
        <stp>THETA</stp>
        <stp>.FXI201120C48</stp>
        <tr r="O193" s="1"/>
      </tp>
      <tp t="s">
        <v>N/A</v>
        <stp/>
        <stp>GAMMA</stp>
        <stp>.DXD201120P14</stp>
        <tr r="N93" s="1"/>
      </tp>
      <tp>
        <v>0</v>
        <stp/>
        <stp>VOLUME</stp>
        <stp>.PXH201120P19</stp>
        <tr r="F459" s="1"/>
      </tp>
      <tp t="s">
        <v>N/A</v>
        <stp/>
        <stp>VOLUME</stp>
        <stp>.PXH201120P20</stp>
        <tr r="F461" s="1"/>
      </tp>
      <tp>
        <v>9</v>
        <stp/>
        <stp>VOLUME</stp>
        <stp>.FXI201120P48</stp>
        <tr r="F194" s="1"/>
      </tp>
      <tp>
        <v>2724</v>
        <stp/>
        <stp>VOLUME</stp>
        <stp>.FXI201120P47</stp>
        <tr r="F190" s="1"/>
      </tp>
      <tp t="s">
        <v>N/A</v>
        <stp/>
        <stp>DESCRIPTION</stp>
        <stp>.PDBC201120C14</stp>
        <tr r="B452" s="1"/>
      </tp>
      <tp t="s">
        <v>N/A</v>
        <stp/>
        <stp>STRIKE</stp>
        <stp>.SCZ201120P63</stp>
        <tr r="W536" s="1"/>
      </tp>
      <tp>
        <v>9</v>
        <stp/>
        <stp>VOLUME</stp>
        <stp>.DXD201120P14</stp>
        <tr r="F93" s="1"/>
      </tp>
      <tp t="s">
        <v>N/A</v>
        <stp/>
        <stp>PUT_CALL_RATIO</stp>
        <stp>.XHB201120C55</stp>
        <tr r="C781" s="1"/>
      </tp>
      <tp t="s">
        <v>N/A</v>
        <stp/>
        <stp>PUT_CALL_RATIO</stp>
        <stp>.XHB201120C56</stp>
        <tr r="C785" s="1"/>
      </tp>
      <tp t="s">
        <v>N/A</v>
        <stp/>
        <stp>OPEN_INT</stp>
        <stp>.TBF201120C16</stp>
        <tr r="G681" s="1"/>
      </tp>
      <tp t="s">
        <v>N/A</v>
        <stp/>
        <stp>PROB_OF_TOUCHING</stp>
        <stp>.IYE201120C18</stp>
        <tr r="V364" s="1"/>
      </tp>
      <tp>
        <v>0</v>
        <stp/>
        <stp>VOLUME</stp>
        <stp>.VT201120C87</stp>
        <tr r="F737" s="1"/>
      </tp>
      <tp>
        <v>0</v>
        <stp/>
        <stp>VOLUME</stp>
        <stp>.VT201120C86</stp>
        <tr r="F735" s="1"/>
      </tp>
      <tp t="s">
        <v>N/A</v>
        <stp/>
        <stp>PROB_OF_TOUCHING</stp>
        <stp>.VYM201120C87</stp>
        <tr r="V759" s="1"/>
      </tp>
      <tp t="s">
        <v>N/A</v>
        <stp/>
        <stp>PROB_OTM</stp>
        <stp>.EWZ201120C32</stp>
        <tr r="U175" s="1"/>
      </tp>
      <tp t="s">
        <v>N/A</v>
        <stp/>
        <stp>OPEN_INT</stp>
        <stp>.KBE201120C38</stp>
        <tr r="G386" s="1"/>
      </tp>
      <tp t="s">
        <v>N/A</v>
        <stp/>
        <stp>PROB_OF_TOUCHING</stp>
        <stp>.VYM201120C88</stp>
        <tr r="V761" s="1"/>
      </tp>
      <tp t="s">
        <v>N/A</v>
        <stp/>
        <stp>EXTRINSIC</stp>
        <stp>.SHYG201120C45</stp>
        <tr r="S549" s="1"/>
      </tp>
      <tp t="s">
        <v>N/A</v>
        <stp/>
        <stp>PROB_OTM</stp>
        <stp>.GDX201120P37</stp>
        <tr r="U199" s="1"/>
      </tp>
      <tp t="s">
        <v>N/A</v>
        <stp/>
        <stp>EXTRINSIC</stp>
        <stp>.SPYG201120C53</stp>
        <tr r="S632" s="1"/>
      </tp>
      <tp t="s">
        <v>N/A</v>
        <stp/>
        <stp>EXTRINSIC</stp>
        <stp>.SPYG201120C52</stp>
        <tr r="S630" s="1"/>
      </tp>
      <tp t="s">
        <v>N/A</v>
        <stp/>
        <stp>IMPL_VOL</stp>
        <stp>.DXD201120C14</stp>
        <tr r="D92" s="1"/>
      </tp>
      <tp t="s">
        <v>N/A</v>
        <stp/>
        <stp>PROB_OTM</stp>
        <stp>.EWY201120C72</stp>
        <tr r="U164" s="1"/>
      </tp>
      <tp t="s">
        <v>N/A</v>
        <stp/>
        <stp>PROB_OTM</stp>
        <stp>.EWY201120C73</stp>
        <tr r="U168" s="1"/>
      </tp>
      <tp t="s">
        <v>N/A</v>
        <stp/>
        <stp>PROB_OF_EXPIRING</stp>
        <stp>.SSO201120C84</stp>
        <tr r="T655" s="1"/>
      </tp>
      <tp t="s">
        <v>N/A</v>
        <stp/>
        <stp>PROB_OF_EXPIRING</stp>
        <stp>.SSO201120C81</stp>
        <tr r="T643" s="1"/>
      </tp>
      <tp t="s">
        <v>N/A</v>
        <stp/>
        <stp>PROB_OF_EXPIRING</stp>
        <stp>.SSO201120C83</stp>
        <tr r="T651" s="1"/>
      </tp>
      <tp t="s">
        <v>N/A</v>
        <stp/>
        <stp>PROB_OF_EXPIRING</stp>
        <stp>.SSO201120C82</stp>
        <tr r="T647" s="1"/>
      </tp>
      <tp t="s">
        <v>N/A</v>
        <stp/>
        <stp>IMPL_VOL</stp>
        <stp>.PXH201120C19</stp>
        <tr r="D458" s="1"/>
      </tp>
      <tp t="s">
        <v>N/A</v>
        <stp/>
        <stp>PROB_OTM</stp>
        <stp>.EWT201120C48</stp>
        <tr r="U149" s="1"/>
      </tp>
      <tp t="s">
        <v>N/A</v>
        <stp/>
        <stp>PROB_OTM</stp>
        <stp>.SDS201120P14</stp>
        <tr r="U541" s="1"/>
      </tp>
      <tp t="s">
        <v>N/A</v>
        <stp/>
        <stp>PROB_OTM</stp>
        <stp>.EWP201120C26</stp>
        <tr r="U146" s="1"/>
      </tp>
      <tp t="s">
        <v>N/A</v>
        <stp/>
        <stp>IMPL_VOL</stp>
        <stp>.PXH201120C20</stp>
        <tr r="D460" s="1"/>
      </tp>
      <tp t="s">
        <v>N/A</v>
        <stp/>
        <stp>PROB_OF_TOUCHING</stp>
        <stp>.HYG201120C86</stp>
        <tr r="V223" s="1"/>
      </tp>
      <tp t="s">
        <v>N/A</v>
        <stp/>
        <stp>IMPL_VOL</stp>
        <stp>.FXI201120C47</stp>
        <tr r="D189" s="1"/>
      </tp>
      <tp t="s">
        <v>N/A</v>
        <stp/>
        <stp>IMPL_VOL</stp>
        <stp>.FXI201120C48</stp>
        <tr r="D193" s="1"/>
      </tp>
      <tp t="s">
        <v>N/A</v>
        <stp/>
        <stp>PROB_OTM</stp>
        <stp>.EWW201120C39</stp>
        <tr r="U157" s="1"/>
      </tp>
      <tp t="s">
        <v>N/A</v>
        <stp/>
        <stp>PROB_OTM</stp>
        <stp>.EWL201120C43</stp>
        <tr r="U143" s="1"/>
      </tp>
      <tp t="s">
        <v>N/A</v>
        <stp/>
        <stp>PROB_OTM</stp>
        <stp>.EWH201120C24</stp>
        <tr r="U130" s="1"/>
      </tp>
      <tp t="s">
        <v>N/A</v>
        <stp/>
        <stp>OPEN_INT</stp>
        <stp>.TBT201120C17</stp>
        <tr r="G684" s="1"/>
      </tp>
      <tp t="s">
        <v>N/A</v>
        <stp/>
        <stp>PROB_OTM</stp>
        <stp>.VWO201120C47</stp>
        <tr r="U751" s="1"/>
      </tp>
      <tp t="s">
        <v>N/A</v>
        <stp/>
        <stp>PROB_OTM</stp>
        <stp>.EWI201120C27</stp>
        <tr r="U133" s="1"/>
      </tp>
      <tp t="s">
        <v>N/A</v>
        <stp/>
        <stp>PROB_OTM</stp>
        <stp>.EWJ201120C64</stp>
        <tr r="U140" s="1"/>
      </tp>
      <tp t="s">
        <v>N/A</v>
        <stp/>
        <stp>PROB_OTM</stp>
        <stp>.EWJ201120C63</stp>
        <tr r="U136" s="1"/>
      </tp>
      <tp t="s">
        <v>N/A</v>
        <stp/>
        <stp>EXTRINSIC</stp>
        <stp>.SPYV201120C33</stp>
        <tr r="S635" s="1"/>
      </tp>
      <tp t="s">
        <v>N/A</v>
        <stp/>
        <stp>PROB_OF_EXPIRING</stp>
        <stp>.RSX201120C22</stp>
        <tr r="T513" s="1"/>
      </tp>
      <tp t="s">
        <v>N/A</v>
        <stp/>
        <stp>PROB_OTM</stp>
        <stp>.RWM201120C29</stp>
        <tr r="U518" s="1"/>
      </tp>
      <tp t="s">
        <v>N/A</v>
        <stp/>
        <stp>PROB_OTM</stp>
        <stp>.EWC201120C29</stp>
        <tr r="U124" s="1"/>
      </tp>
      <tp t="s">
        <v>N/A</v>
        <stp/>
        <stp>PROB_OTM</stp>
        <stp>.EWA201120C22</stp>
        <tr r="U121" s="1"/>
      </tp>
      <tp t="s">
        <v>N/A</v>
        <stp/>
        <stp>PROB_OTM</stp>
        <stp>.EWG201120C30</stp>
        <tr r="U127" s="1"/>
      </tp>
      <tp t="s">
        <v>N/A</v>
        <stp/>
        <stp>INTRINSIC</stp>
        <stp>.ITOT201120C81</stp>
        <tr r="R300" s="1"/>
      </tp>
      <tp t="s">
        <v>N/A</v>
        <stp/>
        <stp>INTRINSIC</stp>
        <stp>.ITOT201120C80</stp>
        <tr r="R298" s="1"/>
      </tp>
      <tp t="s">
        <v>N/A</v>
        <stp/>
        <stp>PROB_OF_TOUCHING</stp>
        <stp>.IJR201120P80</stp>
        <tr r="V276" s="1"/>
      </tp>
      <tp t="s">
        <v>N/A</v>
        <stp/>
        <stp>PROB_OF_TOUCHING</stp>
        <stp>.IYR201120C84</stp>
        <tr r="V367" s="1"/>
      </tp>
      <tp t="s">
        <v>N/A</v>
        <stp/>
        <stp>PROB_OF_TOUCHING</stp>
        <stp>.IYR201120C85</stp>
        <tr r="V371" s="1"/>
      </tp>
      <tp>
        <v>3.65</v>
        <stp/>
        <stp>ASK</stp>
        <stp>.SMH201120P193.5</stp>
        <tr r="I557" s="1"/>
      </tp>
      <tp t="s">
        <v>N/A</v>
        <stp/>
        <stp>PROB_OF_EXPIRING</stp>
        <stp>.SCHP201120P61</stp>
        <tr r="T533" s="1"/>
      </tp>
      <tp t="s">
        <v>N/A</v>
        <stp/>
        <stp>PROB_OTM</stp>
        <stp>.HYLB201120C49</stp>
        <tr r="U226" s="1"/>
      </tp>
      <tp t="s">
        <v>N/A</v>
        <stp/>
        <stp>IMPL_VOL</stp>
        <stp>.IEFA201120P66</stp>
        <tr r="D255" s="1"/>
      </tp>
      <tp t="s">
        <v>N/A</v>
        <stp/>
        <stp>IMPL_VOL</stp>
        <stp>.IEFA201120P65</stp>
        <tr r="D253" s="1"/>
      </tp>
      <tp t="s">
        <v>N/A</v>
        <stp/>
        <stp>PROB_OTM</stp>
        <stp>.EMLC201120C32</stp>
        <tr r="U115" s="1"/>
      </tp>
      <tp t="s">
        <v>N/A</v>
        <stp/>
        <stp>PROB_OF_EXPIRING</stp>
        <stp>.ASHR201120P38</stp>
        <tr r="T47" s="1"/>
      </tp>
      <tp t="s">
        <v>N/A</v>
        <stp/>
        <stp>THETA</stp>
        <stp>.JETS201120P19.5</stp>
        <tr r="O377" s="1"/>
      </tp>
      <tp t="s">
        <v>N/A</v>
        <stp/>
        <stp>THETA</stp>
        <stp>.JETS201120C19.5</stp>
        <tr r="O376" s="1"/>
      </tp>
      <tp t="s">
        <v>N/A</v>
        <stp/>
        <stp>PROB_OTM</stp>
        <stp>.SPLG201120C42</stp>
        <tr r="U585" s="1"/>
      </tp>
      <tp t="s">
        <v>N/A</v>
        <stp/>
        <stp>BID</stp>
        <stp>.MDY201120P387.5</stp>
        <tr r="H422" s="1"/>
      </tp>
      <tp t="s">
        <v>N/A</v>
        <stp/>
        <stp>PROB_OTM</stp>
        <stp>.BKLN201120C22</stp>
        <tr r="U49" s="1"/>
      </tp>
      <tp t="s">
        <v>N/A</v>
        <stp/>
        <stp>PROB_OTM</stp>
        <stp>.ICLN201120C22</stp>
        <tr r="U246" s="1"/>
      </tp>
      <tp t="s">
        <v>N/A</v>
        <stp/>
        <stp>DESCRIPTION</stp>
        <stp>.IBB201120P139.5</stp>
        <tr r="B236" s="1"/>
      </tp>
      <tp>
        <v>844</v>
        <stp/>
        <stp>OPEN_INT</stp>
        <stp>.GUSH201120C27</stp>
        <tr r="G216" s="1"/>
      </tp>
      <tp>
        <v>459</v>
        <stp/>
        <stp>OPEN_INT</stp>
        <stp>.GUSH201120C26</stp>
        <tr r="G214" s="1"/>
      </tp>
      <tp>
        <v>279</v>
        <stp/>
        <stp>OPEN_INT</stp>
        <stp>.GUSH201120C28</stp>
        <tr r="G218" s="1"/>
      </tp>
      <tp t="s">
        <v>N/A</v>
        <stp/>
        <stp>IMPL_VOL</stp>
        <stp>.EUFN201120P16</stp>
        <tr r="D119" s="1"/>
      </tp>
      <tp t="s">
        <v>N/A</v>
        <stp/>
        <stp>LOW</stp>
        <stp>.JNK201120C106.5</stp>
        <tr r="K381" s="1"/>
      </tp>
      <tp t="s">
        <v>N/A</v>
        <stp/>
        <stp>RHO</stp>
        <stp>.IWM201120C172.5</stp>
        <tr r="Q352" s="1"/>
      </tp>
      <tp t="s">
        <v>N/A</v>
        <stp/>
        <stp>DESCRIPTION</stp>
        <stp>.IEF201120P119.5</stp>
        <tr r="B250" s="1"/>
      </tp>
      <tp t="s">
        <v>N/A</v>
        <stp/>
        <stp>PROB_OF_EXPIRING</stp>
        <stp>.SCHF201120P34</stp>
        <tr r="T530" s="1"/>
      </tp>
      <tp t="s">
        <v>N/A</v>
        <stp/>
        <stp>PROB_OF_EXPIRING</stp>
        <stp>.SCHE201120P29</stp>
        <tr r="T527" s="1"/>
      </tp>
      <tp t="s">
        <v>N/A</v>
        <stp/>
        <stp>PROB_OF_EXPIRING</stp>
        <stp>.SPHD201120P36</stp>
        <tr r="T583" s="1"/>
      </tp>
      <tp>
        <v>3.35</v>
        <stp/>
        <stp>ASK</stp>
        <stp>.SMH201120C193.5</stp>
        <tr r="I556" s="1"/>
      </tp>
      <tp t="s">
        <v>N/A</v>
        <stp/>
        <stp>DELTA</stp>
        <stp>.JETS201120P19.5</stp>
        <tr r="M377" s="1"/>
      </tp>
      <tp t="s">
        <v>N/A</v>
        <stp/>
        <stp>PROB_OF_EXPIRING</stp>
        <stp>.MCHI201120P80</stp>
        <tr r="T413" s="1"/>
      </tp>
      <tp t="s">
        <v>N/A</v>
        <stp/>
        <stp>DELTA</stp>
        <stp>.JETS201120C19.5</stp>
        <tr r="M376" s="1"/>
      </tp>
      <tp t="s">
        <v>N/A</v>
        <stp/>
        <stp>IMPL_VOL</stp>
        <stp>.VXUS201120C56</stp>
        <tr r="D754" s="1"/>
      </tp>
      <tp t="s">
        <v>N/A</v>
        <stp/>
        <stp>IMPL_VOL</stp>
        <stp>.VXUS201120C57</stp>
        <tr r="D756" s="1"/>
      </tp>
      <tp t="s">
        <v>N/A</v>
        <stp/>
        <stp>BID</stp>
        <stp>.MDY201120C387.5</stp>
        <tr r="H421" s="1"/>
      </tp>
      <tp t="s">
        <v>N/A</v>
        <stp/>
        <stp>IMPL_VOL</stp>
        <stp>.IXUS201120C63</stp>
        <tr r="D361" s="1"/>
      </tp>
      <tp t="s">
        <v>N/A</v>
        <stp/>
        <stp>PROB_OTM</stp>
        <stp>.SPLV201120C55</stp>
        <tr r="U588" s="1"/>
      </tp>
      <tp t="s">
        <v>N/A</v>
        <stp/>
        <stp>PROB_OF_EXPIRING</stp>
        <stp>.SCHD201120P61</stp>
        <tr r="T522" s="1"/>
      </tp>
      <tp t="s">
        <v>N/A</v>
        <stp/>
        <stp>PROB_OF_EXPIRING</stp>
        <stp>.SCHD201120P62</stp>
        <tr r="T524" s="1"/>
      </tp>
      <tp t="s">
        <v>N/A</v>
        <stp/>
        <stp>PROB_OTM</stp>
        <stp>.AMLP201120C23</stp>
        <tr r="U19" s="1"/>
      </tp>
      <tp t="s">
        <v>N/A</v>
        <stp/>
        <stp>PROB_OTM</stp>
        <stp>.AMLP201120C24</stp>
        <tr r="U23" s="1"/>
      </tp>
      <tp t="s">
        <v>N/A</v>
        <stp/>
        <stp>DESCRIPTION</stp>
        <stp>.IBB201120C139.5</stp>
        <tr r="B235" s="1"/>
      </tp>
      <tp t="s">
        <v>N/A</v>
        <stp/>
        <stp>DESCRIPTION</stp>
        <stp>.IEF201120C119.5</stp>
        <tr r="B249" s="1"/>
      </tp>
      <tp t="s">
        <v>N/A</v>
        <stp/>
        <stp>RHO</stp>
        <stp>.IWM201120P172.5</stp>
        <tr r="Q353" s="1"/>
      </tp>
      <tp t="s">
        <v>N/A</v>
        <stp/>
        <stp>LOW</stp>
        <stp>.JNK201120P106.5</stp>
        <tr r="K382" s="1"/>
      </tp>
      <tp>
        <v>0</v>
        <stp/>
        <stp>THETA</stp>
        <stp>IWM</stp>
        <tr r="O345" s="1"/>
      </tp>
      <tp>
        <v>0</v>
        <stp/>
        <stp>THETA</stp>
        <stp>IWF</stp>
        <tr r="O340" s="1"/>
      </tp>
      <tp>
        <v>0</v>
        <stp/>
        <stp>THETA</stp>
        <stp>IWD</stp>
        <tr r="O333" s="1"/>
      </tp>
      <tp t="s">
        <v>N/A</v>
        <stp/>
        <stp>GAMMA</stp>
        <stp>.IJR201120C80</stp>
        <tr r="N275" s="1"/>
      </tp>
      <tp t="s">
        <v>N/A</v>
        <stp/>
        <stp>GAMMA</stp>
        <stp>.IYR201120P84</stp>
        <tr r="N368" s="1"/>
      </tp>
      <tp t="s">
        <v>N/A</v>
        <stp/>
        <stp>GAMMA</stp>
        <stp>.IYR201120P85</stp>
        <tr r="N372" s="1"/>
      </tp>
      <tp>
        <v>0</v>
        <stp/>
        <stp>THETA</stp>
        <stp>IVE</stp>
        <tr r="O302" s="1"/>
      </tp>
      <tp>
        <v>0</v>
        <stp/>
        <stp>THETA</stp>
        <stp>IVV</stp>
        <tr r="O309" s="1"/>
      </tp>
      <tp>
        <v>0</v>
        <stp/>
        <stp>THETA</stp>
        <stp>IVW</stp>
        <tr r="O330" s="1"/>
      </tp>
      <tp t="s">
        <v>N/A</v>
        <stp/>
        <stp>GAMMA</stp>
        <stp>.XBI201120C123.5</stp>
        <tr r="N770" s="1"/>
      </tp>
      <tp>
        <v>0</v>
        <stp/>
        <stp>THETA</stp>
        <stp>ITB</stp>
        <tr r="O288" s="1"/>
      </tp>
      <tp>
        <v>22.04</v>
        <stp/>
        <stp>HIGH</stp>
        <stp>BKLN</stp>
        <tr r="J48" s="1"/>
      </tp>
      <tp>
        <v>0</v>
        <stp/>
        <stp>GAMMA</stp>
        <stp>AGG</stp>
        <tr r="N15" s="1"/>
      </tp>
      <tp t="s">
        <v>N/A</v>
        <stp/>
        <stp>THETA</stp>
        <stp>.IJR201120P80</stp>
        <tr r="O276" s="1"/>
      </tp>
      <tp t="s">
        <v>N/A</v>
        <stp/>
        <stp>THETA</stp>
        <stp>.IYR201120C84</stp>
        <tr r="O367" s="1"/>
      </tp>
      <tp t="s">
        <v>N/A</v>
        <stp/>
        <stp>THETA</stp>
        <stp>.IYR201120C85</stp>
        <tr r="O371" s="1"/>
      </tp>
      <tp>
        <v>0</v>
        <stp/>
        <stp>OPEN</stp>
        <stp>.QUAL201120C111</stp>
        <tr r="L501" s="1"/>
      </tp>
      <tp>
        <v>0</v>
        <stp/>
        <stp>OPEN</stp>
        <stp>.QUAL201120P111</stp>
        <tr r="L502" s="1"/>
      </tp>
      <tp t="s">
        <v>N/A</v>
        <stp/>
        <stp>OPEN</stp>
        <stp>.QUAL201120C110</stp>
        <tr r="L499" s="1"/>
      </tp>
      <tp>
        <v>0</v>
        <stp/>
        <stp>OPEN</stp>
        <stp>.QUAL201120P110</stp>
        <tr r="L500" s="1"/>
      </tp>
      <tp t="s">
        <v>N/A</v>
        <stp/>
        <stp>OPEN</stp>
        <stp>.QUAL201120C112</stp>
        <tr r="L503" s="1"/>
      </tp>
      <tp t="s">
        <v>N/A</v>
        <stp/>
        <stp>OPEN</stp>
        <stp>.QUAL201120P112</stp>
        <tr r="L504" s="1"/>
      </tp>
      <tp t="s">
        <v>N/A</v>
        <stp/>
        <stp>GAMMA</stp>
        <stp>.SMH201120C198.5</stp>
        <tr r="N576" s="1"/>
      </tp>
      <tp t="s">
        <v>N/A</v>
        <stp/>
        <stp>GAMMA</stp>
        <stp>.XLY201120C153.5</stp>
        <tr r="N876" s="1"/>
      </tp>
      <tp>
        <v>0</v>
        <stp/>
        <stp>THETA</stp>
        <stp>IYE</stp>
        <tr r="O363" s="1"/>
      </tp>
      <tp>
        <v>0</v>
        <stp/>
        <stp>THETA</stp>
        <stp>IYR</stp>
        <tr r="O366" s="1"/>
      </tp>
      <tp t="s">
        <v>N/A</v>
        <stp/>
        <stp>DELTA</stp>
        <stp>.BZQ201120P12</stp>
        <tr r="M53" s="1"/>
      </tp>
      <tp>
        <v>0</v>
        <stp/>
        <stp>VEGA</stp>
        <stp>BKLN</stp>
        <tr r="P48" s="1"/>
      </tp>
      <tp t="s">
        <v>N/A</v>
        <stp/>
        <stp>DELTA</stp>
        <stp>.EZU201120P42</stp>
        <tr r="M179" s="1"/>
      </tp>
      <tp t="s">
        <v>N/A</v>
        <stp/>
        <stp>GAMMA</stp>
        <stp>.XBI201120P123.5</stp>
        <tr r="N771" s="1"/>
      </tp>
      <tp>
        <v>0</v>
        <stp/>
        <stp>THETA</stp>
        <stp>IGV</stp>
        <tr r="O264" s="1"/>
      </tp>
      <tp>
        <v>0</v>
        <stp/>
        <stp>THETA</stp>
        <stp>IEF</stp>
        <tr r="O248" s="1"/>
      </tp>
      <tp>
        <v>0</v>
        <stp/>
        <stp>THETA</stp>
        <stp>IBB</stp>
        <tr r="O228" s="1"/>
      </tp>
      <tp t="s">
        <v>N/A</v>
        <stp/>
        <stp>GAMMA</stp>
        <stp>.HYG201120P86</stp>
        <tr r="N224" s="1"/>
      </tp>
      <tp t="s">
        <v>N/A</v>
        <stp/>
        <stp>THETA</stp>
        <stp>.VYM201120C87</stp>
        <tr r="O759" s="1"/>
      </tp>
      <tp t="s">
        <v>N/A</v>
        <stp/>
        <stp>THETA</stp>
        <stp>.VYM201120C88</stp>
        <tr r="O761" s="1"/>
      </tp>
      <tp t="s">
        <v>N/A</v>
        <stp/>
        <stp>THETA</stp>
        <stp>.IYE201120C18</stp>
        <tr r="O364" s="1"/>
      </tp>
      <tp>
        <v>0</v>
        <stp/>
        <stp>THETA</stp>
        <stp>ILF</stp>
        <tr r="O277" s="1"/>
      </tp>
      <tp t="s">
        <v>N/A</v>
        <stp/>
        <stp>THETA</stp>
        <stp>.HYG201120C86</stp>
        <tr r="O223" s="1"/>
      </tp>
      <tp>
        <v>0</v>
        <stp/>
        <stp>THETA</stp>
        <stp>IJH</stp>
        <tr r="O271" s="1"/>
      </tp>
      <tp>
        <v>0</v>
        <stp/>
        <stp>THETA</stp>
        <stp>IJR</stp>
        <tr r="O274" s="1"/>
      </tp>
      <tp t="s">
        <v>N/A</v>
        <stp/>
        <stp>GAMMA</stp>
        <stp>.XLY201120P153.5</stp>
        <tr r="N877" s="1"/>
      </tp>
      <tp t="s">
        <v>N/A</v>
        <stp/>
        <stp>GAMMA</stp>
        <stp>.IYE201120P18</stp>
        <tr r="N365" s="1"/>
      </tp>
      <tp t="s">
        <v>N/A</v>
        <stp/>
        <stp>GAMMA</stp>
        <stp>.SMH201120P198.5</stp>
        <tr r="N577" s="1"/>
      </tp>
      <tp t="s">
        <v>N/A</v>
        <stp/>
        <stp>GAMMA</stp>
        <stp>.VYM201120P88</stp>
        <tr r="N762" s="1"/>
      </tp>
      <tp t="s">
        <v>N/A</v>
        <stp/>
        <stp>GAMMA</stp>
        <stp>.VYM201120P87</stp>
        <tr r="N760" s="1"/>
      </tp>
      <tp t="s">
        <v>N/A</v>
        <stp/>
        <stp>STRIKE</stp>
        <stp>.TBT201120P17</stp>
        <tr r="W685" s="1"/>
      </tp>
      <tp>
        <v>0</v>
        <stp/>
        <stp>LOW</stp>
        <stp>.ITOT201120P81</stp>
        <tr r="K301" s="1"/>
      </tp>
      <tp t="s">
        <v>N/A</v>
        <stp/>
        <stp>LOW</stp>
        <stp>.ITOT201120P80</stp>
        <tr r="K299" s="1"/>
      </tp>
      <tp>
        <v>36</v>
        <stp/>
        <stp>VOLUME</stp>
        <stp>.HYG201120P86</stp>
        <tr r="F224" s="1"/>
      </tp>
      <tp>
        <v>1.8</v>
        <stp/>
        <stp>ASK</stp>
        <stp>.ITOT201120P81</stp>
        <tr r="I301" s="1"/>
      </tp>
      <tp t="s">
        <v>N/A</v>
        <stp/>
        <stp>ASK</stp>
        <stp>.ITOT201120P80</stp>
        <tr r="I299" s="1"/>
      </tp>
      <tp>
        <v>1.2</v>
        <stp/>
        <stp>BID</stp>
        <stp>.ITOT201120P81</stp>
        <tr r="H301" s="1"/>
      </tp>
      <tp t="s">
        <v>N/A</v>
        <stp/>
        <stp>BID</stp>
        <stp>.ITOT201120P80</stp>
        <tr r="H299" s="1"/>
      </tp>
      <tp t="s">
        <v>N/A</v>
        <stp/>
        <stp>VOLUME</stp>
        <stp>.VYM201120P88</stp>
        <tr r="F762" s="1"/>
      </tp>
      <tp t="s">
        <v>N/A</v>
        <stp/>
        <stp>VOLUME</stp>
        <stp>.VYM201120P87</stp>
        <tr r="F760" s="1"/>
      </tp>
      <tp t="s">
        <v>N/A</v>
        <stp/>
        <stp>PUT_CALL_RATIO</stp>
        <stp>.BZQ201120P12</stp>
        <tr r="C53" s="1"/>
      </tp>
      <tp t="s">
        <v>N/A</v>
        <stp/>
        <stp>VOLUME</stp>
        <stp>.IYE201120P18</stp>
        <tr r="F365" s="1"/>
      </tp>
      <tp t="s">
        <v>N/A</v>
        <stp/>
        <stp>PUT_CALL_RATIO</stp>
        <stp>.EZU201120P42</stp>
        <tr r="C179" s="1"/>
      </tp>
      <tp t="s">
        <v>N/A</v>
        <stp/>
        <stp>STRIKE</stp>
        <stp>.TBF201120P16</stp>
        <tr r="W682" s="1"/>
      </tp>
      <tp t="s">
        <v>N/A</v>
        <stp/>
        <stp>STRIKE</stp>
        <stp>.KBE201120P38</stp>
        <tr r="W387" s="1"/>
      </tp>
      <tp t="s">
        <v>N/A</v>
        <stp/>
        <stp>VOLUME</stp>
        <stp>.IJR201120C80</stp>
        <tr r="F275" s="1"/>
      </tp>
      <tp>
        <v>1</v>
        <stp/>
        <stp>VOLUME</stp>
        <stp>.IYR201120P85</stp>
        <tr r="F372" s="1"/>
      </tp>
      <tp t="s">
        <v>N/A</v>
        <stp/>
        <stp>VOLUME</stp>
        <stp>.IYR201120P84</stp>
        <tr r="F368" s="1"/>
      </tp>
      <tp t="s">
        <v>N/A</v>
        <stp/>
        <stp>RHO</stp>
        <stp>.ITOT201120P80</stp>
        <tr r="Q299" s="1"/>
      </tp>
      <tp t="s">
        <v>N/A</v>
        <stp/>
        <stp>RHO</stp>
        <stp>.ITOT201120P81</stp>
        <tr r="Q301" s="1"/>
      </tp>
      <tp t="s">
        <v>N/A</v>
        <stp/>
        <stp>PROB_OF_TOUCHING</stp>
        <stp>.DXD201120C14</stp>
        <tr r="V92" s="1"/>
      </tp>
      <tp t="s">
        <v>N/A</v>
        <stp/>
        <stp>EXTRINSIC</stp>
        <stp>.AAXJ201120C84</stp>
        <tr r="S5" s="1"/>
      </tp>
      <tp t="s">
        <v>N/A</v>
        <stp/>
        <stp>EXTRINSIC</stp>
        <stp>.ARKK201120P97</stp>
        <tr r="S27" s="1"/>
      </tp>
      <tp t="s">
        <v>N/A</v>
        <stp/>
        <stp>EXTRINSIC</stp>
        <stp>.AAXJ201120C83</stp>
        <tr r="S3" s="1"/>
      </tp>
      <tp t="s">
        <v>N/A</v>
        <stp/>
        <stp>EXTRINSIC</stp>
        <stp>.ARKK201120P99</stp>
        <tr r="S31" s="1"/>
      </tp>
      <tp t="s">
        <v>N/A</v>
        <stp/>
        <stp>EXTRINSIC</stp>
        <stp>.ARKK201120P98</stp>
        <tr r="S29" s="1"/>
      </tp>
      <tp t="s">
        <v>N/A</v>
        <stp/>
        <stp>IMPL_VOL</stp>
        <stp>.VYM201120C87</stp>
        <tr r="D759" s="1"/>
      </tp>
      <tp t="s">
        <v>N/A</v>
        <stp/>
        <stp>IMPL_VOL</stp>
        <stp>.VYM201120C88</stp>
        <tr r="D761" s="1"/>
      </tp>
      <tp t="s">
        <v>N/A</v>
        <stp/>
        <stp>IMPL_VOL</stp>
        <stp>.IYE201120C18</stp>
        <tr r="D364" s="1"/>
      </tp>
      <tp t="s">
        <v>N/A</v>
        <stp/>
        <stp>PROB_OF_EXPIRING</stp>
        <stp>.TAN201120P75</stp>
        <tr r="T671" s="1"/>
      </tp>
      <tp t="s">
        <v>N/A</v>
        <stp/>
        <stp>PROB_OF_EXPIRING</stp>
        <stp>.TAN201120P74</stp>
        <tr r="T667" s="1"/>
      </tp>
      <tp t="s">
        <v>N/A</v>
        <stp/>
        <stp>PROB_OF_EXPIRING</stp>
        <stp>.TAN201120P77</stp>
        <tr r="T679" s="1"/>
      </tp>
      <tp t="s">
        <v>N/A</v>
        <stp/>
        <stp>PROB_OF_EXPIRING</stp>
        <stp>.TAN201120P76</stp>
        <tr r="T675" s="1"/>
      </tp>
      <tp t="s">
        <v>N/A</v>
        <stp/>
        <stp>PROB_OF_EXPIRING</stp>
        <stp>.TAN201120P73</stp>
        <tr r="T663" s="1"/>
      </tp>
      <tp t="s">
        <v>N/A</v>
        <stp/>
        <stp>PROB_OTM</stp>
        <stp>.FEZ201120P40</stp>
        <tr r="U184" s="1"/>
      </tp>
      <tp t="s">
        <v>N/A</v>
        <stp/>
        <stp>PROB_OTM</stp>
        <stp>.VEU201120P55</stp>
        <tr r="U712" s="1"/>
      </tp>
      <tp t="s">
        <v>N/A</v>
        <stp/>
        <stp>PROB_OTM</stp>
        <stp>.DVY201120C91</stp>
        <tr r="U85" s="1"/>
      </tp>
      <tp t="s">
        <v>N/A</v>
        <stp/>
        <stp>PROB_OTM</stp>
        <stp>.DVY201120C92</stp>
        <tr r="U87" s="1"/>
      </tp>
      <tp t="s">
        <v>N/A</v>
        <stp/>
        <stp>PROB_OTM</stp>
        <stp>.DVY201120C93</stp>
        <tr r="U89" s="1"/>
      </tp>
      <tp t="s">
        <v>N/A</v>
        <stp/>
        <stp>PROB_OF_TOUCHING</stp>
        <stp>.FXI201120C47</stp>
        <tr r="V189" s="1"/>
      </tp>
      <tp t="s">
        <v>N/A</v>
        <stp/>
        <stp>PROB_OF_TOUCHING</stp>
        <stp>.FXI201120C48</stp>
        <tr r="V193" s="1"/>
      </tp>
      <tp t="s">
        <v>N/A</v>
        <stp/>
        <stp>PROB_OF_TOUCHING</stp>
        <stp>.PXH201120C19</stp>
        <tr r="V458" s="1"/>
      </tp>
      <tp t="s">
        <v>N/A</v>
        <stp/>
        <stp>PROB_OF_EXPIRING</stp>
        <stp>.KRE201120C47</stp>
        <tr r="T393" s="1"/>
      </tp>
      <tp t="s">
        <v>N/A</v>
        <stp/>
        <stp>PROB_OF_EXPIRING</stp>
        <stp>.KRE201120C46</stp>
        <tr r="T389" s="1"/>
      </tp>
      <tp t="s">
        <v>N/A</v>
        <stp/>
        <stp>PROB_OF_TOUCHING</stp>
        <stp>.PXH201120C20</stp>
        <tr r="V460" s="1"/>
      </tp>
      <tp t="s">
        <v>N/A</v>
        <stp/>
        <stp>IMPL_VOL</stp>
        <stp>.HYG201120C86</stp>
        <tr r="D223" s="1"/>
      </tp>
      <tp t="s">
        <v>N/A</v>
        <stp/>
        <stp>EXTRINSIC</stp>
        <stp>.GDXJ201120C53</stp>
        <tr r="S207" s="1"/>
      </tp>
      <tp t="s">
        <v>N/A</v>
        <stp/>
        <stp>EXTRINSIC</stp>
        <stp>.GDXJ201120C52</stp>
        <tr r="S203" s="1"/>
      </tp>
      <tp t="s">
        <v>N/A</v>
        <stp/>
        <stp>EXTRINSIC</stp>
        <stp>.GDXJ201120C54</stp>
        <tr r="S211" s="1"/>
      </tp>
      <tp t="s">
        <v>N/A</v>
        <stp/>
        <stp>PROB_OTM</stp>
        <stp>.EEM201120P48</stp>
        <tr r="U98" s="1"/>
      </tp>
      <tp t="s">
        <v>N/A</v>
        <stp/>
        <stp>PUT_CALL_RATIO</stp>
        <stp>.SPY201120P359</stp>
        <tr r="C624" s="1"/>
      </tp>
      <tp t="s">
        <v>N/A</v>
        <stp/>
        <stp>PUT_CALL_RATIO</stp>
        <stp>.SPY201120C359</stp>
        <tr r="C623" s="1"/>
      </tp>
      <tp t="s">
        <v>N/A</v>
        <stp/>
        <stp>PUT_CALL_RATIO</stp>
        <stp>.SPY201118P360</stp>
        <tr r="C606" s="1"/>
      </tp>
      <tp t="s">
        <v>N/A</v>
        <stp/>
        <stp>PUT_CALL_RATIO</stp>
        <stp>.SPY201120P358</stp>
        <tr r="C622" s="1"/>
      </tp>
      <tp t="s">
        <v>N/A</v>
        <stp/>
        <stp>PUT_CALL_RATIO</stp>
        <stp>.SPY201118C360</stp>
        <tr r="C605" s="1"/>
      </tp>
      <tp t="s">
        <v>N/A</v>
        <stp/>
        <stp>PUT_CALL_RATIO</stp>
        <stp>.SPY201120C358</stp>
        <tr r="C621" s="1"/>
      </tp>
      <tp t="s">
        <v>N/A</v>
        <stp/>
        <stp>PUT_CALL_RATIO</stp>
        <stp>.SPY201120P355</stp>
        <tr r="C614" s="1"/>
      </tp>
      <tp t="s">
        <v>N/A</v>
        <stp/>
        <stp>PUT_CALL_RATIO</stp>
        <stp>.SPY201120C355</stp>
        <tr r="C613" s="1"/>
      </tp>
      <tp t="s">
        <v>N/A</v>
        <stp/>
        <stp>PUT_CALL_RATIO</stp>
        <stp>.SPY201120P354</stp>
        <tr r="C612" s="1"/>
      </tp>
      <tp t="s">
        <v>N/A</v>
        <stp/>
        <stp>PUT_CALL_RATIO</stp>
        <stp>.SPY201120C354</stp>
        <tr r="C611" s="1"/>
      </tp>
      <tp t="s">
        <v>N/A</v>
        <stp/>
        <stp>PUT_CALL_RATIO</stp>
        <stp>.SPY201120P357</stp>
        <tr r="C618" s="1"/>
      </tp>
      <tp t="s">
        <v>N/A</v>
        <stp/>
        <stp>PUT_CALL_RATIO</stp>
        <stp>.SPY201120C357</stp>
        <tr r="C617" s="1"/>
      </tp>
      <tp t="s">
        <v>N/A</v>
        <stp/>
        <stp>PUT_CALL_RATIO</stp>
        <stp>.SPY201120P356</stp>
        <tr r="C616" s="1"/>
      </tp>
      <tp t="s">
        <v>N/A</v>
        <stp/>
        <stp>PUT_CALL_RATIO</stp>
        <stp>.SPY201120C356</stp>
        <tr r="C615" s="1"/>
      </tp>
      <tp t="s">
        <v>N/A</v>
        <stp/>
        <stp>PUT_CALL_RATIO</stp>
        <stp>.SPY201120P353</stp>
        <tr r="C610" s="1"/>
      </tp>
      <tp t="s">
        <v>N/A</v>
        <stp/>
        <stp>PUT_CALL_RATIO</stp>
        <stp>.SPY201120C353</stp>
        <tr r="C609" s="1"/>
      </tp>
      <tp t="s">
        <v>N/A</v>
        <stp/>
        <stp>STRIKE</stp>
        <stp>.RSP201120C120</stp>
        <tr r="W510" s="1"/>
      </tp>
      <tp t="s">
        <v>N/A</v>
        <stp/>
        <stp>STRIKE</stp>
        <stp>.RSP201120P120</stp>
        <tr r="W511" s="1"/>
      </tp>
      <tp t="s">
        <v>N/A</v>
        <stp/>
        <stp>STRIKE</stp>
        <stp>.TIP201120P125</stp>
        <tr r="W688" s="1"/>
      </tp>
      <tp t="s">
        <v>N/A</v>
        <stp/>
        <stp>STRIKE</stp>
        <stp>.TIP201120C125</stp>
        <tr r="W687" s="1"/>
      </tp>
      <tp t="s">
        <v>N/A</v>
        <stp/>
        <stp>STRIKE</stp>
        <stp>.RSP201120C119</stp>
        <tr r="W508" s="1"/>
      </tp>
      <tp t="s">
        <v>N/A</v>
        <stp/>
        <stp>STRIKE</stp>
        <stp>.RSP201120P119</stp>
        <tr r="W509" s="1"/>
      </tp>
      <tp t="s">
        <v>N/A</v>
        <stp/>
        <stp>STRIKE</stp>
        <stp>.RSP201120C118</stp>
        <tr r="W506" s="1"/>
      </tp>
      <tp t="s">
        <v>N/A</v>
        <stp/>
        <stp>STRIKE</stp>
        <stp>.RSP201120P118</stp>
        <tr r="W507" s="1"/>
      </tp>
      <tp t="s">
        <v>N/A</v>
        <stp/>
        <stp>PUT_CALL_RATIO</stp>
        <stp>.SPY201118P355</stp>
        <tr r="C596" s="1"/>
      </tp>
      <tp t="s">
        <v>N/A</v>
        <stp/>
        <stp>PUT_CALL_RATIO</stp>
        <stp>.SPY201118C355</stp>
        <tr r="C595" s="1"/>
      </tp>
      <tp t="s">
        <v>N/A</v>
        <stp/>
        <stp>PUT_CALL_RATIO</stp>
        <stp>.SPY201118P354</stp>
        <tr r="C594" s="1"/>
      </tp>
      <tp t="s">
        <v>N/A</v>
        <stp/>
        <stp>PUT_CALL_RATIO</stp>
        <stp>.SPY201118C354</stp>
        <tr r="C593" s="1"/>
      </tp>
      <tp t="s">
        <v>N/A</v>
        <stp/>
        <stp>PUT_CALL_RATIO</stp>
        <stp>.SPY201118P357</stp>
        <tr r="C600" s="1"/>
      </tp>
      <tp t="s">
        <v>N/A</v>
        <stp/>
        <stp>PUT_CALL_RATIO</stp>
        <stp>.SPY201118C357</stp>
        <tr r="C599" s="1"/>
      </tp>
      <tp t="s">
        <v>N/A</v>
        <stp/>
        <stp>PUT_CALL_RATIO</stp>
        <stp>.SPY201118P356</stp>
        <tr r="C598" s="1"/>
      </tp>
      <tp t="s">
        <v>N/A</v>
        <stp/>
        <stp>PUT_CALL_RATIO</stp>
        <stp>.SPY201118C356</stp>
        <tr r="C597" s="1"/>
      </tp>
      <tp t="s">
        <v>N/A</v>
        <stp/>
        <stp>PUT_CALL_RATIO</stp>
        <stp>.SPY201118P353</stp>
        <tr r="C592" s="1"/>
      </tp>
      <tp t="s">
        <v>N/A</v>
        <stp/>
        <stp>PUT_CALL_RATIO</stp>
        <stp>.SPY201118C353</stp>
        <tr r="C591" s="1"/>
      </tp>
      <tp t="s">
        <v>N/A</v>
        <stp/>
        <stp>PUT_CALL_RATIO</stp>
        <stp>.SPY201118P359</stp>
        <tr r="C604" s="1"/>
      </tp>
      <tp t="s">
        <v>N/A</v>
        <stp/>
        <stp>PUT_CALL_RATIO</stp>
        <stp>.SPY201120P361</stp>
        <tr r="C628" s="1"/>
      </tp>
      <tp t="s">
        <v>N/A</v>
        <stp/>
        <stp>PUT_CALL_RATIO</stp>
        <stp>.SPY201118C359</stp>
        <tr r="C603" s="1"/>
      </tp>
      <tp t="s">
        <v>N/A</v>
        <stp/>
        <stp>PUT_CALL_RATIO</stp>
        <stp>.SPY201120C361</stp>
        <tr r="C627" s="1"/>
      </tp>
      <tp t="s">
        <v>N/A</v>
        <stp/>
        <stp>PUT_CALL_RATIO</stp>
        <stp>.SPY201118P358</stp>
        <tr r="C602" s="1"/>
      </tp>
      <tp t="s">
        <v>N/A</v>
        <stp/>
        <stp>PUT_CALL_RATIO</stp>
        <stp>.SPY201120P360</stp>
        <tr r="C626" s="1"/>
      </tp>
      <tp t="s">
        <v>N/A</v>
        <stp/>
        <stp>PUT_CALL_RATIO</stp>
        <stp>.SPY201118C358</stp>
        <tr r="C601" s="1"/>
      </tp>
      <tp t="s">
        <v>N/A</v>
        <stp/>
        <stp>PUT_CALL_RATIO</stp>
        <stp>.SPY201120C360</stp>
        <tr r="C625" s="1"/>
      </tp>
      <tp t="s">
        <v>N/A</v>
        <stp/>
        <stp>PUT_CALL_RATIO</stp>
        <stp>.MDY201120C380</stp>
        <tr r="C415" s="1"/>
      </tp>
      <tp t="s">
        <v>N/A</v>
        <stp/>
        <stp>PUT_CALL_RATIO</stp>
        <stp>.MDY201120P380</stp>
        <tr r="C416" s="1"/>
      </tp>
      <tp t="s">
        <v>N/A</v>
        <stp/>
        <stp>PUT_CALL_RATIO</stp>
        <stp>.MDY201120C385</stp>
        <tr r="C419" s="1"/>
      </tp>
      <tp t="s">
        <v>N/A</v>
        <stp/>
        <stp>PUT_CALL_RATIO</stp>
        <stp>.MDY201120P385</stp>
        <tr r="C420" s="1"/>
      </tp>
      <tp t="s">
        <v>N/A</v>
        <stp/>
        <stp>IMPL_VOL</stp>
        <stp>.IJR201120P80</stp>
        <tr r="D276" s="1"/>
      </tp>
      <tp t="s">
        <v>N/A</v>
        <stp/>
        <stp>OPEN_INT</stp>
        <stp>.SCZ201120C63</stp>
        <tr r="G535" s="1"/>
      </tp>
      <tp t="s">
        <v>N/A</v>
        <stp/>
        <stp>IMPL_VOL</stp>
        <stp>.IYR201120C84</stp>
        <tr r="D367" s="1"/>
      </tp>
      <tp t="s">
        <v>N/A</v>
        <stp/>
        <stp>IMPL_VOL</stp>
        <stp>.IYR201120C85</stp>
        <tr r="D371" s="1"/>
      </tp>
      <tp t="s">
        <v>N/A</v>
        <stp/>
        <stp>PROB_OTM</stp>
        <stp>.VEA201120P44</stp>
        <tr r="U709" s="1"/>
      </tp>
      <tp t="s">
        <v>N/A</v>
        <stp/>
        <stp>PROB_OF_EXPIRING</stp>
        <stp>.XRT201120C55</stp>
        <tr r="T907" s="1"/>
      </tp>
      <tp t="s">
        <v>N/A</v>
        <stp/>
        <stp>PROB_OF_EXPIRING</stp>
        <stp>.XRT201120C54</stp>
        <tr r="T903" s="1"/>
      </tp>
      <tp t="s">
        <v>N/A</v>
        <stp/>
        <stp>PROB_OTM</stp>
        <stp>.FVD201120C35</stp>
        <tr r="U186" s="1"/>
      </tp>
      <tp t="s">
        <v>N/A</v>
        <stp/>
        <stp>PROB_OF_EXPIRING</stp>
        <stp>.DRIP201120P45</stp>
        <tr r="T83" s="1"/>
      </tp>
      <tp>
        <v>3.15</v>
        <stp/>
        <stp>ASK</stp>
        <stp>.SMH201120P192.5</stp>
        <tr r="I553" s="1"/>
      </tp>
      <tp t="s">
        <v>N/A</v>
        <stp/>
        <stp>PROB_OF_TOUCHING</stp>
        <stp>.PDBC201120P14</stp>
        <tr r="V453" s="1"/>
      </tp>
      <tp>
        <v>1.69</v>
        <stp/>
        <stp>ASK</stp>
        <stp>.XLK201120P119.5</stp>
        <tr r="I826" s="1"/>
      </tp>
      <tp>
        <v>0.38</v>
        <stp/>
        <stp>ASK</stp>
        <stp>.TLT201120P155.5</stp>
        <tr r="I693" s="1"/>
      </tp>
      <tp>
        <v>1.8</v>
        <stp/>
        <stp>BID</stp>
        <stp>.IWM201120C172.5</stp>
        <tr r="H352" s="1"/>
      </tp>
      <tp t="s">
        <v>N/A</v>
        <stp/>
        <stp>PROB_OTM</stp>
        <stp>.IEMG201120C58</stp>
        <tr r="U259" s="1"/>
      </tp>
      <tp t="s">
        <v>N/A</v>
        <stp/>
        <stp>PROB_OTM</stp>
        <stp>.IEMG201120C57</stp>
        <tr r="U257" s="1"/>
      </tp>
      <tp>
        <v>455</v>
        <stp/>
        <stp>OPEN_INT</stp>
        <stp>.XLRE201120C37</stp>
        <tr r="G847" s="1"/>
      </tp>
      <tp t="s">
        <v>N/A</v>
        <stp/>
        <stp>PROB_OF_EXPIRING</stp>
        <stp>.VGIT201120P70</stp>
        <tr r="T720" s="1"/>
      </tp>
      <tp t="s">
        <v>N/A</v>
        <stp/>
        <stp>PROB_OF_EXPIRING</stp>
        <stp>.VCIT201120P96</stp>
        <tr r="T703" s="1"/>
      </tp>
      <tp t="s">
        <v>N/A</v>
        <stp/>
        <stp>DESCRIPTION</stp>
        <stp>.IBB201120P138.5</stp>
        <tr r="B232" s="1"/>
      </tp>
      <tp>
        <v>58</v>
        <stp/>
        <stp>OPEN_INT</stp>
        <stp>.DGRO201120C43</stp>
        <tr r="G60" s="1"/>
      </tp>
      <tp t="s">
        <v>N/A</v>
        <stp/>
        <stp>THETA</stp>
        <stp>.AMLP201120C23.5</stp>
        <tr r="O21" s="1"/>
      </tp>
      <tp t="s">
        <v>N/A</v>
        <stp/>
        <stp>THETA</stp>
        <stp>.AMLP201120P23.5</stp>
        <tr r="O22" s="1"/>
      </tp>
      <tp t="s">
        <v>N/A</v>
        <stp/>
        <stp>RHO</stp>
        <stp>.MDY201120P387.5</stp>
        <tr r="Q422" s="1"/>
      </tp>
      <tp>
        <v>5.22</v>
        <stp/>
        <stp>ASK</stp>
        <stp>.SPY201120C352.5</stp>
        <tr r="I607" s="1"/>
      </tp>
      <tp t="s">
        <v>N/A</v>
        <stp/>
        <stp>PROB_OF_EXPIRING</stp>
        <stp>.IGIB201120P61</stp>
        <tr r="T263" s="1"/>
      </tp>
      <tp t="s">
        <v>N/A</v>
        <stp/>
        <stp>IMPL_VOL</stp>
        <stp>.JETS201120C20</stp>
        <tr r="D378" s="1"/>
      </tp>
      <tp>
        <v>2.8</v>
        <stp/>
        <stp>ASK</stp>
        <stp>.XLK201120C119.5</stp>
        <tr r="I825" s="1"/>
      </tp>
      <tp>
        <v>3.3</v>
        <stp/>
        <stp>ASK</stp>
        <stp>.TLT201120C155.5</stp>
        <tr r="I692" s="1"/>
      </tp>
      <tp>
        <v>3.95</v>
        <stp/>
        <stp>ASK</stp>
        <stp>.SMH201120C192.5</stp>
        <tr r="I552" s="1"/>
      </tp>
      <tp t="s">
        <v>N/A</v>
        <stp/>
        <stp>PROB_OTM</stp>
        <stp>.USMV201120C67</stp>
        <tr r="U699" s="1"/>
      </tp>
      <tp>
        <v>4.2300000000000004</v>
        <stp/>
        <stp>BID</stp>
        <stp>.IWM201120P172.5</stp>
        <tr r="H353" s="1"/>
      </tp>
      <tp t="s">
        <v>N/A</v>
        <stp/>
        <stp>DESCRIPTION</stp>
        <stp>.IBB201120C138.5</stp>
        <tr r="B231" s="1"/>
      </tp>
      <tp t="s">
        <v>N/A</v>
        <stp/>
        <stp>PROB_OF_EXPIRING</stp>
        <stp>.NAIL201120P44</stp>
        <tr r="T440" s="1"/>
      </tp>
      <tp t="s">
        <v>N/A</v>
        <stp/>
        <stp>PROB_OF_EXPIRING</stp>
        <stp>.NAIL201120P45</stp>
        <tr r="T442" s="1"/>
      </tp>
      <tp t="s">
        <v>N/A</v>
        <stp/>
        <stp>PROB_OF_EXPIRING</stp>
        <stp>.NAIL201120P46</stp>
        <tr r="T444" s="1"/>
      </tp>
      <tp t="s">
        <v>N/A</v>
        <stp/>
        <stp>PROB_OF_EXPIRING</stp>
        <stp>.NAIL201120P47</stp>
        <tr r="T446" s="1"/>
      </tp>
      <tp t="s">
        <v>N/A</v>
        <stp/>
        <stp>PROB_OF_EXPIRING</stp>
        <stp>.NAIL201120P48</stp>
        <tr r="T448" s="1"/>
      </tp>
      <tp t="s">
        <v>N/A</v>
        <stp/>
        <stp>PROB_OF_EXPIRING</stp>
        <stp>.NAIL201120P49</stp>
        <tr r="T450" s="1"/>
      </tp>
      <tp t="s">
        <v>N/A</v>
        <stp/>
        <stp>DELTA</stp>
        <stp>.AMLP201120C23.5</stp>
        <tr r="M21" s="1"/>
      </tp>
      <tp t="s">
        <v>N/A</v>
        <stp/>
        <stp>DELTA</stp>
        <stp>.AMLP201120P23.5</stp>
        <tr r="M22" s="1"/>
      </tp>
      <tp>
        <v>3.89</v>
        <stp/>
        <stp>ASK</stp>
        <stp>.SPY201120P352.5</stp>
        <tr r="I608" s="1"/>
      </tp>
      <tp t="s">
        <v>N/A</v>
        <stp/>
        <stp>RHO</stp>
        <stp>.MDY201120C387.5</stp>
        <tr r="Q421" s="1"/>
      </tp>
      <tp t="s">
        <v>N/A</v>
        <stp/>
        <stp>DELTA</stp>
        <stp>.IBB201120C138.5</stp>
        <tr r="M231" s="1"/>
      </tp>
      <tp t="s">
        <v>N/A</v>
        <stp/>
        <stp>THETA</stp>
        <stp>.EZU201120C42</stp>
        <tr r="O178" s="1"/>
      </tp>
      <tp t="s">
        <v>N/A</v>
        <stp/>
        <stp>THETA</stp>
        <stp>.IBB201120P138.5</stp>
        <tr r="O232" s="1"/>
      </tp>
      <tp t="s">
        <v>N/A</v>
        <stp/>
        <stp>THETA</stp>
        <stp>.BZQ201120C12</stp>
        <tr r="O52" s="1"/>
      </tp>
      <tp t="s">
        <v>N/A</v>
        <stp/>
        <stp>DELTA</stp>
        <stp>.IJR201120C80</stp>
        <tr r="M275" s="1"/>
      </tp>
      <tp t="s">
        <v>N/A</v>
        <stp/>
        <stp>DELTA</stp>
        <stp>.IYR201120P85</stp>
        <tr r="M372" s="1"/>
      </tp>
      <tp t="s">
        <v>N/A</v>
        <stp/>
        <stp>DELTA</stp>
        <stp>.IYR201120P84</stp>
        <tr r="M368" s="1"/>
      </tp>
      <tp t="s">
        <v>N/A</v>
        <stp/>
        <stp>DESCRIPTION</stp>
        <stp>.AMLP201120C23.5</stp>
        <tr r="B21" s="1"/>
      </tp>
      <tp t="s">
        <v>N/A</v>
        <stp/>
        <stp>DESCRIPTION</stp>
        <stp>.AMLP201120P23.5</stp>
        <tr r="B22" s="1"/>
      </tp>
      <tp t="s">
        <v>N/A</v>
        <stp/>
        <stp>GAMMA</stp>
        <stp>.BZQ201120P12</stp>
        <tr r="N53" s="1"/>
      </tp>
      <tp t="s">
        <v>N/A</v>
        <stp/>
        <stp>GAMMA</stp>
        <stp>.EZU201120P42</stp>
        <tr r="N179" s="1"/>
      </tp>
      <tp t="s">
        <v>N/A</v>
        <stp/>
        <stp>GAMMA</stp>
        <stp>.XLV201120C110.5</stp>
        <tr r="N859" s="1"/>
      </tp>
      <tp t="s">
        <v>N/A</v>
        <stp/>
        <stp>GAMMA</stp>
        <stp>.XLK201120C120.5</stp>
        <tr r="N829" s="1"/>
      </tp>
      <tp t="s">
        <v>N/A</v>
        <stp/>
        <stp>INTRINSIC</stp>
        <stp>.SH201120P19</stp>
        <tr r="R544" s="1"/>
      </tp>
      <tp t="s">
        <v>N/A</v>
        <stp/>
        <stp>THETA</stp>
        <stp>.IBB201120C138.5</stp>
        <tr r="O231" s="1"/>
      </tp>
      <tp t="s">
        <v>N/A</v>
        <stp/>
        <stp>DELTA</stp>
        <stp>.HYG201120P86</stp>
        <tr r="M224" s="1"/>
      </tp>
      <tp>
        <v>44.71</v>
        <stp/>
        <stp>HIGH</stp>
        <stp>SHYG</stp>
        <tr r="J548" s="1"/>
      </tp>
      <tp t="s">
        <v>N/A</v>
        <stp/>
        <stp>DELTA</stp>
        <stp>.IBB201120P138.5</stp>
        <tr r="M232" s="1"/>
      </tp>
      <tp>
        <v>0</v>
        <stp/>
        <stp>GAMMA</stp>
        <stp>BZQ</stp>
        <tr r="N51" s="1"/>
      </tp>
      <tp>
        <v>0</v>
        <stp/>
        <stp>THETA</stp>
        <stp>JNK</stp>
        <tr r="O380" s="1"/>
      </tp>
      <tp>
        <v>0</v>
        <stp/>
        <stp>VEGA</stp>
        <stp>SHYG</stp>
        <tr r="P548" s="1"/>
      </tp>
      <tp t="s">
        <v>N/A</v>
        <stp/>
        <stp>DELTA</stp>
        <stp>.IYE201120P18</stp>
        <tr r="M365" s="1"/>
      </tp>
      <tp t="s">
        <v>N/A</v>
        <stp/>
        <stp>DELTA</stp>
        <stp>.VYM201120P88</stp>
        <tr r="M762" s="1"/>
      </tp>
      <tp t="s">
        <v>N/A</v>
        <stp/>
        <stp>DELTA</stp>
        <stp>.VYM201120P87</stp>
        <tr r="M760" s="1"/>
      </tp>
      <tp t="s">
        <v>N/A</v>
        <stp/>
        <stp>EXTRINSIC</stp>
        <stp>.SH201120P19</stp>
        <tr r="S544" s="1"/>
      </tp>
      <tp t="s">
        <v>N/A</v>
        <stp/>
        <stp>GAMMA</stp>
        <stp>.XLV201120P110.5</stp>
        <tr r="N860" s="1"/>
      </tp>
      <tp t="s">
        <v>N/A</v>
        <stp/>
        <stp>GAMMA</stp>
        <stp>.XLK201120P120.5</stp>
        <tr r="N830" s="1"/>
      </tp>
      <tp t="s">
        <v>N/A</v>
        <stp/>
        <stp>RHO</stp>
        <stp>.HYLB201120P49</stp>
        <tr r="Q227" s="1"/>
      </tp>
      <tp t="s">
        <v>N/A</v>
        <stp/>
        <stp>DESCRIPTION</stp>
        <stp>.GUSH201120P27</stp>
        <tr r="B217" s="1"/>
      </tp>
      <tp t="s">
        <v>N/A</v>
        <stp/>
        <stp>DESCRIPTION</stp>
        <stp>.GUSH201120P26</stp>
        <tr r="B215" s="1"/>
      </tp>
      <tp t="s">
        <v>N/A</v>
        <stp/>
        <stp>DESCRIPTION</stp>
        <stp>.GUSH201120P28</stp>
        <tr r="B219" s="1"/>
      </tp>
      <tp t="s">
        <v>N/A</v>
        <stp/>
        <stp>BID</stp>
        <stp>.AMLP201120P24</stp>
        <tr r="H24" s="1"/>
      </tp>
      <tp t="s">
        <v>N/A</v>
        <stp/>
        <stp>BID</stp>
        <stp>.AMLP201120P23</stp>
        <tr r="H20" s="1"/>
      </tp>
      <tp t="s">
        <v>N/A</v>
        <stp/>
        <stp>BID</stp>
        <stp>.SPLV201120P55</stp>
        <tr r="H589" s="1"/>
      </tp>
      <tp t="s">
        <v>N/A</v>
        <stp/>
        <stp>RHO</stp>
        <stp>.SPLG201120P42</stp>
        <tr r="Q586" s="1"/>
      </tp>
      <tp t="s">
        <v>N/A</v>
        <stp/>
        <stp>ASK</stp>
        <stp>.SPLV201120P55</stp>
        <tr r="I589" s="1"/>
      </tp>
      <tp t="s">
        <v>N/A</v>
        <stp/>
        <stp>RHO</stp>
        <stp>.EMLC201120P32</stp>
        <tr r="Q116" s="1"/>
      </tp>
      <tp t="s">
        <v>N/A</v>
        <stp/>
        <stp>PUT_CALL_RATIO</stp>
        <stp>.IJR201120C80</stp>
        <tr r="C275" s="1"/>
      </tp>
      <tp t="s">
        <v>N/A</v>
        <stp/>
        <stp>STRIKE</stp>
        <stp>.XRT201120C55</stp>
        <tr r="W907" s="1"/>
      </tp>
      <tp t="s">
        <v>N/A</v>
        <stp/>
        <stp>STRIKE</stp>
        <stp>.XRT201120C54</stp>
        <tr r="W903" s="1"/>
      </tp>
      <tp t="s">
        <v>N/A</v>
        <stp/>
        <stp>PUT_CALL_RATIO</stp>
        <stp>.IYR201120P85</stp>
        <tr r="C372" s="1"/>
      </tp>
      <tp t="s">
        <v>N/A</v>
        <stp/>
        <stp>PUT_CALL_RATIO</stp>
        <stp>.IYR201120P84</stp>
        <tr r="C368" s="1"/>
      </tp>
      <tp t="s">
        <v>N/A</v>
        <stp/>
        <stp>ASK</stp>
        <stp>.AMLP201120P24</stp>
        <tr r="I24" s="1"/>
      </tp>
      <tp t="s">
        <v>N/A</v>
        <stp/>
        <stp>ASK</stp>
        <stp>.AMLP201120P23</stp>
        <tr r="I20" s="1"/>
      </tp>
      <tp t="s">
        <v>N/A</v>
        <stp/>
        <stp>RHO</stp>
        <stp>.ICLN201120P22</stp>
        <tr r="Q247" s="1"/>
      </tp>
      <tp t="s">
        <v>N/A</v>
        <stp/>
        <stp>LOW</stp>
        <stp>.AMLP201120P23</stp>
        <tr r="K20" s="1"/>
      </tp>
      <tp t="s">
        <v>N/A</v>
        <stp/>
        <stp>LOW</stp>
        <stp>.AMLP201120P24</stp>
        <tr r="K24" s="1"/>
      </tp>
      <tp t="s">
        <v>N/A</v>
        <stp/>
        <stp>RHO</stp>
        <stp>.BKLN201120P22</stp>
        <tr r="Q50" s="1"/>
      </tp>
      <tp t="s">
        <v>N/A</v>
        <stp/>
        <stp>LOW</stp>
        <stp>.SPLV201120P55</stp>
        <tr r="K589" s="1"/>
      </tp>
      <tp t="s">
        <v>N/A</v>
        <stp/>
        <stp>BID</stp>
        <stp>.HYLB201120P49</stp>
        <tr r="H227" s="1"/>
      </tp>
      <tp t="s">
        <v>N/A</v>
        <stp/>
        <stp>ASK</stp>
        <stp>.HYLB201120P49</stp>
        <tr r="I227" s="1"/>
      </tp>
      <tp t="s">
        <v>N/A</v>
        <stp/>
        <stp>PUT_CALL_RATIO</stp>
        <stp>.HYG201120P86</stp>
        <tr r="C224" s="1"/>
      </tp>
      <tp t="s">
        <v>N/A</v>
        <stp/>
        <stp>DESCRIPTION</stp>
        <stp>.QUAL201120C111</stp>
        <tr r="B501" s="1"/>
      </tp>
      <tp t="s">
        <v>N/A</v>
        <stp/>
        <stp>DESCRIPTION</stp>
        <stp>.QUAL201120P111</stp>
        <tr r="B502" s="1"/>
      </tp>
      <tp t="s">
        <v>N/A</v>
        <stp/>
        <stp>DESCRIPTION</stp>
        <stp>.QUAL201120C110</stp>
        <tr r="B499" s="1"/>
      </tp>
      <tp t="s">
        <v>N/A</v>
        <stp/>
        <stp>DESCRIPTION</stp>
        <stp>.QUAL201120P110</stp>
        <tr r="B500" s="1"/>
      </tp>
      <tp t="s">
        <v>N/A</v>
        <stp/>
        <stp>DESCRIPTION</stp>
        <stp>.QUAL201120C112</stp>
        <tr r="B503" s="1"/>
      </tp>
      <tp t="s">
        <v>N/A</v>
        <stp/>
        <stp>DESCRIPTION</stp>
        <stp>.QUAL201120P112</stp>
        <tr r="B504" s="1"/>
      </tp>
      <tp t="s">
        <v>N/A</v>
        <stp/>
        <stp>LOW</stp>
        <stp>.ICLN201120P22</stp>
        <tr r="K247" s="1"/>
      </tp>
      <tp t="s">
        <v>N/A</v>
        <stp/>
        <stp>LOW</stp>
        <stp>.BKLN201120P22</stp>
        <tr r="K50" s="1"/>
      </tp>
      <tp t="s">
        <v>N/A</v>
        <stp/>
        <stp>RHO</stp>
        <stp>.AMLP201120P24</stp>
        <tr r="Q24" s="1"/>
      </tp>
      <tp t="s">
        <v>N/A</v>
        <stp/>
        <stp>RHO</stp>
        <stp>.AMLP201120P23</stp>
        <tr r="Q20" s="1"/>
      </tp>
      <tp t="s">
        <v>N/A</v>
        <stp/>
        <stp>ASK</stp>
        <stp>.EMLC201120P32</stp>
        <tr r="I116" s="1"/>
      </tp>
      <tp t="s">
        <v>N/A</v>
        <stp/>
        <stp>RHO</stp>
        <stp>.SPLV201120P55</stp>
        <tr r="Q589" s="1"/>
      </tp>
      <tp t="s">
        <v>N/A</v>
        <stp/>
        <stp>BID</stp>
        <stp>.SPLG201120P42</stp>
        <tr r="H586" s="1"/>
      </tp>
      <tp t="s">
        <v>N/A</v>
        <stp/>
        <stp>ASK</stp>
        <stp>.SPLG201120P42</stp>
        <tr r="I586" s="1"/>
      </tp>
      <tp t="s">
        <v>N/A</v>
        <stp/>
        <stp>BID</stp>
        <stp>.EMLC201120P32</stp>
        <tr r="H116" s="1"/>
      </tp>
      <tp t="s">
        <v>N/A</v>
        <stp/>
        <stp>STRIKE</stp>
        <stp>.KRE201120C47</stp>
        <tr r="W393" s="1"/>
      </tp>
      <tp t="s">
        <v>N/A</v>
        <stp/>
        <stp>STRIKE</stp>
        <stp>.KRE201120C46</stp>
        <tr r="W389" s="1"/>
      </tp>
      <tp t="s">
        <v>N/A</v>
        <stp/>
        <stp>LOW</stp>
        <stp>.EMLC201120P32</stp>
        <tr r="K116" s="1"/>
      </tp>
      <tp t="s">
        <v>N/A</v>
        <stp/>
        <stp>VOLUME</stp>
        <stp>.EZU201120P42</stp>
        <tr r="F179" s="1"/>
      </tp>
      <tp t="s">
        <v>N/A</v>
        <stp/>
        <stp>PUT_CALL_RATIO</stp>
        <stp>.IYE201120P18</stp>
        <tr r="C365" s="1"/>
      </tp>
      <tp t="s">
        <v>N/A</v>
        <stp/>
        <stp>ASK</stp>
        <stp>.BKLN201120P22</stp>
        <tr r="I50" s="1"/>
      </tp>
      <tp t="s">
        <v>N/A</v>
        <stp/>
        <stp>ASK</stp>
        <stp>.ICLN201120P22</stp>
        <tr r="I247" s="1"/>
      </tp>
      <tp t="s">
        <v>N/A</v>
        <stp/>
        <stp>VOLUME</stp>
        <stp>.BZQ201120P12</stp>
        <tr r="F53" s="1"/>
      </tp>
      <tp t="s">
        <v>N/A</v>
        <stp/>
        <stp>PUT_CALL_RATIO</stp>
        <stp>.VYM201120P87</stp>
        <tr r="C760" s="1"/>
      </tp>
      <tp t="s">
        <v>N/A</v>
        <stp/>
        <stp>PUT_CALL_RATIO</stp>
        <stp>.VYM201120P88</stp>
        <tr r="C762" s="1"/>
      </tp>
      <tp t="s">
        <v>N/A</v>
        <stp/>
        <stp>BID</stp>
        <stp>.ICLN201120P22</stp>
        <tr r="H247" s="1"/>
      </tp>
      <tp t="s">
        <v>N/A</v>
        <stp/>
        <stp>BID</stp>
        <stp>.BKLN201120P22</stp>
        <tr r="H50" s="1"/>
      </tp>
      <tp t="s">
        <v>N/A</v>
        <stp/>
        <stp>LOW</stp>
        <stp>.SPLG201120P42</stp>
        <tr r="K586" s="1"/>
      </tp>
      <tp t="s">
        <v>N/A</v>
        <stp/>
        <stp>LOW</stp>
        <stp>.HYLB201120P49</stp>
        <tr r="K227" s="1"/>
      </tp>
      <tp t="s">
        <v>N/A</v>
        <stp/>
        <stp>STRIKE</stp>
        <stp>.TAN201120P77</stp>
        <tr r="W679" s="1"/>
      </tp>
      <tp t="s">
        <v>N/A</v>
        <stp/>
        <stp>STRIKE</stp>
        <stp>.TAN201120P76</stp>
        <tr r="W675" s="1"/>
      </tp>
      <tp t="s">
        <v>N/A</v>
        <stp/>
        <stp>STRIKE</stp>
        <stp>.TAN201120P75</stp>
        <tr r="W671" s="1"/>
      </tp>
      <tp t="s">
        <v>N/A</v>
        <stp/>
        <stp>STRIKE</stp>
        <stp>.TAN201120P74</stp>
        <tr r="W667" s="1"/>
      </tp>
      <tp t="s">
        <v>N/A</v>
        <stp/>
        <stp>STRIKE</stp>
        <stp>.TAN201120P73</stp>
        <tr r="W663" s="1"/>
      </tp>
      <tp>
        <v>15</v>
        <stp/>
        <stp>OPEN_INT</stp>
        <stp>.SSO201120P81</stp>
        <tr r="G644" s="1"/>
      </tp>
      <tp t="s">
        <v>N/A</v>
        <stp/>
        <stp>OPEN_INT</stp>
        <stp>.SSO201120P82</stp>
        <tr r="G648" s="1"/>
      </tp>
      <tp t="s">
        <v>N/A</v>
        <stp/>
        <stp>OPEN_INT</stp>
        <stp>.SSO201120P83</stp>
        <tr r="G652" s="1"/>
      </tp>
      <tp>
        <v>5</v>
        <stp/>
        <stp>OPEN_INT</stp>
        <stp>.SSO201120P84</stp>
        <tr r="G656" s="1"/>
      </tp>
      <tp t="s">
        <v>N/A</v>
        <stp/>
        <stp>EXTRINSIC</stp>
        <stp>.MCHI201120P80</stp>
        <tr r="S413" s="1"/>
      </tp>
      <tp t="s">
        <v>N/A</v>
        <stp/>
        <stp>PROB_OF_TOUCHING</stp>
        <stp>.XHB201120P56</stp>
        <tr r="V786" s="1"/>
      </tp>
      <tp t="s">
        <v>N/A</v>
        <stp/>
        <stp>PROB_OF_TOUCHING</stp>
        <stp>.XHB201120P55</stp>
        <tr r="V782" s="1"/>
      </tp>
      <tp t="s">
        <v>N/A</v>
        <stp/>
        <stp>INTRINSIC</stp>
        <stp>.IEMG201120C58</stp>
        <tr r="R259" s="1"/>
      </tp>
      <tp t="s">
        <v>N/A</v>
        <stp/>
        <stp>INTRINSIC</stp>
        <stp>.IEMG201120C57</stp>
        <tr r="R257" s="1"/>
      </tp>
      <tp t="s">
        <v>N/A</v>
        <stp/>
        <stp>EXTRINSIC</stp>
        <stp>.SCHD201120P62</stp>
        <tr r="S524" s="1"/>
      </tp>
      <tp t="s">
        <v>N/A</v>
        <stp/>
        <stp>EXTRINSIC</stp>
        <stp>.SCHD201120P61</stp>
        <tr r="S522" s="1"/>
      </tp>
      <tp t="s">
        <v>N/A</v>
        <stp/>
        <stp>EXTRINSIC</stp>
        <stp>.SCHF201120P34</stp>
        <tr r="S530" s="1"/>
      </tp>
      <tp t="s">
        <v>N/A</v>
        <stp/>
        <stp>EXTRINSIC</stp>
        <stp>.SPHD201120P36</stp>
        <tr r="S583" s="1"/>
      </tp>
      <tp t="s">
        <v>N/A</v>
        <stp/>
        <stp>EXTRINSIC</stp>
        <stp>.SCHE201120P29</stp>
        <tr r="S527" s="1"/>
      </tp>
      <tp t="s">
        <v>N/A</v>
        <stp/>
        <stp>PROB_OF_EXPIRING</stp>
        <stp>.TBF201120P16</stp>
        <tr r="T682" s="1"/>
      </tp>
      <tp>
        <v>37</v>
        <stp/>
        <stp>VOLUME</stp>
        <stp>.VOO201120C330</stp>
        <tr r="F732" s="1"/>
      </tp>
      <tp t="s">
        <v>N/A</v>
        <stp/>
        <stp>VOLUME</stp>
        <stp>.VOO201120P330</stp>
        <tr r="F733" s="1"/>
      </tp>
      <tp t="s">
        <v>N/A</v>
        <stp/>
        <stp>PROB_OF_EXPIRING</stp>
        <stp>.KBE201120P38</stp>
        <tr r="T387" s="1"/>
      </tp>
      <tp>
        <v>7</v>
        <stp/>
        <stp>VOLUME</stp>
        <stp>.VOO201120C325</stp>
        <tr r="F730" s="1"/>
      </tp>
      <tp t="s">
        <v>N/A</v>
        <stp/>
        <stp>VOLUME</stp>
        <stp>.VOO201120P325</stp>
        <tr r="F731" s="1"/>
      </tp>
      <tp t="s">
        <v>N/A</v>
        <stp/>
        <stp>PROB_OTM</stp>
        <stp>.EFV201120P45</stp>
        <tr r="U110" s="1"/>
      </tp>
      <tp>
        <v>2713</v>
        <stp/>
        <stp>VOLUME</stp>
        <stp>.IWM201120P171</stp>
        <tr r="F349" s="1"/>
      </tp>
      <tp>
        <v>2871</v>
        <stp/>
        <stp>VOLUME</stp>
        <stp>.IWM201120C171</stp>
        <tr r="F348" s="1"/>
      </tp>
      <tp>
        <v>13687</v>
        <stp/>
        <stp>VOLUME</stp>
        <stp>.IWM201120P170</stp>
        <tr r="F347" s="1"/>
      </tp>
      <tp>
        <v>21852</v>
        <stp/>
        <stp>VOLUME</stp>
        <stp>.IWM201120C170</stp>
        <tr r="F346" s="1"/>
      </tp>
      <tp>
        <v>645</v>
        <stp/>
        <stp>VOLUME</stp>
        <stp>.IWM201120P173</stp>
        <tr r="F355" s="1"/>
      </tp>
      <tp>
        <v>1450</v>
        <stp/>
        <stp>VOLUME</stp>
        <stp>.IWM201120C173</stp>
        <tr r="F354" s="1"/>
      </tp>
      <tp>
        <v>1045</v>
        <stp/>
        <stp>VOLUME</stp>
        <stp>.IWM201120P172</stp>
        <tr r="F351" s="1"/>
      </tp>
      <tp>
        <v>4320</v>
        <stp/>
        <stp>VOLUME</stp>
        <stp>.IWM201120C172</stp>
        <tr r="F350" s="1"/>
      </tp>
      <tp>
        <v>146</v>
        <stp/>
        <stp>VOLUME</stp>
        <stp>.IWM201120P175</stp>
        <tr r="F359" s="1"/>
      </tp>
      <tp>
        <v>4675</v>
        <stp/>
        <stp>VOLUME</stp>
        <stp>.IWM201120C175</stp>
        <tr r="F358" s="1"/>
      </tp>
      <tp>
        <v>805</v>
        <stp/>
        <stp>VOLUME</stp>
        <stp>.IWM201120P174</stp>
        <tr r="F357" s="1"/>
      </tp>
      <tp>
        <v>2277</v>
        <stp/>
        <stp>VOLUME</stp>
        <stp>.IWM201120C174</stp>
        <tr r="F356" s="1"/>
      </tp>
      <tp t="s">
        <v>N/A</v>
        <stp/>
        <stp>IMPL_VOL</stp>
        <stp>.EZU201120C42</stp>
        <tr r="D178" s="1"/>
      </tp>
      <tp t="s">
        <v>N/A</v>
        <stp/>
        <stp>EXTRINSIC</stp>
        <stp>.ASHR201120P38</stp>
        <tr r="S47" s="1"/>
      </tp>
      <tp t="s">
        <v>N/A</v>
        <stp/>
        <stp>IMPL_VOL</stp>
        <stp>.BZQ201120C12</stp>
        <tr r="D52" s="1"/>
      </tp>
      <tp t="s">
        <v>N/A</v>
        <stp/>
        <stp>INTRINSIC</stp>
        <stp>.USMV201120C67</stp>
        <tr r="R699" s="1"/>
      </tp>
      <tp t="s">
        <v>N/A</v>
        <stp/>
        <stp>PROB_OTM</stp>
        <stp>.VFH201120P66</stp>
        <tr r="U715" s="1"/>
      </tp>
      <tp t="s">
        <v>N/A</v>
        <stp/>
        <stp>PROB_OTM</stp>
        <stp>.VFH201120P67</stp>
        <tr r="U717" s="1"/>
      </tp>
      <tp t="s">
        <v>N/A</v>
        <stp/>
        <stp>EXTRINSIC</stp>
        <stp>.SCHP201120P61</stp>
        <tr r="S533" s="1"/>
      </tp>
      <tp t="s">
        <v>N/A</v>
        <stp/>
        <stp>PROB_OF_EXPIRING</stp>
        <stp>.TBT201120P17</stp>
        <tr r="T685" s="1"/>
      </tp>
      <tp>
        <v>1122</v>
        <stp/>
        <stp>OPEN_INT</stp>
        <stp>.RSX201120P22</stp>
        <tr r="G514" s="1"/>
      </tp>
      <tp t="s">
        <v>N/A</v>
        <stp/>
        <stp>PROB_OTM</stp>
        <stp>.EFA201120P70</stp>
        <tr r="U107" s="1"/>
      </tp>
      <tp t="s">
        <v>N/A</v>
        <stp/>
        <stp>PROB_OTM</stp>
        <stp>.EFA201120P69</stp>
        <tr r="U103" s="1"/>
      </tp>
      <tp>
        <v>3.15</v>
        <stp/>
        <stp>BID</stp>
        <stp>.IBB201120P141.5</stp>
        <tr r="H244" s="1"/>
      </tp>
      <tp t="s">
        <v>N/A</v>
        <stp/>
        <stp>BID</stp>
        <stp>.LQD201120C134.5</stp>
        <tr r="H405" s="1"/>
      </tp>
      <tp t="s">
        <v>N/A</v>
        <stp/>
        <stp>IMPL_VOL</stp>
        <stp>.INDA201120P36</stp>
        <tr r="D282" s="1"/>
      </tp>
      <tp t="s">
        <v>N/A</v>
        <stp/>
        <stp>PROB_OF_EXPIRING</stp>
        <stp>.SPYV201120C33</stp>
        <tr r="T635" s="1"/>
      </tp>
      <tp>
        <v>0.59</v>
        <stp/>
        <stp>ASK</stp>
        <stp>.TLT201120P156.5</stp>
        <tr r="I697" s="1"/>
      </tp>
      <tp t="s">
        <v>N/A</v>
        <stp/>
        <stp>IMPL_VOL</stp>
        <stp>.ACWI201120C86</stp>
        <tr r="D10" s="1"/>
      </tp>
      <tp t="s">
        <v>N/A</v>
        <stp/>
        <stp>IMPL_VOL</stp>
        <stp>.ACWI201120C85</stp>
        <tr r="D8" s="1"/>
      </tp>
      <tp>
        <v>0</v>
        <stp/>
        <stp>OPEN_INT</stp>
        <stp>.PDBC201120P14</stp>
        <tr r="G453" s="1"/>
      </tp>
      <tp t="s">
        <v>N/A</v>
        <stp/>
        <stp>PROB_OF_TOUCHING</stp>
        <stp>.XLRE201120C37</stp>
        <tr r="V847" s="1"/>
      </tp>
      <tp>
        <v>0</v>
        <stp/>
        <stp>LOW</stp>
        <stp>.IWF201120P227.5</stp>
        <tr r="K344" s="1"/>
      </tp>
      <tp>
        <v>0</v>
        <stp/>
        <stp>LOW</stp>
        <stp>.IVV201120P357.5</stp>
        <tr r="K319" s="1"/>
      </tp>
      <tp t="s">
        <v>N/A</v>
        <stp/>
        <stp>PROB_OF_TOUCHING</stp>
        <stp>.DGRO201120C43</stp>
        <tr r="V60" s="1"/>
      </tp>
      <tp t="s">
        <v>N/A</v>
        <stp/>
        <stp>RHO</stp>
        <stp>.IBB201120P140.5</stp>
        <tr r="Q240" s="1"/>
      </tp>
      <tp t="s">
        <v>N/A</v>
        <stp/>
        <stp>RHO</stp>
        <stp>.LQD201120C135.5</stp>
        <tr r="Q409" s="1"/>
      </tp>
      <tp>
        <v>2.52</v>
        <stp/>
        <stp>ASK</stp>
        <stp>.TLT201120C156.5</stp>
        <tr r="I696" s="1"/>
      </tp>
      <tp t="s">
        <v>N/A</v>
        <stp/>
        <stp>BID</stp>
        <stp>.IBB201120C141.5</stp>
        <tr r="H243" s="1"/>
      </tp>
      <tp t="s">
        <v>N/A</v>
        <stp/>
        <stp>BID</stp>
        <stp>.LQD201120P134.5</stp>
        <tr r="H406" s="1"/>
      </tp>
      <tp>
        <v>0</v>
        <stp/>
        <stp>LOW</stp>
        <stp>.IVV201120C357.5</stp>
        <tr r="K318" s="1"/>
      </tp>
      <tp t="s">
        <v>N/A</v>
        <stp/>
        <stp>LOW</stp>
        <stp>.IWF201120C227.5</stp>
        <tr r="K343" s="1"/>
      </tp>
      <tp t="s">
        <v>N/A</v>
        <stp/>
        <stp>PROB_OF_EXPIRING</stp>
        <stp>.SPYG201120C53</stp>
        <tr r="T632" s="1"/>
      </tp>
      <tp t="s">
        <v>N/A</v>
        <stp/>
        <stp>PROB_OF_EXPIRING</stp>
        <stp>.SPYG201120C52</stp>
        <tr r="T630" s="1"/>
      </tp>
      <tp t="s">
        <v>N/A</v>
        <stp/>
        <stp>IMPL_VOL</stp>
        <stp>.SPDW201120P32</stp>
        <tr r="D580" s="1"/>
      </tp>
      <tp t="s">
        <v>N/A</v>
        <stp/>
        <stp>PROB_OF_EXPIRING</stp>
        <stp>.SHYG201120C45</stp>
        <tr r="T549" s="1"/>
      </tp>
      <tp t="s">
        <v>N/A</v>
        <stp/>
        <stp>RHO</stp>
        <stp>.IBB201120C140.5</stp>
        <tr r="Q239" s="1"/>
      </tp>
      <tp t="s">
        <v>N/A</v>
        <stp/>
        <stp>RHO</stp>
        <stp>.LQD201120P135.5</stp>
        <tr r="Q410" s="1"/>
      </tp>
      <tp t="s">
        <v>N/A</v>
        <stp/>
        <stp>IMPL_VOL</stp>
        <stp>.INDY201120P38</stp>
        <tr r="D287" s="1"/>
      </tp>
      <tp t="s">
        <v>N/A</v>
        <stp/>
        <stp>IMPL_VOL</stp>
        <stp>.ACWX201120C50</stp>
        <tr r="D13" s="1"/>
      </tp>
      <tp>
        <v>22.04</v>
        <stp/>
        <stp>OPEN</stp>
        <stp>BKLN</stp>
        <tr r="L48" s="1"/>
      </tp>
      <tp t="s">
        <v>N/A</v>
        <stp/>
        <stp>DELTA</stp>
        <stp>.IBB201120C139.5</stp>
        <tr r="M235" s="1"/>
      </tp>
      <tp t="s">
        <v>N/A</v>
        <stp/>
        <stp>THETA</stp>
        <stp>.IBB201120P139.5</stp>
        <tr r="O236" s="1"/>
      </tp>
      <tp t="s">
        <v>N/A</v>
        <stp/>
        <stp>THETA</stp>
        <stp>.IEF201120P119.5</stp>
        <tr r="O250" s="1"/>
      </tp>
      <tp>
        <v>0</v>
        <stp/>
        <stp>THETA</stp>
        <stp>KRE</stp>
        <tr r="O388" s="1"/>
      </tp>
      <tp t="s">
        <v>N/A</v>
        <stp/>
        <stp>DELTA</stp>
        <stp>.IEF201120C119.5</stp>
        <tr r="M249" s="1"/>
      </tp>
      <tp t="s">
        <v>N/A</v>
        <stp/>
        <stp>GAMMA</stp>
        <stp>.XLV201120C111.5</stp>
        <tr r="N863" s="1"/>
      </tp>
      <tp t="s">
        <v>N/A</v>
        <stp/>
        <stp>GAMMA</stp>
        <stp>.XLY201120C151.5</stp>
        <tr r="N868" s="1"/>
      </tp>
      <tp t="s">
        <v>N/A</v>
        <stp/>
        <stp>GAMMA</stp>
        <stp>.XLK201120C121.5</stp>
        <tr r="N833" s="1"/>
      </tp>
      <tp>
        <v>1</v>
        <stp/>
        <stp>DELTA</stp>
        <stp>BZQ</stp>
        <tr r="M51" s="1"/>
      </tp>
      <tp t="s">
        <v>N/A</v>
        <stp/>
        <stp>DESCRIPTION</stp>
        <stp>.JETS201120P19.5</stp>
        <tr r="B377" s="1"/>
      </tp>
      <tp t="s">
        <v>N/A</v>
        <stp/>
        <stp>DESCRIPTION</stp>
        <stp>.JETS201120C19.5</stp>
        <tr r="B376" s="1"/>
      </tp>
      <tp t="s">
        <v>N/A</v>
        <stp/>
        <stp>THETA</stp>
        <stp>.IBB201120C139.5</stp>
        <tr r="O235" s="1"/>
      </tp>
      <tp t="s">
        <v>N/A</v>
        <stp/>
        <stp>DELTA</stp>
        <stp>.IBB201120P139.5</stp>
        <tr r="M236" s="1"/>
      </tp>
      <tp t="s">
        <v>N/A</v>
        <stp/>
        <stp>DELTA</stp>
        <stp>.FXI201120P48</stp>
        <tr r="M194" s="1"/>
      </tp>
      <tp t="s">
        <v>N/A</v>
        <stp/>
        <stp>DELTA</stp>
        <stp>.FXI201120P47</stp>
        <tr r="M190" s="1"/>
      </tp>
      <tp t="s">
        <v>N/A</v>
        <stp/>
        <stp>DELTA</stp>
        <stp>.IEF201120P119.5</stp>
        <tr r="M250" s="1"/>
      </tp>
      <tp t="s">
        <v>N/A</v>
        <stp/>
        <stp>THETA</stp>
        <stp>.XHB201120P56</stp>
        <tr r="O786" s="1"/>
      </tp>
      <tp t="s">
        <v>N/A</v>
        <stp/>
        <stp>THETA</stp>
        <stp>.XHB201120P55</stp>
        <tr r="O782" s="1"/>
      </tp>
      <tp t="s">
        <v>N/A</v>
        <stp/>
        <stp>DELTA</stp>
        <stp>.PXH201120P20</stp>
        <tr r="M461" s="1"/>
      </tp>
      <tp>
        <v>0</v>
        <stp/>
        <stp>THETA</stp>
        <stp>KBE</stp>
        <tr r="O385" s="1"/>
      </tp>
      <tp t="s">
        <v>N/A</v>
        <stp/>
        <stp>THETA</stp>
        <stp>.IEF201120C119.5</stp>
        <tr r="O249" s="1"/>
      </tp>
      <tp t="s">
        <v>N/A</v>
        <stp/>
        <stp>DELTA</stp>
        <stp>.PXH201120P19</stp>
        <tr r="M459" s="1"/>
      </tp>
      <tp t="s">
        <v>N/A</v>
        <stp/>
        <stp>DELTA</stp>
        <stp>.DXD201120P14</stp>
        <tr r="M93" s="1"/>
      </tp>
      <tp t="s">
        <v>N/A</v>
        <stp/>
        <stp>GAMMA</stp>
        <stp>.XHB201120C56</stp>
        <tr r="N785" s="1"/>
      </tp>
      <tp t="s">
        <v>N/A</v>
        <stp/>
        <stp>GAMMA</stp>
        <stp>.XHB201120C55</stp>
        <tr r="N781" s="1"/>
      </tp>
      <tp>
        <v>0</v>
        <stp/>
        <stp>LOW</stp>
        <stp>.INDA201120P36.5</stp>
        <tr r="K284" s="1"/>
      </tp>
      <tp t="s">
        <v>N/A</v>
        <stp/>
        <stp>LOW</stp>
        <stp>.INDA201120C36.5</stp>
        <tr r="K283" s="1"/>
      </tp>
      <tp t="s">
        <v>N/A</v>
        <stp/>
        <stp>HIGH</stp>
        <stp>.ARKW201120C118</stp>
        <tr r="J39" s="1"/>
      </tp>
      <tp t="s">
        <v>N/A</v>
        <stp/>
        <stp>HIGH</stp>
        <stp>.ARKW201120P118</stp>
        <tr r="J40" s="1"/>
      </tp>
      <tp>
        <v>2.9</v>
        <stp/>
        <stp>HIGH</stp>
        <stp>.ARKW201120C119</stp>
        <tr r="J41" s="1"/>
      </tp>
      <tp t="s">
        <v>N/A</v>
        <stp/>
        <stp>HIGH</stp>
        <stp>.ARKW201120P119</stp>
        <tr r="J42" s="1"/>
      </tp>
      <tp t="s">
        <v>N/A</v>
        <stp/>
        <stp>GAMMA</stp>
        <stp>.XLV201120P111.5</stp>
        <tr r="N864" s="1"/>
      </tp>
      <tp t="s">
        <v>N/A</v>
        <stp/>
        <stp>GAMMA</stp>
        <stp>.XLY201120P151.5</stp>
        <tr r="N869" s="1"/>
      </tp>
      <tp>
        <v>4.0999999999999996</v>
        <stp/>
        <stp>HIGH</stp>
        <stp>.ARKW201120C116</stp>
        <tr r="J35" s="1"/>
      </tp>
      <tp t="s">
        <v>N/A</v>
        <stp/>
        <stp>HIGH</stp>
        <stp>.ARKW201120P116</stp>
        <tr r="J36" s="1"/>
      </tp>
      <tp>
        <v>0</v>
        <stp/>
        <stp>HIGH</stp>
        <stp>.ARKW201120C117</stp>
        <tr r="J37" s="1"/>
      </tp>
      <tp t="s">
        <v>N/A</v>
        <stp/>
        <stp>HIGH</stp>
        <stp>.ARKW201120P117</stp>
        <tr r="J38" s="1"/>
      </tp>
      <tp t="s">
        <v>N/A</v>
        <stp/>
        <stp>GAMMA</stp>
        <stp>.XLK201120P121.5</stp>
        <tr r="N834" s="1"/>
      </tp>
      <tp t="s">
        <v>N/A</v>
        <stp/>
        <stp>DESCRIPTION</stp>
        <stp>.DGRO201120P43</stp>
        <tr r="B61" s="1"/>
      </tp>
      <tp t="s">
        <v>N/A</v>
        <stp/>
        <stp>RHO</stp>
        <stp>.IEMG201120P57</stp>
        <tr r="Q258" s="1"/>
      </tp>
      <tp t="s">
        <v>N/A</v>
        <stp/>
        <stp>RHO</stp>
        <stp>.IEMG201120P58</stp>
        <tr r="Q260" s="1"/>
      </tp>
      <tp>
        <v>1.4</v>
        <stp/>
        <stp>ASK</stp>
        <stp>.USMV201120P67</stp>
        <tr r="I700" s="1"/>
      </tp>
      <tp>
        <v>0.95</v>
        <stp/>
        <stp>BID</stp>
        <stp>.USMV201120P67</stp>
        <tr r="H700" s="1"/>
      </tp>
      <tp>
        <v>0</v>
        <stp/>
        <stp>LOW</stp>
        <stp>.USMV201120P67</stp>
        <tr r="K700" s="1"/>
      </tp>
      <tp t="s">
        <v>N/A</v>
        <stp/>
        <stp>DESCRIPTION</stp>
        <stp>.MTUM201120P150</stp>
        <tr r="B430" s="1"/>
      </tp>
      <tp t="s">
        <v>N/A</v>
        <stp/>
        <stp>DESCRIPTION</stp>
        <stp>.MTUM201120C150</stp>
        <tr r="B429" s="1"/>
      </tp>
      <tp t="s">
        <v>N/A</v>
        <stp/>
        <stp>DESCRIPTION</stp>
        <stp>.MTUM201120P151</stp>
        <tr r="B432" s="1"/>
      </tp>
      <tp t="s">
        <v>N/A</v>
        <stp/>
        <stp>DESCRIPTION</stp>
        <stp>.MTUM201120C151</stp>
        <tr r="B431" s="1"/>
      </tp>
      <tp t="s">
        <v>N/A</v>
        <stp/>
        <stp>DESCRIPTION</stp>
        <stp>.MTUM201120P152</stp>
        <tr r="B434" s="1"/>
      </tp>
      <tp t="s">
        <v>N/A</v>
        <stp/>
        <stp>DESCRIPTION</stp>
        <stp>.MTUM201120C152</stp>
        <tr r="B433" s="1"/>
      </tp>
      <tp t="s">
        <v>N/A</v>
        <stp/>
        <stp>DESCRIPTION</stp>
        <stp>.MTUM201120P149</stp>
        <tr r="B428" s="1"/>
      </tp>
      <tp t="s">
        <v>N/A</v>
        <stp/>
        <stp>DESCRIPTION</stp>
        <stp>.MTUM201120C149</stp>
        <tr r="B427" s="1"/>
      </tp>
      <tp t="s">
        <v>N/A</v>
        <stp/>
        <stp>DESCRIPTION</stp>
        <stp>.XLRE201120P37</stp>
        <tr r="B848" s="1"/>
      </tp>
      <tp t="s">
        <v>N/A</v>
        <stp/>
        <stp>STRIKE</stp>
        <stp>.RSX201120C22</stp>
        <tr r="W513" s="1"/>
      </tp>
      <tp>
        <v>5</v>
        <stp/>
        <stp>VOLUME</stp>
        <stp>.XHB201120C56</stp>
        <tr r="F785" s="1"/>
      </tp>
      <tp>
        <v>3</v>
        <stp/>
        <stp>VOLUME</stp>
        <stp>.XHB201120C55</stp>
        <tr r="F781" s="1"/>
      </tp>
      <tp t="s">
        <v>N/A</v>
        <stp/>
        <stp>STRIKE</stp>
        <stp>.SSO201120C84</stp>
        <tr r="W655" s="1"/>
      </tp>
      <tp t="s">
        <v>N/A</v>
        <stp/>
        <stp>STRIKE</stp>
        <stp>.SSO201120C83</stp>
        <tr r="W651" s="1"/>
      </tp>
      <tp t="s">
        <v>N/A</v>
        <stp/>
        <stp>STRIKE</stp>
        <stp>.SSO201120C82</stp>
        <tr r="W647" s="1"/>
      </tp>
      <tp t="s">
        <v>N/A</v>
        <stp/>
        <stp>STRIKE</stp>
        <stp>.SSO201120C81</stp>
        <tr r="W643" s="1"/>
      </tp>
      <tp t="s">
        <v>N/A</v>
        <stp/>
        <stp>PUT_CALL_RATIO</stp>
        <stp>.FXI201120P47</stp>
        <tr r="C190" s="1"/>
      </tp>
      <tp t="s">
        <v>N/A</v>
        <stp/>
        <stp>PUT_CALL_RATIO</stp>
        <stp>.FXI201120P48</stp>
        <tr r="C194" s="1"/>
      </tp>
      <tp>
        <v>0.55000000000000004</v>
        <stp/>
        <stp>BID</stp>
        <stp>.IEMG201120P57</stp>
        <tr r="H258" s="1"/>
      </tp>
      <tp>
        <v>0.95</v>
        <stp/>
        <stp>BID</stp>
        <stp>.IEMG201120P58</stp>
        <tr r="H260" s="1"/>
      </tp>
      <tp t="s">
        <v>N/A</v>
        <stp/>
        <stp>PUT_CALL_RATIO</stp>
        <stp>.PXH201120P19</stp>
        <tr r="C459" s="1"/>
      </tp>
      <tp t="s">
        <v>N/A</v>
        <stp/>
        <stp>RHO</stp>
        <stp>.USMV201120P67</stp>
        <tr r="Q700" s="1"/>
      </tp>
      <tp t="s">
        <v>N/A</v>
        <stp/>
        <stp>PUT_CALL_RATIO</stp>
        <stp>.PXH201120P20</stp>
        <tr r="C461" s="1"/>
      </tp>
      <tp>
        <v>1.35</v>
        <stp/>
        <stp>ASK</stp>
        <stp>.IEMG201120P58</stp>
        <tr r="I260" s="1"/>
      </tp>
      <tp>
        <v>0.85</v>
        <stp/>
        <stp>ASK</stp>
        <stp>.IEMG201120P57</stp>
        <tr r="I258" s="1"/>
      </tp>
      <tp t="s">
        <v>N/A</v>
        <stp/>
        <stp>PUT_CALL_RATIO</stp>
        <stp>.DXD201120P14</stp>
        <tr r="C93" s="1"/>
      </tp>
      <tp>
        <v>0</v>
        <stp/>
        <stp>LOW</stp>
        <stp>.IEMG201120P57</stp>
        <tr r="K258" s="1"/>
      </tp>
      <tp>
        <v>0</v>
        <stp/>
        <stp>LOW</stp>
        <stp>.IEMG201120P58</stp>
        <tr r="K260" s="1"/>
      </tp>
      <tp t="s">
        <v>N/A</v>
        <stp/>
        <stp>PROB_OTM</stp>
        <stp>.PGX201120P15</stp>
        <tr r="U456" s="1"/>
      </tp>
      <tp t="s">
        <v>N/A</v>
        <stp/>
        <stp>INTRINSIC</stp>
        <stp>.EMLC201120C32</stp>
        <tr r="R115" s="1"/>
      </tp>
      <tp t="s">
        <v>N/A</v>
        <stp/>
        <stp>INTRINSIC</stp>
        <stp>.SPLG201120C42</stp>
        <tr r="R585" s="1"/>
      </tp>
      <tp t="s">
        <v>N/A</v>
        <stp/>
        <stp>EXTRINSIC</stp>
        <stp>.IGIB201120P61</stp>
        <tr r="S263" s="1"/>
      </tp>
      <tp t="s">
        <v>N/A</v>
        <stp/>
        <stp>IMPL_VOL</stp>
        <stp>.XHB201120P56</stp>
        <tr r="D786" s="1"/>
      </tp>
      <tp>
        <v>1484</v>
        <stp/>
        <stp>OPEN_INT</stp>
        <stp>.KRE201120P46</stp>
        <tr r="G390" s="1"/>
      </tp>
      <tp>
        <v>144</v>
        <stp/>
        <stp>OPEN_INT</stp>
        <stp>.KRE201120P47</stp>
        <tr r="G394" s="1"/>
      </tp>
      <tp t="s">
        <v>N/A</v>
        <stp/>
        <stp>IMPL_VOL</stp>
        <stp>.XHB201120P55</stp>
        <tr r="D782" s="1"/>
      </tp>
      <tp t="s">
        <v>N/A</v>
        <stp/>
        <stp>INTRINSIC</stp>
        <stp>.HYLB201120C49</stp>
        <tr r="R226" s="1"/>
      </tp>
      <tp t="s">
        <v>N/A</v>
        <stp/>
        <stp>EXTRINSIC</stp>
        <stp>.NAIL201120P48</stp>
        <tr r="S448" s="1"/>
      </tp>
      <tp t="s">
        <v>N/A</v>
        <stp/>
        <stp>EXTRINSIC</stp>
        <stp>.NAIL201120P49</stp>
        <tr r="S450" s="1"/>
      </tp>
      <tp t="s">
        <v>N/A</v>
        <stp/>
        <stp>EXTRINSIC</stp>
        <stp>.NAIL201120P46</stp>
        <tr r="S444" s="1"/>
      </tp>
      <tp t="s">
        <v>N/A</v>
        <stp/>
        <stp>EXTRINSIC</stp>
        <stp>.NAIL201120P47</stp>
        <tr r="S446" s="1"/>
      </tp>
      <tp t="s">
        <v>N/A</v>
        <stp/>
        <stp>EXTRINSIC</stp>
        <stp>.NAIL201120P44</stp>
        <tr r="S440" s="1"/>
      </tp>
      <tp t="s">
        <v>N/A</v>
        <stp/>
        <stp>EXTRINSIC</stp>
        <stp>.NAIL201120P45</stp>
        <tr r="S442" s="1"/>
      </tp>
      <tp t="s">
        <v>N/A</v>
        <stp/>
        <stp>INTRINSIC</stp>
        <stp>.BKLN201120C22</stp>
        <tr r="R49" s="1"/>
      </tp>
      <tp t="s">
        <v>N/A</v>
        <stp/>
        <stp>INTRINSIC</stp>
        <stp>.ICLN201120C22</stp>
        <tr r="R246" s="1"/>
      </tp>
      <tp t="s">
        <v>N/A</v>
        <stp/>
        <stp>OPEN_INT</stp>
        <stp>.TAN201120C73</stp>
        <tr r="G662" s="1"/>
      </tp>
      <tp>
        <v>148</v>
        <stp/>
        <stp>OPEN_INT</stp>
        <stp>.TAN201120C74</stp>
        <tr r="G666" s="1"/>
      </tp>
      <tp>
        <v>735</v>
        <stp/>
        <stp>OPEN_INT</stp>
        <stp>.TAN201120C75</stp>
        <tr r="G670" s="1"/>
      </tp>
      <tp t="s">
        <v>N/A</v>
        <stp/>
        <stp>OPEN_INT</stp>
        <stp>.TAN201120C76</stp>
        <tr r="G674" s="1"/>
      </tp>
      <tp>
        <v>970</v>
        <stp/>
        <stp>OPEN_INT</stp>
        <stp>.TAN201120C77</stp>
        <tr r="G678" s="1"/>
      </tp>
      <tp t="s">
        <v>N/A</v>
        <stp/>
        <stp>INTRINSIC</stp>
        <stp>.SPLV201120C55</stp>
        <tr r="R588" s="1"/>
      </tp>
      <tp t="s">
        <v>N/A</v>
        <stp/>
        <stp>EXTRINSIC</stp>
        <stp>.VGIT201120P70</stp>
        <tr r="S720" s="1"/>
      </tp>
      <tp t="s">
        <v>N/A</v>
        <stp/>
        <stp>PROB_OF_EXPIRING</stp>
        <stp>.SCZ201120P63</stp>
        <tr r="T536" s="1"/>
      </tp>
      <tp t="s">
        <v>N/A</v>
        <stp/>
        <stp>INTRINSIC</stp>
        <stp>.AMLP201120C24</stp>
        <tr r="R23" s="1"/>
      </tp>
      <tp t="s">
        <v>N/A</v>
        <stp/>
        <stp>INTRINSIC</stp>
        <stp>.AMLP201120C23</stp>
        <tr r="R19" s="1"/>
      </tp>
      <tp t="s">
        <v>N/A</v>
        <stp/>
        <stp>PROB_OF_TOUCHING</stp>
        <stp>.BZQ201120C12</stp>
        <tr r="V52" s="1"/>
      </tp>
      <tp t="s">
        <v>N/A</v>
        <stp/>
        <stp>PUT_CALL_RATIO</stp>
        <stp>.XLY201120C154</stp>
        <tr r="C878" s="1"/>
      </tp>
      <tp t="s">
        <v>N/A</v>
        <stp/>
        <stp>PUT_CALL_RATIO</stp>
        <stp>.XLY201120P154</stp>
        <tr r="C879" s="1"/>
      </tp>
      <tp t="s">
        <v>N/A</v>
        <stp/>
        <stp>PUT_CALL_RATIO</stp>
        <stp>.XLY201120C155</stp>
        <tr r="C882" s="1"/>
      </tp>
      <tp t="s">
        <v>N/A</v>
        <stp/>
        <stp>PUT_CALL_RATIO</stp>
        <stp>.XLY201120P155</stp>
        <tr r="C883" s="1"/>
      </tp>
      <tp t="s">
        <v>N/A</v>
        <stp/>
        <stp>PUT_CALL_RATIO</stp>
        <stp>.XLY201120C152</stp>
        <tr r="C870" s="1"/>
      </tp>
      <tp t="s">
        <v>N/A</v>
        <stp/>
        <stp>PUT_CALL_RATIO</stp>
        <stp>.XLY201120P152</stp>
        <tr r="C871" s="1"/>
      </tp>
      <tp t="s">
        <v>N/A</v>
        <stp/>
        <stp>PUT_CALL_RATIO</stp>
        <stp>.XLY201120C153</stp>
        <tr r="C874" s="1"/>
      </tp>
      <tp t="s">
        <v>N/A</v>
        <stp/>
        <stp>PUT_CALL_RATIO</stp>
        <stp>.XLY201120P153</stp>
        <tr r="C875" s="1"/>
      </tp>
      <tp t="s">
        <v>N/A</v>
        <stp/>
        <stp>PROB_OF_TOUCHING</stp>
        <stp>.EZU201120C42</stp>
        <tr r="V178" s="1"/>
      </tp>
      <tp t="s">
        <v>N/A</v>
        <stp/>
        <stp>EXTRINSIC</stp>
        <stp>.DRIP201120P45</stp>
        <tr r="S83" s="1"/>
      </tp>
      <tp t="s">
        <v>N/A</v>
        <stp/>
        <stp>PROB_OTM</stp>
        <stp>.VGK201120P57</stp>
        <tr r="U723" s="1"/>
      </tp>
      <tp t="s">
        <v>N/A</v>
        <stp/>
        <stp>OPEN_INT</stp>
        <stp>.XRT201120P54</stp>
        <tr r="G904" s="1"/>
      </tp>
      <tp t="s">
        <v>N/A</v>
        <stp/>
        <stp>OPEN_INT</stp>
        <stp>.XRT201120P55</stp>
        <tr r="G908" s="1"/>
      </tp>
      <tp t="s">
        <v>N/A</v>
        <stp/>
        <stp>STRIKE</stp>
        <stp>.VT201120C87</stp>
        <tr r="W737" s="1"/>
      </tp>
      <tp t="s">
        <v>N/A</v>
        <stp/>
        <stp>STRIKE</stp>
        <stp>.VT201120C86</stp>
        <tr r="W735" s="1"/>
      </tp>
      <tp t="s">
        <v>N/A</v>
        <stp/>
        <stp>EXTRINSIC</stp>
        <stp>.VCIT201120P96</stp>
        <tr r="S703" s="1"/>
      </tp>
      <tp t="s">
        <v>N/A</v>
        <stp/>
        <stp>STRIKE</stp>
        <stp>.QQQ201120C292</stp>
        <tr r="W490" s="1"/>
      </tp>
      <tp t="s">
        <v>N/A</v>
        <stp/>
        <stp>STRIKE</stp>
        <stp>.QQQ201120P292</stp>
        <tr r="W491" s="1"/>
      </tp>
      <tp t="s">
        <v>N/A</v>
        <stp/>
        <stp>STRIKE</stp>
        <stp>.QQQ201120C293</stp>
        <tr r="W494" s="1"/>
      </tp>
      <tp t="s">
        <v>N/A</v>
        <stp/>
        <stp>STRIKE</stp>
        <stp>.QQQ201120P293</stp>
        <tr r="W495" s="1"/>
      </tp>
      <tp t="s">
        <v>N/A</v>
        <stp/>
        <stp>STRIKE</stp>
        <stp>.QQQ201120C290</stp>
        <tr r="W486" s="1"/>
      </tp>
      <tp t="s">
        <v>N/A</v>
        <stp/>
        <stp>STRIKE</stp>
        <stp>.QQQ201120P290</stp>
        <tr r="W487" s="1"/>
      </tp>
      <tp t="s">
        <v>N/A</v>
        <stp/>
        <stp>STRIKE</stp>
        <stp>.QQQ201120C291</stp>
        <tr r="W488" s="1"/>
      </tp>
      <tp t="s">
        <v>N/A</v>
        <stp/>
        <stp>STRIKE</stp>
        <stp>.QQQ201120P291</stp>
        <tr r="W489" s="1"/>
      </tp>
      <tp t="s">
        <v>N/A</v>
        <stp/>
        <stp>STRIKE</stp>
        <stp>.QQQ201120C294</stp>
        <tr r="W496" s="1"/>
      </tp>
      <tp t="s">
        <v>N/A</v>
        <stp/>
        <stp>STRIKE</stp>
        <stp>.QQQ201120P294</stp>
        <tr r="W497" s="1"/>
      </tp>
      <tp t="s">
        <v>N/A</v>
        <stp/>
        <stp>PROB_OTM</stp>
        <stp>.ITB201120C55</stp>
        <tr r="U291" s="1"/>
      </tp>
      <tp t="s">
        <v>N/A</v>
        <stp/>
        <stp>PROB_OTM</stp>
        <stp>.ITB201120C56</stp>
        <tr r="U295" s="1"/>
      </tp>
      <tp t="s">
        <v>N/A</v>
        <stp/>
        <stp>STRIKE</stp>
        <stp>.QQQ201120C286</stp>
        <tr r="W476" s="1"/>
      </tp>
      <tp t="s">
        <v>N/A</v>
        <stp/>
        <stp>STRIKE</stp>
        <stp>.QQQ201120P286</stp>
        <tr r="W477" s="1"/>
      </tp>
      <tp t="s">
        <v>N/A</v>
        <stp/>
        <stp>STRIKE</stp>
        <stp>.QQQ201120C287</stp>
        <tr r="W478" s="1"/>
      </tp>
      <tp t="s">
        <v>N/A</v>
        <stp/>
        <stp>STRIKE</stp>
        <stp>.QQQ201120P287</stp>
        <tr r="W479" s="1"/>
      </tp>
      <tp t="s">
        <v>N/A</v>
        <stp/>
        <stp>STRIKE</stp>
        <stp>.QQQ201120C288</stp>
        <tr r="W482" s="1"/>
      </tp>
      <tp t="s">
        <v>N/A</v>
        <stp/>
        <stp>STRIKE</stp>
        <stp>.QQQ201120P288</stp>
        <tr r="W483" s="1"/>
      </tp>
      <tp t="s">
        <v>N/A</v>
        <stp/>
        <stp>STRIKE</stp>
        <stp>.QQQ201120C289</stp>
        <tr r="W484" s="1"/>
      </tp>
      <tp t="s">
        <v>N/A</v>
        <stp/>
        <stp>STRIKE</stp>
        <stp>.QQQ201120P289</stp>
        <tr r="W485" s="1"/>
      </tp>
      <tp>
        <v>2.6</v>
        <stp/>
        <stp>BID</stp>
        <stp>.IBB201120P140.5</stp>
        <tr r="H240" s="1"/>
      </tp>
      <tp>
        <v>0.59</v>
        <stp/>
        <stp>BID</stp>
        <stp>.LQD201120C135.5</stp>
        <tr r="H409" s="1"/>
      </tp>
      <tp t="s">
        <v>N/A</v>
        <stp/>
        <stp>DESCRIPTION</stp>
        <stp>.DIA201120P297.5</stp>
        <tr r="B80" s="1"/>
      </tp>
      <tp t="s">
        <v>N/A</v>
        <stp/>
        <stp>IMPL_VOL</stp>
        <stp>.KWEB201120P74</stp>
        <tr r="D403" s="1"/>
      </tp>
      <tp t="s">
        <v>N/A</v>
        <stp/>
        <stp>IMPL_VOL</stp>
        <stp>.KWEB201120P73</stp>
        <tr r="D401" s="1"/>
      </tp>
      <tp t="s">
        <v>N/A</v>
        <stp/>
        <stp>IMPL_VOL</stp>
        <stp>.KWEB201120P72</stp>
        <tr r="D399" s="1"/>
      </tp>
      <tp t="s">
        <v>N/A</v>
        <stp/>
        <stp>LOW</stp>
        <stp>.MDY201120C382.5</stp>
        <tr r="K417" s="1"/>
      </tp>
      <tp t="s">
        <v>N/A</v>
        <stp/>
        <stp>PROB_OF_TOUCHING</stp>
        <stp>.GUSH201120C28</stp>
        <tr r="V218" s="1"/>
      </tp>
      <tp t="s">
        <v>N/A</v>
        <stp/>
        <stp>PROB_OF_TOUCHING</stp>
        <stp>.GUSH201120C26</stp>
        <tr r="V214" s="1"/>
      </tp>
      <tp t="s">
        <v>N/A</v>
        <stp/>
        <stp>PROB_OF_TOUCHING</stp>
        <stp>.GUSH201120C27</stp>
        <tr r="V216" s="1"/>
      </tp>
      <tp t="s">
        <v>N/A</v>
        <stp/>
        <stp>RHO</stp>
        <stp>.IBB201120P141.5</stp>
        <tr r="Q244" s="1"/>
      </tp>
      <tp t="s">
        <v>N/A</v>
        <stp/>
        <stp>RHO</stp>
        <stp>.LQD201120C134.5</stp>
        <tr r="Q405" s="1"/>
      </tp>
      <tp t="s">
        <v>N/A</v>
        <stp/>
        <stp>IMPL_VOL</stp>
        <stp>.DFEN201120P13</stp>
        <tr r="D56" s="1"/>
      </tp>
      <tp t="s">
        <v>N/A</v>
        <stp/>
        <stp>IMPL_VOL</stp>
        <stp>.DFEN201120P14</stp>
        <tr r="D58" s="1"/>
      </tp>
      <tp>
        <v>2.87</v>
        <stp/>
        <stp>ASK</stp>
        <stp>.QQQ201120C292.5</stp>
        <tr r="I492" s="1"/>
      </tp>
      <tp t="s">
        <v>N/A</v>
        <stp/>
        <stp>DESCRIPTION</stp>
        <stp>.DIA201120C297.5</stp>
        <tr r="B79" s="1"/>
      </tp>
      <tp t="s">
        <v>N/A</v>
        <stp/>
        <stp>IMPL_VOL</stp>
        <stp>.SRVR201120C35</stp>
        <tr r="D638" s="1"/>
      </tp>
      <tp t="s">
        <v>N/A</v>
        <stp/>
        <stp>IMPL_VOL</stp>
        <stp>.SRVR201120C36</stp>
        <tr r="D640" s="1"/>
      </tp>
      <tp t="s">
        <v>N/A</v>
        <stp/>
        <stp>BID</stp>
        <stp>.IBB201120C140.5</stp>
        <tr r="H239" s="1"/>
      </tp>
      <tp t="s">
        <v>N/A</v>
        <stp/>
        <stp>BID</stp>
        <stp>.LQD201120P135.5</stp>
        <tr r="H410" s="1"/>
      </tp>
      <tp t="s">
        <v>N/A</v>
        <stp/>
        <stp>LOW</stp>
        <stp>.MDY201120P382.5</stp>
        <tr r="K418" s="1"/>
      </tp>
      <tp t="s">
        <v>N/A</v>
        <stp/>
        <stp>PROB_OF_EXPIRING</stp>
        <stp>.ARKK201120P99</stp>
        <tr r="T31" s="1"/>
      </tp>
      <tp t="s">
        <v>N/A</v>
        <stp/>
        <stp>PROB_OF_EXPIRING</stp>
        <stp>.ARKK201120P98</stp>
        <tr r="T29" s="1"/>
      </tp>
      <tp t="s">
        <v>N/A</v>
        <stp/>
        <stp>PROB_OF_EXPIRING</stp>
        <stp>.ARKK201120P97</stp>
        <tr r="T27" s="1"/>
      </tp>
      <tp t="s">
        <v>N/A</v>
        <stp/>
        <stp>PROB_OF_EXPIRING</stp>
        <stp>.AAXJ201120C84</stp>
        <tr r="T5" s="1"/>
      </tp>
      <tp t="s">
        <v>N/A</v>
        <stp/>
        <stp>PROB_OF_EXPIRING</stp>
        <stp>.AAXJ201120C83</stp>
        <tr r="T3" s="1"/>
      </tp>
      <tp t="s">
        <v>N/A</v>
        <stp/>
        <stp>RHO</stp>
        <stp>.IBB201120C141.5</stp>
        <tr r="Q243" s="1"/>
      </tp>
      <tp t="s">
        <v>N/A</v>
        <stp/>
        <stp>RHO</stp>
        <stp>.LQD201120P134.5</stp>
        <tr r="Q406" s="1"/>
      </tp>
      <tp t="s">
        <v>N/A</v>
        <stp/>
        <stp>PROB_OTM</stp>
        <stp>.ITOT201120C81</stp>
        <tr r="U300" s="1"/>
      </tp>
      <tp t="s">
        <v>N/A</v>
        <stp/>
        <stp>PROB_OTM</stp>
        <stp>.ITOT201120C80</stp>
        <tr r="U298" s="1"/>
      </tp>
      <tp t="s">
        <v>N/A</v>
        <stp/>
        <stp>PROB_OF_EXPIRING</stp>
        <stp>.GDXJ201120C53</stp>
        <tr r="T207" s="1"/>
      </tp>
      <tp t="s">
        <v>N/A</v>
        <stp/>
        <stp>PROB_OF_EXPIRING</stp>
        <stp>.GDXJ201120C52</stp>
        <tr r="T203" s="1"/>
      </tp>
      <tp t="s">
        <v>N/A</v>
        <stp/>
        <stp>PROB_OF_EXPIRING</stp>
        <stp>.GDXJ201120C54</stp>
        <tr r="T211" s="1"/>
      </tp>
      <tp>
        <v>6.33</v>
        <stp/>
        <stp>ASK</stp>
        <stp>.QQQ201120P292.5</stp>
        <tr r="I493" s="1"/>
      </tp>
      <tp>
        <v>35.770000000000003</v>
        <stp/>
        <stp>LAST</stp>
        <stp>SRVR</stp>
        <tr r="E637" s="1"/>
      </tp>
      <tp t="s">
        <v>N/A</v>
        <stp/>
        <stp>DELTA</stp>
        <stp>.EWY201120P73</stp>
        <tr r="M169" s="1"/>
      </tp>
      <tp t="s">
        <v>N/A</v>
        <stp/>
        <stp>DELTA</stp>
        <stp>.EWY201120P72</stp>
        <tr r="M165" s="1"/>
      </tp>
      <tp>
        <v>0</v>
        <stp/>
        <stp>THETA</stp>
        <stp>DVY</stp>
        <tr r="O84" s="1"/>
      </tp>
      <tp>
        <v>1</v>
        <stp/>
        <stp>DELTA</stp>
        <stp>MUB</stp>
        <tr r="M435" s="1"/>
      </tp>
      <tp t="s">
        <v>N/A</v>
        <stp/>
        <stp>GAMMA</stp>
        <stp>.QQQ201120P287.5</stp>
        <tr r="N481" s="1"/>
      </tp>
      <tp t="s">
        <v>N/A</v>
        <stp/>
        <stp>GAMMA</stp>
        <stp>.PGX201120C15</stp>
        <tr r="N455" s="1"/>
      </tp>
      <tp t="s">
        <v>N/A</v>
        <stp/>
        <stp>THETA</stp>
        <stp>.MDY201120P382.5</stp>
        <tr r="O418" s="1"/>
      </tp>
      <tp t="s">
        <v>N/A</v>
        <stp/>
        <stp>DELTA</stp>
        <stp>.GDX201120C37</stp>
        <tr r="M198" s="1"/>
      </tp>
      <tp>
        <v>0</v>
        <stp/>
        <stp>VEGA</stp>
        <stp>DFEN</stp>
        <tr r="P54" s="1"/>
      </tp>
      <tp t="s">
        <v>N/A</v>
        <stp/>
        <stp>DELTA</stp>
        <stp>.MDY201120C382.5</stp>
        <tr r="M417" s="1"/>
      </tp>
      <tp t="s">
        <v>N/A</v>
        <stp/>
        <stp>DELTA</stp>
        <stp>.EWZ201120P32</stp>
        <tr r="M176" s="1"/>
      </tp>
      <tp t="s">
        <v>N/A</v>
        <stp/>
        <stp>VEGA</stp>
        <stp>.VCLT201120P107</stp>
        <tr r="P706" s="1"/>
      </tp>
      <tp t="s">
        <v>N/A</v>
        <stp/>
        <stp>VEGA</stp>
        <stp>.VCLT201120C107</stp>
        <tr r="P705" s="1"/>
      </tp>
      <tp t="s">
        <v>N/A</v>
        <stp/>
        <stp>DELTA</stp>
        <stp>.EWW201120P39</stp>
        <tr r="M158" s="1"/>
      </tp>
      <tp t="s">
        <v>N/A</v>
        <stp/>
        <stp>THETA</stp>
        <stp>.PGX201120P15</stp>
        <tr r="O456" s="1"/>
      </tp>
      <tp t="s">
        <v>N/A</v>
        <stp/>
        <stp>GAMMA</stp>
        <stp>.SMH201120C195.5</stp>
        <tr r="N564" s="1"/>
      </tp>
      <tp t="s">
        <v>N/A</v>
        <stp/>
        <stp>DELTA</stp>
        <stp>.EWP201120P26</stp>
        <tr r="M147" s="1"/>
      </tp>
      <tp t="s">
        <v>N/A</v>
        <stp/>
        <stp>DELTA</stp>
        <stp>.SDS201120C14</stp>
        <tr r="M540" s="1"/>
      </tp>
      <tp>
        <v>14.1</v>
        <stp/>
        <stp>OPEN</stp>
        <stp>PDBC</stp>
        <tr r="L451" s="1"/>
      </tp>
      <tp t="s">
        <v>N/A</v>
        <stp/>
        <stp>DELTA</stp>
        <stp>.EWT201120P48</stp>
        <tr r="M150" s="1"/>
      </tp>
      <tp>
        <v>13.5</v>
        <stp/>
        <stp>HIGH</stp>
        <stp>DFEN</stp>
        <tr r="J54" s="1"/>
      </tp>
      <tp>
        <v>0</v>
        <stp/>
        <stp>THETA</stp>
        <stp>DXD</stp>
        <tr r="O91" s="1"/>
      </tp>
      <tp t="s">
        <v>N/A</v>
        <stp/>
        <stp>BID</stp>
        <stp>.ASHR201120P37.5</stp>
        <tr r="H45" s="1"/>
      </tp>
      <tp t="s">
        <v>N/A</v>
        <stp/>
        <stp>BID</stp>
        <stp>.ASHR201120C37.5</stp>
        <tr r="H44" s="1"/>
      </tp>
      <tp t="s">
        <v>N/A</v>
        <stp/>
        <stp>GAMMA</stp>
        <stp>.QQQ201120C287.5</stp>
        <tr r="N480" s="1"/>
      </tp>
      <tp t="s">
        <v>N/A</v>
        <stp/>
        <stp>DELTA</stp>
        <stp>.RWM201120P29</stp>
        <tr r="M519" s="1"/>
      </tp>
      <tp t="s">
        <v>N/A</v>
        <stp/>
        <stp>DELTA</stp>
        <stp>.EWJ201120P63</stp>
        <tr r="M137" s="1"/>
      </tp>
      <tp t="s">
        <v>N/A</v>
        <stp/>
        <stp>DELTA</stp>
        <stp>.EWJ201120P64</stp>
        <tr r="M141" s="1"/>
      </tp>
      <tp>
        <v>1</v>
        <stp/>
        <stp>DELTA</stp>
        <stp>MDY</stp>
        <tr r="M414" s="1"/>
      </tp>
      <tp>
        <v>53.38</v>
        <stp/>
        <stp>OPEN</stp>
        <stp>GDXJ</stp>
        <tr r="L202" s="1"/>
      </tp>
      <tp t="s">
        <v>N/A</v>
        <stp/>
        <stp>THETA</stp>
        <stp>.ITB201120C56</stp>
        <tr r="O295" s="1"/>
      </tp>
      <tp t="s">
        <v>N/A</v>
        <stp/>
        <stp>THETA</stp>
        <stp>.ITB201120C55</stp>
        <tr r="O291" s="1"/>
      </tp>
      <tp t="s">
        <v>N/A</v>
        <stp/>
        <stp>GAMMA</stp>
        <stp>.VGK201120C57</stp>
        <tr r="N722" s="1"/>
      </tp>
      <tp t="s">
        <v>N/A</v>
        <stp/>
        <stp>DELTA</stp>
        <stp>.EWH201120P24</stp>
        <tr r="M131" s="1"/>
      </tp>
      <tp t="s">
        <v>N/A</v>
        <stp/>
        <stp>DELTA</stp>
        <stp>.MDY201120P382.5</stp>
        <tr r="M418" s="1"/>
      </tp>
      <tp t="s">
        <v>N/A</v>
        <stp/>
        <stp>DELTA</stp>
        <stp>.VWO201120P47</stp>
        <tr r="M752" s="1"/>
      </tp>
      <tp t="s">
        <v>N/A</v>
        <stp/>
        <stp>DELTA</stp>
        <stp>.EWI201120P27</stp>
        <tr r="M134" s="1"/>
      </tp>
      <tp t="s">
        <v>N/A</v>
        <stp/>
        <stp>THETA</stp>
        <stp>.MDY201120C382.5</stp>
        <tr r="O417" s="1"/>
      </tp>
      <tp t="s">
        <v>N/A</v>
        <stp/>
        <stp>DELTA</stp>
        <stp>.EWL201120P43</stp>
        <tr r="M144" s="1"/>
      </tp>
      <tp t="s">
        <v>N/A</v>
        <stp/>
        <stp>DELTA</stp>
        <stp>.EWG201120P30</stp>
        <tr r="M128" s="1"/>
      </tp>
      <tp>
        <v>118.08</v>
        <stp/>
        <stp>LAST</stp>
        <stp>ARKW</stp>
        <tr r="E34" s="1"/>
      </tp>
      <tp>
        <v>98.89</v>
        <stp/>
        <stp>LAST</stp>
        <stp>ARKK</stp>
        <tr r="E25" s="1"/>
      </tp>
      <tp t="s">
        <v>N/A</v>
        <stp/>
        <stp>THETA</stp>
        <stp>.VGK201120P57</stp>
        <tr r="O723" s="1"/>
      </tp>
      <tp t="s">
        <v>N/A</v>
        <stp/>
        <stp>DELTA</stp>
        <stp>.EWA201120P22</stp>
        <tr r="M122" s="1"/>
      </tp>
      <tp t="s">
        <v>N/A</v>
        <stp/>
        <stp>GAMMA</stp>
        <stp>.ITB201120P56</stp>
        <tr r="N296" s="1"/>
      </tp>
      <tp t="s">
        <v>N/A</v>
        <stp/>
        <stp>GAMMA</stp>
        <stp>.ITB201120P55</stp>
        <tr r="N292" s="1"/>
      </tp>
      <tp>
        <v>0</v>
        <stp/>
        <stp>THETA</stp>
        <stp>DIA</stp>
        <tr r="O62" s="1"/>
      </tp>
      <tp>
        <v>49.15</v>
        <stp/>
        <stp>LAST</stp>
        <stp>DRIP</stp>
        <tr r="E81" s="1"/>
      </tp>
      <tp t="s">
        <v>N/A</v>
        <stp/>
        <stp>GAMMA</stp>
        <stp>.SMH201120P195.5</stp>
        <tr r="N565" s="1"/>
      </tp>
      <tp>
        <v>0</v>
        <stp/>
        <stp>GAMMA</stp>
        <stp>LQD</stp>
        <tr r="N404" s="1"/>
      </tp>
      <tp t="s">
        <v>N/A</v>
        <stp/>
        <stp>DELTA</stp>
        <stp>.EWC201120P29</stp>
        <tr r="M125" s="1"/>
      </tp>
      <tp t="s">
        <v>N/A</v>
        <stp/>
        <stp>PUT_CALL_RATIO</stp>
        <stp>.EWY201120P73</stp>
        <tr r="C169" s="1"/>
      </tp>
      <tp t="s">
        <v>N/A</v>
        <stp/>
        <stp>PUT_CALL_RATIO</stp>
        <stp>.EWY201120P72</stp>
        <tr r="C165" s="1"/>
      </tp>
      <tp t="s">
        <v>N/A</v>
        <stp/>
        <stp>STRIKE</stp>
        <stp>.XOP201120P47</stp>
        <tr r="W891" s="1"/>
      </tp>
      <tp t="s">
        <v>N/A</v>
        <stp/>
        <stp>STRIKE</stp>
        <stp>.XOP201120P49</stp>
        <tr r="W899" s="1"/>
      </tp>
      <tp t="s">
        <v>N/A</v>
        <stp/>
        <stp>STRIKE</stp>
        <stp>.XOP201120P48</stp>
        <tr r="W895" s="1"/>
      </tp>
      <tp t="s">
        <v>N/A</v>
        <stp/>
        <stp>RHO</stp>
        <stp>.PDBC201120P14</stp>
        <tr r="Q453" s="1"/>
      </tp>
      <tp t="s">
        <v>N/A</v>
        <stp/>
        <stp>PUT_CALL_RATIO</stp>
        <stp>.EWZ201120P32</stp>
        <tr r="C176" s="1"/>
      </tp>
      <tp t="s">
        <v>N/A</v>
        <stp/>
        <stp>VOLUME</stp>
        <stp>.VGK201120C57</stp>
        <tr r="F722" s="1"/>
      </tp>
      <tp t="s">
        <v>N/A</v>
        <stp/>
        <stp>PUT_CALL_RATIO</stp>
        <stp>.GDX201120C37</stp>
        <tr r="C198" s="1"/>
      </tp>
      <tp t="s">
        <v>N/A</v>
        <stp/>
        <stp>PUT_CALL_RATIO</stp>
        <stp>.EWW201120P39</stp>
        <tr r="C158" s="1"/>
      </tp>
      <tp t="s">
        <v>N/A</v>
        <stp/>
        <stp>PUT_CALL_RATIO</stp>
        <stp>.EWT201120P48</stp>
        <tr r="C150" s="1"/>
      </tp>
      <tp t="s">
        <v>N/A</v>
        <stp/>
        <stp>VOLUME</stp>
        <stp>.ITB201120P56</stp>
        <tr r="F296" s="1"/>
      </tp>
      <tp t="s">
        <v>N/A</v>
        <stp/>
        <stp>VOLUME</stp>
        <stp>.ITB201120P55</stp>
        <tr r="F292" s="1"/>
      </tp>
      <tp t="s">
        <v>N/A</v>
        <stp/>
        <stp>PUT_CALL_RATIO</stp>
        <stp>.SDS201120C14</stp>
        <tr r="C540" s="1"/>
      </tp>
      <tp t="s">
        <v>N/A</v>
        <stp/>
        <stp>PUT_CALL_RATIO</stp>
        <stp>.EWP201120P26</stp>
        <tr r="C147" s="1"/>
      </tp>
      <tp t="s">
        <v>N/A</v>
        <stp/>
        <stp>VOLUME</stp>
        <stp>.PGX201120C15</stp>
        <tr r="F455" s="1"/>
      </tp>
      <tp t="s">
        <v>N/A</v>
        <stp/>
        <stp>PUT_CALL_RATIO</stp>
        <stp>.EWJ201120P63</stp>
        <tr r="C137" s="1"/>
      </tp>
      <tp t="s">
        <v>N/A</v>
        <stp/>
        <stp>PUT_CALL_RATIO</stp>
        <stp>.EWJ201120P64</stp>
        <tr r="C141" s="1"/>
      </tp>
      <tp t="s">
        <v>N/A</v>
        <stp/>
        <stp>PUT_CALL_RATIO</stp>
        <stp>.RWM201120P29</stp>
        <tr r="C519" s="1"/>
      </tp>
      <tp>
        <v>0</v>
        <stp/>
        <stp>BID</stp>
        <stp>.PDBC201120P14</stp>
        <tr r="H453" s="1"/>
      </tp>
      <tp t="s">
        <v>N/A</v>
        <stp/>
        <stp>PUT_CALL_RATIO</stp>
        <stp>.EWL201120P43</stp>
        <tr r="C144" s="1"/>
      </tp>
      <tp t="s">
        <v>N/A</v>
        <stp/>
        <stp>PUT_CALL_RATIO</stp>
        <stp>.EWH201120P24</stp>
        <tr r="C131" s="1"/>
      </tp>
      <tp>
        <v>0.4</v>
        <stp/>
        <stp>ASK</stp>
        <stp>.PDBC201120P14</stp>
        <tr r="I453" s="1"/>
      </tp>
      <tp t="s">
        <v>N/A</v>
        <stp/>
        <stp>PUT_CALL_RATIO</stp>
        <stp>.VWO201120P47</stp>
        <tr r="C752" s="1"/>
      </tp>
      <tp t="s">
        <v>N/A</v>
        <stp/>
        <stp>PUT_CALL_RATIO</stp>
        <stp>.EWI201120P27</stp>
        <tr r="C134" s="1"/>
      </tp>
      <tp t="s">
        <v>N/A</v>
        <stp/>
        <stp>PUT_CALL_RATIO</stp>
        <stp>.EWG201120P30</stp>
        <tr r="C128" s="1"/>
      </tp>
      <tp>
        <v>0</v>
        <stp/>
        <stp>LOW</stp>
        <stp>.PDBC201120P14</stp>
        <tr r="K453" s="1"/>
      </tp>
      <tp t="s">
        <v>N/A</v>
        <stp/>
        <stp>PUT_CALL_RATIO</stp>
        <stp>.EWC201120P29</stp>
        <tr r="C125" s="1"/>
      </tp>
      <tp t="s">
        <v>N/A</v>
        <stp/>
        <stp>PUT_CALL_RATIO</stp>
        <stp>.EWA201120P22</stp>
        <tr r="C122" s="1"/>
      </tp>
      <tp t="s">
        <v>N/A</v>
        <stp/>
        <stp>PROB_OF_EXPIRING</stp>
        <stp>.QLD201120P97</stp>
        <tr r="T466" s="1"/>
      </tp>
      <tp t="s">
        <v>N/A</v>
        <stp/>
        <stp>PROB_OF_EXPIRING</stp>
        <stp>.QLD201120P96</stp>
        <tr r="T464" s="1"/>
      </tp>
      <tp t="s">
        <v>N/A</v>
        <stp/>
        <stp>PROB_OF_EXPIRING</stp>
        <stp>.QLD201120P99</stp>
        <tr r="T470" s="1"/>
      </tp>
      <tp t="s">
        <v>N/A</v>
        <stp/>
        <stp>PROB_OF_EXPIRING</stp>
        <stp>.QLD201120P98</stp>
        <tr r="T468" s="1"/>
      </tp>
      <tp t="s">
        <v>N/A</v>
        <stp/>
        <stp>PROB_OF_TOUCHING</stp>
        <stp>.EFA201120P70</stp>
        <tr r="V107" s="1"/>
      </tp>
      <tp t="s">
        <v>N/A</v>
        <stp/>
        <stp>PROB_OF_TOUCHING</stp>
        <stp>.EFA201120P69</stp>
        <tr r="V103" s="1"/>
      </tp>
      <tp t="s">
        <v>N/A</v>
        <stp/>
        <stp>IMPL_VOL</stp>
        <stp>.ITB201120C56</stp>
        <tr r="D295" s="1"/>
      </tp>
      <tp t="s">
        <v>N/A</v>
        <stp/>
        <stp>IMPL_VOL</stp>
        <stp>.ITB201120C55</stp>
        <tr r="D291" s="1"/>
      </tp>
      <tp t="s">
        <v>N/A</v>
        <stp/>
        <stp>EXTRINSIC</stp>
        <stp>.IEFA201120P65</stp>
        <tr r="S253" s="1"/>
      </tp>
      <tp t="s">
        <v>N/A</v>
        <stp/>
        <stp>EXTRINSIC</stp>
        <stp>.IEFA201120P66</stp>
        <tr r="S255" s="1"/>
      </tp>
      <tp t="s">
        <v>N/A</v>
        <stp/>
        <stp>PROB_OF_EXPIRING</stp>
        <stp>.XLE201120P34</stp>
        <tr r="T807" s="1"/>
      </tp>
      <tp t="s">
        <v>N/A</v>
        <stp/>
        <stp>PROB_OF_EXPIRING</stp>
        <stp>.XLC201120P64</stp>
        <tr r="T802" s="1"/>
      </tp>
      <tp t="s">
        <v>N/A</v>
        <stp/>
        <stp>PROB_OF_EXPIRING</stp>
        <stp>.XLB201120P70</stp>
        <tr r="T795" s="1"/>
      </tp>
      <tp t="s">
        <v>N/A</v>
        <stp/>
        <stp>PROB_OF_EXPIRING</stp>
        <stp>.XLC201120P63</stp>
        <tr r="T798" s="1"/>
      </tp>
      <tp t="s">
        <v>N/A</v>
        <stp/>
        <stp>PROB_OF_TOUCHING</stp>
        <stp>.VFH201120P66</stp>
        <tr r="V715" s="1"/>
      </tp>
      <tp t="s">
        <v>N/A</v>
        <stp/>
        <stp>PROB_OF_TOUCHING</stp>
        <stp>.VFH201120P67</stp>
        <tr r="V717" s="1"/>
      </tp>
      <tp t="s">
        <v>N/A</v>
        <stp/>
        <stp>PROB_OF_EXPIRING</stp>
        <stp>.ILF201120P25</stp>
        <tr r="T279" s="1"/>
      </tp>
      <tp t="s">
        <v>N/A</v>
        <stp/>
        <stp>PROB_OF_EXPIRING</stp>
        <stp>.XLF201120P27</stp>
        <tr r="T812" s="1"/>
      </tp>
      <tp t="s">
        <v>N/A</v>
        <stp/>
        <stp>PROB_OF_EXPIRING</stp>
        <stp>.XLB201120P69</stp>
        <tr r="T791" s="1"/>
      </tp>
      <tp t="s">
        <v>N/A</v>
        <stp/>
        <stp>PROB_OF_EXPIRING</stp>
        <stp>.XLI201120P85</stp>
        <tr r="T819" s="1"/>
      </tp>
      <tp t="s">
        <v>N/A</v>
        <stp/>
        <stp>PROB_OF_EXPIRING</stp>
        <stp>.XLI201120P84</stp>
        <tr r="T815" s="1"/>
      </tp>
      <tp t="s">
        <v>N/A</v>
        <stp/>
        <stp>PROB_OF_EXPIRING</stp>
        <stp>.XLI201120P86</stp>
        <tr r="T823" s="1"/>
      </tp>
      <tp t="s">
        <v>N/A</v>
        <stp/>
        <stp>EXTRINSIC</stp>
        <stp>.EUFN201120P16</stp>
        <tr r="S119" s="1"/>
      </tp>
      <tp t="s">
        <v>N/A</v>
        <stp/>
        <stp>IMPL_VOL</stp>
        <stp>.VGK201120P57</stp>
        <tr r="D723" s="1"/>
      </tp>
      <tp t="s">
        <v>N/A</v>
        <stp/>
        <stp>PUT_CALL_RATIO</stp>
        <stp>.XLV201120C112</stp>
        <tr r="C865" s="1"/>
      </tp>
      <tp t="s">
        <v>N/A</v>
        <stp/>
        <stp>PUT_CALL_RATIO</stp>
        <stp>.XLV201120P112</stp>
        <tr r="C866" s="1"/>
      </tp>
      <tp t="s">
        <v>N/A</v>
        <stp/>
        <stp>PUT_CALL_RATIO</stp>
        <stp>.XLV201120C110</stp>
        <tr r="C857" s="1"/>
      </tp>
      <tp t="s">
        <v>N/A</v>
        <stp/>
        <stp>PUT_CALL_RATIO</stp>
        <stp>.XLV201120P110</stp>
        <tr r="C858" s="1"/>
      </tp>
      <tp t="s">
        <v>N/A</v>
        <stp/>
        <stp>PUT_CALL_RATIO</stp>
        <stp>.XLV201120C111</stp>
        <tr r="C861" s="1"/>
      </tp>
      <tp t="s">
        <v>N/A</v>
        <stp/>
        <stp>PUT_CALL_RATIO</stp>
        <stp>.XLV201120P111</stp>
        <tr r="C862" s="1"/>
      </tp>
      <tp t="s">
        <v>N/A</v>
        <stp/>
        <stp>EXTRINSIC</stp>
        <stp>.IXUS201120C63</stp>
        <tr r="S361" s="1"/>
      </tp>
      <tp t="s">
        <v>N/A</v>
        <stp/>
        <stp>PROB_OF_TOUCHING</stp>
        <stp>.EFV201120P45</stp>
        <tr r="V110" s="1"/>
      </tp>
      <tp t="s">
        <v>N/A</v>
        <stp/>
        <stp>EXTRINSIC</stp>
        <stp>.VXUS201120C56</stp>
        <tr r="S754" s="1"/>
      </tp>
      <tp t="s">
        <v>N/A</v>
        <stp/>
        <stp>EXTRINSIC</stp>
        <stp>.VXUS201120C57</stp>
        <tr r="S756" s="1"/>
      </tp>
      <tp t="s">
        <v>N/A</v>
        <stp/>
        <stp>IMPL_VOL</stp>
        <stp>.PGX201120P15</stp>
        <tr r="D456" s="1"/>
      </tp>
      <tp t="s">
        <v>N/A</v>
        <stp/>
        <stp>PROB_OF_EXPIRING</stp>
        <stp>.XLP201120P67</stp>
        <tr r="T845" s="1"/>
      </tp>
      <tp t="s">
        <v>N/A</v>
        <stp/>
        <stp>PROB_OF_EXPIRING</stp>
        <stp>.XLU201120P67</stp>
        <tr r="T855" s="1"/>
      </tp>
      <tp t="s">
        <v>N/A</v>
        <stp/>
        <stp>PROB_OF_EXPIRING</stp>
        <stp>.XLU201120P66</stp>
        <tr r="T851" s="1"/>
      </tp>
      <tp>
        <v>463</v>
        <stp/>
        <stp>OPEN_INT</stp>
        <stp>.VNQ201120C84</stp>
        <tr r="G725" s="1"/>
      </tp>
      <tp t="s">
        <v>N/A</v>
        <stp/>
        <stp>OPEN_INT</stp>
        <stp>.VNQ201120C85</stp>
        <tr r="G727" s="1"/>
      </tp>
      <tp t="s">
        <v>N/A</v>
        <stp/>
        <stp>PROB_OTM</stp>
        <stp>.XHB201120P55</stp>
        <tr r="U782" s="1"/>
      </tp>
      <tp t="s">
        <v>N/A</v>
        <stp/>
        <stp>PROB_OTM</stp>
        <stp>.XHB201120P56</stp>
        <tr r="U786" s="1"/>
      </tp>
      <tp t="s">
        <v>N/A</v>
        <stp/>
        <stp>IMPL_VOL</stp>
        <stp>.SHYG201120C45</stp>
        <tr r="D549" s="1"/>
      </tp>
      <tp t="s">
        <v>N/A</v>
        <stp/>
        <stp>PROB_OF_EXPIRING</stp>
        <stp>.SPDW201120P32</stp>
        <tr r="T580" s="1"/>
      </tp>
      <tp t="s">
        <v>N/A</v>
        <stp/>
        <stp>LOW</stp>
        <stp>.IBB201120C139.5</stp>
        <tr r="K235" s="1"/>
      </tp>
      <tp t="s">
        <v>N/A</v>
        <stp/>
        <stp>OPEN_INT</stp>
        <stp>.EMLC201120P32</stp>
        <tr r="G116" s="1"/>
      </tp>
      <tp t="s">
        <v>N/A</v>
        <stp/>
        <stp>IMPL_VOL</stp>
        <stp>.SPYG201120C53</stp>
        <tr r="D632" s="1"/>
      </tp>
      <tp t="s">
        <v>N/A</v>
        <stp/>
        <stp>IMPL_VOL</stp>
        <stp>.SPYG201120C52</stp>
        <tr r="D630" s="1"/>
      </tp>
      <tp t="s">
        <v>N/A</v>
        <stp/>
        <stp>ASK</stp>
        <stp>.XLY201120P154.5</stp>
        <tr r="I881" s="1"/>
      </tp>
      <tp t="s">
        <v>N/A</v>
        <stp/>
        <stp>OPEN_INT</stp>
        <stp>.SPLG201120P42</stp>
        <tr r="G586" s="1"/>
      </tp>
      <tp t="s">
        <v>N/A</v>
        <stp/>
        <stp>DESCRIPTION</stp>
        <stp>.JNK201120P106.5</stp>
        <tr r="B382" s="1"/>
      </tp>
      <tp t="s">
        <v>N/A</v>
        <stp/>
        <stp>OPEN_INT</stp>
        <stp>.HYLB201120P49</stp>
        <tr r="G227" s="1"/>
      </tp>
      <tp t="s">
        <v>N/A</v>
        <stp/>
        <stp>LOW</stp>
        <stp>.IEF201120C119.5</stp>
        <tr r="K249" s="1"/>
      </tp>
      <tp t="s">
        <v>N/A</v>
        <stp/>
        <stp>PROB_OF_EXPIRING</stp>
        <stp>.ACWX201120C50</stp>
        <tr r="T13" s="1"/>
      </tp>
      <tp>
        <v>4.25</v>
        <stp/>
        <stp>BID</stp>
        <stp>.DIA201120P292.5</stp>
        <tr r="H68" s="1"/>
      </tp>
      <tp t="s">
        <v>N/A</v>
        <stp/>
        <stp>OPEN_INT</stp>
        <stp>.BKLN201120P22</stp>
        <tr r="G50" s="1"/>
      </tp>
      <tp t="s">
        <v>N/A</v>
        <stp/>
        <stp>OPEN_INT</stp>
        <stp>.ICLN201120P22</stp>
        <tr r="G247" s="1"/>
      </tp>
      <tp t="s">
        <v>N/A</v>
        <stp/>
        <stp>THETA</stp>
        <stp>.INDA201120C36.5</stp>
        <tr r="O283" s="1"/>
      </tp>
      <tp t="s">
        <v>N/A</v>
        <stp/>
        <stp>PROB_OF_EXPIRING</stp>
        <stp>.INDY201120P38</stp>
        <tr r="T287" s="1"/>
      </tp>
      <tp t="s">
        <v>N/A</v>
        <stp/>
        <stp>THETA</stp>
        <stp>.INDA201120P36.5</stp>
        <tr r="O284" s="1"/>
      </tp>
      <tp t="s">
        <v>N/A</v>
        <stp/>
        <stp>PROB_OTM</stp>
        <stp>.GUSH201120P27</stp>
        <tr r="U217" s="1"/>
      </tp>
      <tp t="s">
        <v>N/A</v>
        <stp/>
        <stp>PROB_OTM</stp>
        <stp>.GUSH201120P26</stp>
        <tr r="U215" s="1"/>
      </tp>
      <tp t="s">
        <v>N/A</v>
        <stp/>
        <stp>PROB_OTM</stp>
        <stp>.GUSH201120P28</stp>
        <tr r="U219" s="1"/>
      </tp>
      <tp>
        <v>2.96</v>
        <stp/>
        <stp>ASK</stp>
        <stp>.XBI201120P124.5</stp>
        <tr r="I775" s="1"/>
      </tp>
      <tp t="s">
        <v>N/A</v>
        <stp/>
        <stp>OPEN_INT</stp>
        <stp>.SPLV201120P55</stp>
        <tr r="G589" s="1"/>
      </tp>
      <tp t="s">
        <v>N/A</v>
        <stp/>
        <stp>ASK</stp>
        <stp>.XLY201120C154.5</stp>
        <tr r="I880" s="1"/>
      </tp>
      <tp t="s">
        <v>N/A</v>
        <stp/>
        <stp>OPEN_INT</stp>
        <stp>.AMLP201120P23</stp>
        <tr r="G20" s="1"/>
      </tp>
      <tp t="s">
        <v>N/A</v>
        <stp/>
        <stp>OPEN_INT</stp>
        <stp>.AMLP201120P24</stp>
        <tr r="G24" s="1"/>
      </tp>
      <tp>
        <v>2.15</v>
        <stp/>
        <stp>LOW</stp>
        <stp>.IBB201120P139.5</stp>
        <tr r="K236" s="1"/>
      </tp>
      <tp t="s">
        <v>N/A</v>
        <stp/>
        <stp>LOW</stp>
        <stp>.IEF201120P119.5</stp>
        <tr r="K250" s="1"/>
      </tp>
      <tp t="s">
        <v>N/A</v>
        <stp/>
        <stp>PROB_OF_EXPIRING</stp>
        <stp>.ACWI201120C86</stp>
        <tr r="T10" s="1"/>
      </tp>
      <tp t="s">
        <v>N/A</v>
        <stp/>
        <stp>PROB_OF_EXPIRING</stp>
        <stp>.ACWI201120C85</stp>
        <tr r="T8" s="1"/>
      </tp>
      <tp t="s">
        <v>N/A</v>
        <stp/>
        <stp>PROB_OF_EXPIRING</stp>
        <stp>.INDA201120P36</stp>
        <tr r="T282" s="1"/>
      </tp>
      <tp t="s">
        <v>N/A</v>
        <stp/>
        <stp>IMPL_VOL</stp>
        <stp>.SPYV201120C33</stp>
        <tr r="D635" s="1"/>
      </tp>
      <tp t="s">
        <v>N/A</v>
        <stp/>
        <stp>DESCRIPTION</stp>
        <stp>.JNK201120C106.5</stp>
        <tr r="B381" s="1"/>
      </tp>
      <tp>
        <v>3</v>
        <stp/>
        <stp>BID</stp>
        <stp>.DIA201120C292.5</stp>
        <tr r="H67" s="1"/>
      </tp>
      <tp>
        <v>2.1</v>
        <stp/>
        <stp>ASK</stp>
        <stp>.XBI201120C124.5</stp>
        <tr r="I774" s="1"/>
      </tp>
      <tp t="s">
        <v>N/A</v>
        <stp/>
        <stp>DELTA</stp>
        <stp>.INDA201120C36.5</stp>
        <tr r="M283" s="1"/>
      </tp>
      <tp t="s">
        <v>N/A</v>
        <stp/>
        <stp>DELTA</stp>
        <stp>.INDA201120P36.5</stp>
        <tr r="M284" s="1"/>
      </tp>
      <tp t="s">
        <v>N/A</v>
        <stp/>
        <stp>PROB_OF_TOUCHING</stp>
        <stp>.ITOT201120P80</stp>
        <tr r="V299" s="1"/>
      </tp>
      <tp t="s">
        <v>N/A</v>
        <stp/>
        <stp>PROB_OF_TOUCHING</stp>
        <stp>.ITOT201120P81</stp>
        <tr r="V301" s="1"/>
      </tp>
      <tp>
        <v>0</v>
        <stp/>
        <stp>THETA</stp>
        <stp>EWL</stp>
        <tr r="O142" s="1"/>
      </tp>
      <tp>
        <v>0</v>
        <stp/>
        <stp>THETA</stp>
        <stp>EWJ</stp>
        <tr r="O135" s="1"/>
      </tp>
      <tp>
        <v>0</v>
        <stp/>
        <stp>THETA</stp>
        <stp>EWH</stp>
        <tr r="O129" s="1"/>
      </tp>
      <tp>
        <v>0</v>
        <stp/>
        <stp>THETA</stp>
        <stp>EWI</stp>
        <tr r="O132" s="1"/>
      </tp>
      <tp>
        <v>0</v>
        <stp/>
        <stp>THETA</stp>
        <stp>EWG</stp>
        <tr r="O126" s="1"/>
      </tp>
      <tp>
        <v>0</v>
        <stp/>
        <stp>THETA</stp>
        <stp>EWC</stp>
        <tr r="O123" s="1"/>
      </tp>
      <tp>
        <v>0</v>
        <stp/>
        <stp>THETA</stp>
        <stp>EWA</stp>
        <tr r="O120" s="1"/>
      </tp>
      <tp>
        <v>0</v>
        <stp/>
        <stp>THETA</stp>
        <stp>EWZ</stp>
        <tr r="O172" s="1"/>
      </tp>
      <tp>
        <v>0</v>
        <stp/>
        <stp>THETA</stp>
        <stp>EWY</stp>
        <tr r="O161" s="1"/>
      </tp>
      <tp>
        <v>0</v>
        <stp/>
        <stp>THETA</stp>
        <stp>EWW</stp>
        <tr r="O154" s="1"/>
      </tp>
      <tp>
        <v>0</v>
        <stp/>
        <stp>THETA</stp>
        <stp>EWT</stp>
        <tr r="O148" s="1"/>
      </tp>
      <tp>
        <v>0</v>
        <stp/>
        <stp>THETA</stp>
        <stp>EWU</stp>
        <tr r="O151" s="1"/>
      </tp>
      <tp>
        <v>0</v>
        <stp/>
        <stp>THETA</stp>
        <stp>EWP</stp>
        <tr r="O145" s="1"/>
      </tp>
      <tp t="s">
        <v>N/A</v>
        <stp/>
        <stp>DELTA</stp>
        <stp>.FEZ201120C40</stp>
        <tr r="M183" s="1"/>
      </tp>
      <tp>
        <v>57.61</v>
        <stp/>
        <stp>OPEN</stp>
        <stp>IEMG</stp>
        <tr r="L256" s="1"/>
      </tp>
      <tp t="s">
        <v>N/A</v>
        <stp/>
        <stp>THETA</stp>
        <stp>.EFV201120P45</stp>
        <tr r="O110" s="1"/>
      </tp>
      <tp>
        <v>69.89</v>
        <stp/>
        <stp>HIGH</stp>
        <stp>VGIT</stp>
        <tr r="J718" s="1"/>
      </tp>
      <tp>
        <v>61</v>
        <stp/>
        <stp>HIGH</stp>
        <stp>IGIB</stp>
        <tr r="J261" s="1"/>
      </tp>
      <tp t="s">
        <v>N/A</v>
        <stp/>
        <stp>THETA</stp>
        <stp>.IVV201120C357.5</stp>
        <tr r="O318" s="1"/>
      </tp>
      <tp t="s">
        <v>N/A</v>
        <stp/>
        <stp>THETA</stp>
        <stp>.IWF201120C227.5</stp>
        <tr r="O343" s="1"/>
      </tp>
      <tp t="s">
        <v>N/A</v>
        <stp/>
        <stp>DELTA</stp>
        <stp>.IWF201120P227.5</stp>
        <tr r="M344" s="1"/>
      </tp>
      <tp>
        <v>1</v>
        <stp/>
        <stp>DELTA</stp>
        <stp>LQD</stp>
        <tr r="M404" s="1"/>
      </tp>
      <tp t="s">
        <v>N/A</v>
        <stp/>
        <stp>DELTA</stp>
        <stp>.IVV201120P357.5</stp>
        <tr r="M319" s="1"/>
      </tp>
      <tp t="s">
        <v>N/A</v>
        <stp/>
        <stp>GAMMA</stp>
        <stp>.EFV201120C45</stp>
        <tr r="N109" s="1"/>
      </tp>
      <tp>
        <v>0</v>
        <stp/>
        <stp>VEGA</stp>
        <stp>IGIB</stp>
        <tr r="P261" s="1"/>
      </tp>
      <tp>
        <v>64.8</v>
        <stp/>
        <stp>OPEN</stp>
        <stp>IEFA</stp>
        <tr r="L251" s="1"/>
      </tp>
      <tp>
        <v>0</v>
        <stp/>
        <stp>VEGA</stp>
        <stp>VGIT</stp>
        <tr r="P718" s="1"/>
      </tp>
      <tp>
        <v>0</v>
        <stp/>
        <stp>GAMMA</stp>
        <stp>MDY</stp>
        <tr r="N414" s="1"/>
      </tp>
      <tp t="s">
        <v>N/A</v>
        <stp/>
        <stp>GAMMA</stp>
        <stp>.IVW201120C61.25</stp>
        <tr r="N331" s="1"/>
      </tp>
      <tp t="s">
        <v>N/A</v>
        <stp/>
        <stp>GAMMA</stp>
        <stp>.SMH201120C194.5</stp>
        <tr r="N560" s="1"/>
      </tp>
      <tp>
        <v>0</v>
        <stp/>
        <stp>THETA</stp>
        <stp>EZU</stp>
        <tr r="O177" s="1"/>
      </tp>
      <tp t="s">
        <v>N/A</v>
        <stp/>
        <stp>DELTA</stp>
        <stp>.DVY201120P93</stp>
        <tr r="M90" s="1"/>
      </tp>
      <tp t="s">
        <v>N/A</v>
        <stp/>
        <stp>DELTA</stp>
        <stp>.DVY201120P92</stp>
        <tr r="M88" s="1"/>
      </tp>
      <tp t="s">
        <v>N/A</v>
        <stp/>
        <stp>DELTA</stp>
        <stp>.DVY201120P91</stp>
        <tr r="M86" s="1"/>
      </tp>
      <tp t="s">
        <v>N/A</v>
        <stp/>
        <stp>DELTA</stp>
        <stp>.VEU201120C55</stp>
        <tr r="M711" s="1"/>
      </tp>
      <tp>
        <v>0</v>
        <stp/>
        <stp>VEGA</stp>
        <stp>DGRO</stp>
        <tr r="P59" s="1"/>
      </tp>
      <tp>
        <v>0</v>
        <stp/>
        <stp>THETA</stp>
        <stp>EFA</stp>
        <tr r="O101" s="1"/>
      </tp>
      <tp>
        <v>0</v>
        <stp/>
        <stp>THETA</stp>
        <stp>EFV</stp>
        <tr r="O108" s="1"/>
      </tp>
      <tp>
        <v>0</v>
        <stp/>
        <stp>THETA</stp>
        <stp>EEM</stp>
        <tr r="O94" s="1"/>
      </tp>
      <tp t="s">
        <v>N/A</v>
        <stp/>
        <stp>DELTA</stp>
        <stp>.IVV201120C357.5</stp>
        <tr r="M318" s="1"/>
      </tp>
      <tp t="s">
        <v>N/A</v>
        <stp/>
        <stp>THETA</stp>
        <stp>.EFA201120P69</stp>
        <tr r="O103" s="1"/>
      </tp>
      <tp t="s">
        <v>N/A</v>
        <stp/>
        <stp>GAMMA</stp>
        <stp>.VFH201120C66</stp>
        <tr r="N714" s="1"/>
      </tp>
      <tp t="s">
        <v>N/A</v>
        <stp/>
        <stp>GAMMA</stp>
        <stp>.VFH201120C67</stp>
        <tr r="N716" s="1"/>
      </tp>
      <tp t="s">
        <v>N/A</v>
        <stp/>
        <stp>DELTA</stp>
        <stp>.IWF201120C227.5</stp>
        <tr r="M343" s="1"/>
      </tp>
      <tp t="s">
        <v>N/A</v>
        <stp/>
        <stp>THETA</stp>
        <stp>.EFA201120P70</stp>
        <tr r="O107" s="1"/>
      </tp>
      <tp t="s">
        <v>N/A</v>
        <stp/>
        <stp>THETA</stp>
        <stp>.IWF201120P227.5</stp>
        <tr r="O344" s="1"/>
      </tp>
      <tp t="s">
        <v>N/A</v>
        <stp/>
        <stp>THETA</stp>
        <stp>.IVV201120P357.5</stp>
        <tr r="O319" s="1"/>
      </tp>
      <tp t="s">
        <v>N/A</v>
        <stp/>
        <stp>DELTA</stp>
        <stp>.EEM201120C48</stp>
        <tr r="M97" s="1"/>
      </tp>
      <tp>
        <v>19.43</v>
        <stp/>
        <stp>OPEN</stp>
        <stp>JETS</stp>
        <tr r="L375" s="1"/>
      </tp>
      <tp>
        <v>42.79</v>
        <stp/>
        <stp>HIGH</stp>
        <stp>DGRO</stp>
        <tr r="J59" s="1"/>
      </tp>
      <tp t="s">
        <v>N/A</v>
        <stp/>
        <stp>GAMMA</stp>
        <stp>.IVW201120P61.25</stp>
        <tr r="N332" s="1"/>
      </tp>
      <tp t="s">
        <v>N/A</v>
        <stp/>
        <stp>DELTA</stp>
        <stp>.FVD201120P35</stp>
        <tr r="M187" s="1"/>
      </tp>
      <tp>
        <v>0</v>
        <stp/>
        <stp>THETA</stp>
        <stp>EMB</stp>
        <tr r="O111" s="1"/>
      </tp>
      <tp>
        <v>66.23</v>
        <stp/>
        <stp>LAST</stp>
        <stp>USMV</stp>
        <tr r="E698" s="1"/>
      </tp>
      <tp t="s">
        <v>N/A</v>
        <stp/>
        <stp>RHO</stp>
        <stp>.ASHR201120P37.5</stp>
        <tr r="Q45" s="1"/>
      </tp>
      <tp t="s">
        <v>N/A</v>
        <stp/>
        <stp>RHO</stp>
        <stp>.ASHR201120C37.5</stp>
        <tr r="Q44" s="1"/>
      </tp>
      <tp>
        <v>0</v>
        <stp/>
        <stp>GAMMA</stp>
        <stp>MUB</stp>
        <tr r="N435" s="1"/>
      </tp>
      <tp t="s">
        <v>N/A</v>
        <stp/>
        <stp>DELTA</stp>
        <stp>.VEA201120C44</stp>
        <tr r="M708" s="1"/>
      </tp>
      <tp t="s">
        <v>N/A</v>
        <stp/>
        <stp>GAMMA</stp>
        <stp>.EFA201120C70</stp>
        <tr r="N106" s="1"/>
      </tp>
      <tp t="s">
        <v>N/A</v>
        <stp/>
        <stp>GAMMA</stp>
        <stp>.EFA201120C69</stp>
        <tr r="N102" s="1"/>
      </tp>
      <tp t="s">
        <v>N/A</v>
        <stp/>
        <stp>THETA</stp>
        <stp>.VFH201120P66</stp>
        <tr r="O715" s="1"/>
      </tp>
      <tp t="s">
        <v>N/A</v>
        <stp/>
        <stp>THETA</stp>
        <stp>.VFH201120P67</stp>
        <tr r="O717" s="1"/>
      </tp>
      <tp>
        <v>37.54</v>
        <stp/>
        <stp>LAST</stp>
        <stp>ASHR</stp>
        <tr r="E43" s="1"/>
      </tp>
      <tp t="s">
        <v>N/A</v>
        <stp/>
        <stp>GAMMA</stp>
        <stp>.SMH201120P194.5</stp>
        <tr r="N561" s="1"/>
      </tp>
      <tp t="s">
        <v>N/A</v>
        <stp/>
        <stp>PUT_CALL_RATIO</stp>
        <stp>.FEZ201120C40</stp>
        <tr r="C183" s="1"/>
      </tp>
      <tp t="s">
        <v>N/A</v>
        <stp/>
        <stp>VOLUME</stp>
        <stp>.VFH201120C67</stp>
        <tr r="F716" s="1"/>
      </tp>
      <tp t="s">
        <v>N/A</v>
        <stp/>
        <stp>VOLUME</stp>
        <stp>.VFH201120C66</stp>
        <tr r="F714" s="1"/>
      </tp>
      <tp t="s">
        <v>N/A</v>
        <stp/>
        <stp>PUT_CALL_RATIO</stp>
        <stp>.DVY201120P91</stp>
        <tr r="C86" s="1"/>
      </tp>
      <tp t="s">
        <v>N/A</v>
        <stp/>
        <stp>PUT_CALL_RATIO</stp>
        <stp>.DVY201120P93</stp>
        <tr r="C90" s="1"/>
      </tp>
      <tp t="s">
        <v>N/A</v>
        <stp/>
        <stp>PUT_CALL_RATIO</stp>
        <stp>.DVY201120P92</stp>
        <tr r="C88" s="1"/>
      </tp>
      <tp t="s">
        <v>N/A</v>
        <stp/>
        <stp>PUT_CALL_RATIO</stp>
        <stp>.VEU201120C55</stp>
        <tr r="C711" s="1"/>
      </tp>
      <tp>
        <v>1005</v>
        <stp/>
        <stp>VOLUME</stp>
        <stp>.EFA201120C69</stp>
        <tr r="F102" s="1"/>
      </tp>
      <tp t="s">
        <v>N/A</v>
        <stp/>
        <stp>STRIKE</stp>
        <stp>.VNQ201120P85</stp>
        <tr r="W728" s="1"/>
      </tp>
      <tp t="s">
        <v>N/A</v>
        <stp/>
        <stp>STRIKE</stp>
        <stp>.VNQ201120P84</stp>
        <tr r="W726" s="1"/>
      </tp>
      <tp>
        <v>958</v>
        <stp/>
        <stp>VOLUME</stp>
        <stp>.EFA201120C70</stp>
        <tr r="F106" s="1"/>
      </tp>
      <tp t="s">
        <v>N/A</v>
        <stp/>
        <stp>PUT_CALL_RATIO</stp>
        <stp>.EEM201120C48</stp>
        <tr r="C97" s="1"/>
      </tp>
      <tp t="s">
        <v>N/A</v>
        <stp/>
        <stp>DESCRIPTION</stp>
        <stp>.ITOT201120C81</stp>
        <tr r="B300" s="1"/>
      </tp>
      <tp t="s">
        <v>N/A</v>
        <stp/>
        <stp>DESCRIPTION</stp>
        <stp>.ITOT201120C80</stp>
        <tr r="B298" s="1"/>
      </tp>
      <tp t="s">
        <v>N/A</v>
        <stp/>
        <stp>PUT_CALL_RATIO</stp>
        <stp>.VEA201120C44</stp>
        <tr r="C708" s="1"/>
      </tp>
      <tp t="s">
        <v>N/A</v>
        <stp/>
        <stp>VOLUME</stp>
        <stp>.EFV201120C45</stp>
        <tr r="F109" s="1"/>
      </tp>
      <tp t="s">
        <v>N/A</v>
        <stp/>
        <stp>PUT_CALL_RATIO</stp>
        <stp>.FVD201120P35</stp>
        <tr r="C187" s="1"/>
      </tp>
      <tp>
        <v>472</v>
        <stp/>
        <stp>VOLUME</stp>
        <stp>.DIA201120C294</stp>
        <tr r="F71" s="1"/>
      </tp>
      <tp>
        <v>293</v>
        <stp/>
        <stp>VOLUME</stp>
        <stp>.DIA201120P294</stp>
        <tr r="F72" s="1"/>
      </tp>
      <tp>
        <v>629</v>
        <stp/>
        <stp>VOLUME</stp>
        <stp>.DIA201120C295</stp>
        <tr r="F73" s="1"/>
      </tp>
      <tp>
        <v>394</v>
        <stp/>
        <stp>VOLUME</stp>
        <stp>.DIA201120P295</stp>
        <tr r="F74" s="1"/>
      </tp>
      <tp>
        <v>239</v>
        <stp/>
        <stp>VOLUME</stp>
        <stp>.DIA201120C296</stp>
        <tr r="F75" s="1"/>
      </tp>
      <tp>
        <v>42</v>
        <stp/>
        <stp>VOLUME</stp>
        <stp>.DIA201120P296</stp>
        <tr r="F76" s="1"/>
      </tp>
      <tp>
        <v>351</v>
        <stp/>
        <stp>VOLUME</stp>
        <stp>.DIA201120C297</stp>
        <tr r="F77" s="1"/>
      </tp>
      <tp>
        <v>88</v>
        <stp/>
        <stp>VOLUME</stp>
        <stp>.DIA201120P297</stp>
        <tr r="F78" s="1"/>
      </tp>
      <tp>
        <v>437</v>
        <stp/>
        <stp>VOLUME</stp>
        <stp>.DIA201120C291</stp>
        <tr r="F63" s="1"/>
      </tp>
      <tp>
        <v>1006</v>
        <stp/>
        <stp>VOLUME</stp>
        <stp>.DIA201120P291</stp>
        <tr r="F64" s="1"/>
      </tp>
      <tp>
        <v>1040</v>
        <stp/>
        <stp>VOLUME</stp>
        <stp>.DIA201120C292</stp>
        <tr r="F65" s="1"/>
      </tp>
      <tp>
        <v>960</v>
        <stp/>
        <stp>VOLUME</stp>
        <stp>.DIA201120P292</stp>
        <tr r="F66" s="1"/>
      </tp>
      <tp>
        <v>296</v>
        <stp/>
        <stp>VOLUME</stp>
        <stp>.DIA201120C293</stp>
        <tr r="F69" s="1"/>
      </tp>
      <tp>
        <v>243</v>
        <stp/>
        <stp>VOLUME</stp>
        <stp>.DIA201120P293</stp>
        <tr r="F70" s="1"/>
      </tp>
      <tp t="s">
        <v>N/A</v>
        <stp/>
        <stp>PROB_OF_TOUCHING</stp>
        <stp>.ITB201120C56</stp>
        <tr r="V295" s="1"/>
      </tp>
      <tp t="s">
        <v>N/A</v>
        <stp/>
        <stp>PROB_OF_TOUCHING</stp>
        <stp>.ITB201120C55</stp>
        <tr r="V291" s="1"/>
      </tp>
      <tp t="s">
        <v>N/A</v>
        <stp/>
        <stp>PUT_CALL_RATIO</stp>
        <stp>.VT201120P86</stp>
        <tr r="C736" s="1"/>
      </tp>
      <tp t="s">
        <v>N/A</v>
        <stp/>
        <stp>PUT_CALL_RATIO</stp>
        <stp>.VT201120P87</stp>
        <tr r="C738" s="1"/>
      </tp>
      <tp t="s">
        <v>N/A</v>
        <stp/>
        <stp>INTRINSIC</stp>
        <stp>.PDBC201120C14</stp>
        <tr r="R452" s="1"/>
      </tp>
      <tp t="s">
        <v>N/A</v>
        <stp/>
        <stp>IMPL_VOL</stp>
        <stp>.EFA201120P69</stp>
        <tr r="D103" s="1"/>
      </tp>
      <tp t="s">
        <v>N/A</v>
        <stp/>
        <stp>IMPL_VOL</stp>
        <stp>.EFA201120P70</stp>
        <tr r="D107" s="1"/>
      </tp>
      <tp t="s">
        <v>N/A</v>
        <stp/>
        <stp>PROB_OF_EXPIRING</stp>
        <stp>.XME201120P27</stp>
        <tr r="T888" s="1"/>
      </tp>
      <tp t="s">
        <v>N/A</v>
        <stp/>
        <stp>PROB_OTM</stp>
        <stp>.BZQ201120C12</stp>
        <tr r="U52" s="1"/>
      </tp>
      <tp>
        <v>7</v>
        <stp/>
        <stp>VOLUME</stp>
        <stp>.IBB201120C139</stp>
        <tr r="F233" s="1"/>
      </tp>
      <tp t="s">
        <v>N/A</v>
        <stp/>
        <stp>VOLUME</stp>
        <stp>.IBB201120P139</stp>
        <tr r="F234" s="1"/>
      </tp>
      <tp t="s">
        <v>N/A</v>
        <stp/>
        <stp>VOLUME</stp>
        <stp>.IBB201120C138</stp>
        <tr r="F229" s="1"/>
      </tp>
      <tp>
        <v>14</v>
        <stp/>
        <stp>VOLUME</stp>
        <stp>.IBB201120P138</stp>
        <tr r="F230" s="1"/>
      </tp>
      <tp t="s">
        <v>N/A</v>
        <stp/>
        <stp>PROB_OTM</stp>
        <stp>.EZU201120C42</stp>
        <tr r="U178" s="1"/>
      </tp>
      <tp t="s">
        <v>N/A</v>
        <stp/>
        <stp>PROB_OF_TOUCHING</stp>
        <stp>.VGK201120P57</stp>
        <tr r="V723" s="1"/>
      </tp>
      <tp>
        <v>5000</v>
        <stp/>
        <stp>VOLUME</stp>
        <stp>.EMB201120C114</stp>
        <tr r="F112" s="1"/>
      </tp>
      <tp t="s">
        <v>N/A</v>
        <stp/>
        <stp>VOLUME</stp>
        <stp>.EMB201120P114</stp>
        <tr r="F113" s="1"/>
      </tp>
      <tp t="s">
        <v>N/A</v>
        <stp/>
        <stp>VOLUME</stp>
        <stp>.MUB201120P116</stp>
        <tr r="F437" s="1"/>
      </tp>
      <tp t="s">
        <v>N/A</v>
        <stp/>
        <stp>VOLUME</stp>
        <stp>.MUB201120C116</stp>
        <tr r="F436" s="1"/>
      </tp>
      <tp t="s">
        <v>N/A</v>
        <stp/>
        <stp>IMPL_VOL</stp>
        <stp>.VFH201120P66</stp>
        <tr r="D715" s="1"/>
      </tp>
      <tp t="s">
        <v>N/A</v>
        <stp/>
        <stp>IMPL_VOL</stp>
        <stp>.VFH201120P67</stp>
        <tr r="D717" s="1"/>
      </tp>
      <tp t="s">
        <v>N/A</v>
        <stp/>
        <stp>VOLUME</stp>
        <stp>.IBB201120C141</stp>
        <tr r="F241" s="1"/>
      </tp>
      <tp>
        <v>0</v>
        <stp/>
        <stp>VOLUME</stp>
        <stp>.IBB201120P141</stp>
        <tr r="F242" s="1"/>
      </tp>
      <tp t="s">
        <v>N/A</v>
        <stp/>
        <stp>VOLUME</stp>
        <stp>.IBB201120C140</stp>
        <tr r="F237" s="1"/>
      </tp>
      <tp t="s">
        <v>N/A</v>
        <stp/>
        <stp>VOLUME</stp>
        <stp>.IBB201120P140</stp>
        <tr r="F238" s="1"/>
      </tp>
      <tp t="s">
        <v>N/A</v>
        <stp/>
        <stp>EXTRINSIC</stp>
        <stp>.JETS201120C20</stp>
        <tr r="S378" s="1"/>
      </tp>
      <tp t="s">
        <v>N/A</v>
        <stp/>
        <stp>IMPL_VOL</stp>
        <stp>.EFV201120P45</stp>
        <tr r="D110" s="1"/>
      </tp>
      <tp t="s">
        <v>N/A</v>
        <stp/>
        <stp>OPEN_INT</stp>
        <stp>.XOP201120C47</stp>
        <tr r="G890" s="1"/>
      </tp>
      <tp t="s">
        <v>N/A</v>
        <stp/>
        <stp>OPEN_INT</stp>
        <stp>.XOP201120C48</stp>
        <tr r="G894" s="1"/>
      </tp>
      <tp>
        <v>6543</v>
        <stp/>
        <stp>OPEN_INT</stp>
        <stp>.XOP201120C49</stp>
        <tr r="G898" s="1"/>
      </tp>
      <tp t="s">
        <v>N/A</v>
        <stp/>
        <stp>PROB_OF_TOUCHING</stp>
        <stp>.PGX201120P15</stp>
        <tr r="V456" s="1"/>
      </tp>
      <tp t="s">
        <v>N/A</v>
        <stp/>
        <stp>LOW</stp>
        <stp>.IBB201120C138.5</stp>
        <tr r="K231" s="1"/>
      </tp>
      <tp t="s">
        <v>N/A</v>
        <stp/>
        <stp>RHO</stp>
        <stp>.DIA201120P292.5</stp>
        <tr r="Q68" s="1"/>
      </tp>
      <tp t="s">
        <v>N/A</v>
        <stp/>
        <stp>IMPL_VOL</stp>
        <stp>.ARKK201120P97</stp>
        <tr r="D27" s="1"/>
      </tp>
      <tp t="s">
        <v>N/A</v>
        <stp/>
        <stp>IMPL_VOL</stp>
        <stp>.AAXJ201120C84</stp>
        <tr r="D5" s="1"/>
      </tp>
      <tp t="s">
        <v>N/A</v>
        <stp/>
        <stp>IMPL_VOL</stp>
        <stp>.AAXJ201120C83</stp>
        <tr r="D3" s="1"/>
      </tp>
      <tp t="s">
        <v>N/A</v>
        <stp/>
        <stp>IMPL_VOL</stp>
        <stp>.ARKK201120P99</stp>
        <tr r="D31" s="1"/>
      </tp>
      <tp t="s">
        <v>N/A</v>
        <stp/>
        <stp>IMPL_VOL</stp>
        <stp>.ARKK201120P98</stp>
        <tr r="D29" s="1"/>
      </tp>
      <tp>
        <v>0</v>
        <stp/>
        <stp>OPEN_INT</stp>
        <stp>.IEMG201120P58</stp>
        <tr r="G260" s="1"/>
      </tp>
      <tp>
        <v>7</v>
        <stp/>
        <stp>OPEN_INT</stp>
        <stp>.IEMG201120P57</stp>
        <tr r="G258" s="1"/>
      </tp>
      <tp t="s">
        <v>N/A</v>
        <stp/>
        <stp>PROB_OTM</stp>
        <stp>.XLRE201120P37</stp>
        <tr r="U848" s="1"/>
      </tp>
      <tp t="s">
        <v>N/A</v>
        <stp/>
        <stp>PROB_OF_EXPIRING</stp>
        <stp>.SRVR201120C35</stp>
        <tr r="T638" s="1"/>
      </tp>
      <tp t="s">
        <v>N/A</v>
        <stp/>
        <stp>PROB_OF_EXPIRING</stp>
        <stp>.SRVR201120C36</stp>
        <tr r="T640" s="1"/>
      </tp>
      <tp t="s">
        <v>N/A</v>
        <stp/>
        <stp>IMPL_VOL</stp>
        <stp>.GDXJ201120C53</stp>
        <tr r="D207" s="1"/>
      </tp>
      <tp t="s">
        <v>N/A</v>
        <stp/>
        <stp>IMPL_VOL</stp>
        <stp>.GDXJ201120C52</stp>
        <tr r="D203" s="1"/>
      </tp>
      <tp t="s">
        <v>N/A</v>
        <stp/>
        <stp>IMPL_VOL</stp>
        <stp>.GDXJ201120C54</stp>
        <tr r="D211" s="1"/>
      </tp>
      <tp t="s">
        <v>N/A</v>
        <stp/>
        <stp>PROB_OTM</stp>
        <stp>.DGRO201120P43</stp>
        <tr r="U61" s="1"/>
      </tp>
      <tp>
        <v>3.55</v>
        <stp/>
        <stp>ASK</stp>
        <stp>.XBI201120P125.5</stp>
        <tr r="I779" s="1"/>
      </tp>
      <tp>
        <v>0</v>
        <stp/>
        <stp>OPEN_INT</stp>
        <stp>.USMV201120P67</stp>
        <tr r="G700" s="1"/>
      </tp>
      <tp t="s">
        <v>N/A</v>
        <stp/>
        <stp>PROB_OF_EXPIRING</stp>
        <stp>.KWEB201120P74</stp>
        <tr r="T403" s="1"/>
      </tp>
      <tp t="s">
        <v>N/A</v>
        <stp/>
        <stp>PROB_OF_EXPIRING</stp>
        <stp>.KWEB201120P73</stp>
        <tr r="T401" s="1"/>
      </tp>
      <tp t="s">
        <v>N/A</v>
        <stp/>
        <stp>PROB_OF_EXPIRING</stp>
        <stp>.KWEB201120P72</stp>
        <tr r="T399" s="1"/>
      </tp>
      <tp>
        <v>0</v>
        <stp/>
        <stp>LOW</stp>
        <stp>.IBB201120P138.5</stp>
        <tr r="K232" s="1"/>
      </tp>
      <tp t="s">
        <v>N/A</v>
        <stp/>
        <stp>RHO</stp>
        <stp>.DIA201120C292.5</stp>
        <tr r="Q67" s="1"/>
      </tp>
      <tp t="s">
        <v>N/A</v>
        <stp/>
        <stp>PROB_OF_EXPIRING</stp>
        <stp>.DFEN201120P13</stp>
        <tr r="T56" s="1"/>
      </tp>
      <tp t="s">
        <v>N/A</v>
        <stp/>
        <stp>PROB_OF_EXPIRING</stp>
        <stp>.DFEN201120P14</stp>
        <tr r="T58" s="1"/>
      </tp>
      <tp>
        <v>1.62</v>
        <stp/>
        <stp>ASK</stp>
        <stp>.XBI201120C125.5</stp>
        <tr r="I778" s="1"/>
      </tp>
      <tp>
        <v>0</v>
        <stp/>
        <stp>VEGA</stp>
        <stp>PDBC</stp>
        <tr r="P451" s="1"/>
      </tp>
      <tp>
        <v>0</v>
        <stp/>
        <stp>THETA</stp>
        <stp>FVD</stp>
        <tr r="O185" s="1"/>
      </tp>
      <tp>
        <v>0.04</v>
        <stp/>
        <stp>GAMMA</stp>
        <stp>.SPY201120P357.5</stp>
        <tr r="N620" s="1"/>
      </tp>
      <tp t="s">
        <v>N/A</v>
        <stp/>
        <stp>THETA</stp>
        <stp>.DVY201120C92</stp>
        <tr r="O87" s="1"/>
      </tp>
      <tp t="s">
        <v>N/A</v>
        <stp/>
        <stp>THETA</stp>
        <stp>.DVY201120C93</stp>
        <tr r="O89" s="1"/>
      </tp>
      <tp t="s">
        <v>N/A</v>
        <stp/>
        <stp>THETA</stp>
        <stp>.DVY201120C91</stp>
        <tr r="O85" s="1"/>
      </tp>
      <tp t="s">
        <v>N/A</v>
        <stp/>
        <stp>THETA</stp>
        <stp>.VEU201120P55</stp>
        <tr r="O712" s="1"/>
      </tp>
      <tp t="s">
        <v>N/A</v>
        <stp/>
        <stp>GAMMA</stp>
        <stp>.FEZ201120C40</stp>
        <tr r="N183" s="1"/>
      </tp>
      <tp>
        <v>1.39</v>
        <stp/>
        <stp>BID</stp>
        <stp>.GDXJ201120C53.5</stp>
        <tr r="H209" s="1"/>
      </tp>
      <tp>
        <v>1.08</v>
        <stp/>
        <stp>BID</stp>
        <stp>.GDXJ201120P53.5</stp>
        <tr r="H210" s="1"/>
      </tp>
      <tp>
        <v>14.14</v>
        <stp/>
        <stp>HIGH</stp>
        <stp>PDBC</stp>
        <tr r="J451" s="1"/>
      </tp>
      <tp>
        <v>12.88</v>
        <stp/>
        <stp>OPEN</stp>
        <stp>DFEN</stp>
        <tr r="L54" s="1"/>
      </tp>
      <tp t="s">
        <v>N/A</v>
        <stp/>
        <stp>GAMMA</stp>
        <stp>.DVY201120P92</stp>
        <tr r="N88" s="1"/>
      </tp>
      <tp t="s">
        <v>N/A</v>
        <stp/>
        <stp>GAMMA</stp>
        <stp>.DVY201120P93</stp>
        <tr r="N90" s="1"/>
      </tp>
      <tp t="s">
        <v>N/A</v>
        <stp/>
        <stp>GAMMA</stp>
        <stp>.DVY201120P91</stp>
        <tr r="N86" s="1"/>
      </tp>
      <tp t="s">
        <v>N/A</v>
        <stp/>
        <stp>GAMMA</stp>
        <stp>.VEU201120C55</stp>
        <tr r="N711" s="1"/>
      </tp>
      <tp t="s">
        <v>N/A</v>
        <stp/>
        <stp>RHO</stp>
        <stp>.GDXJ201120C52.5</stp>
        <tr r="Q205" s="1"/>
      </tp>
      <tp t="s">
        <v>N/A</v>
        <stp/>
        <stp>RHO</stp>
        <stp>.GDXJ201120P52.5</stp>
        <tr r="Q206" s="1"/>
      </tp>
      <tp t="s">
        <v>N/A</v>
        <stp/>
        <stp>GAMMA</stp>
        <stp>.SMH201120C197.5</stp>
        <tr r="N572" s="1"/>
      </tp>
      <tp t="s">
        <v>N/A</v>
        <stp/>
        <stp>DELTA</stp>
        <stp>.EFV201120C45</stp>
        <tr r="M109" s="1"/>
      </tp>
      <tp t="s">
        <v>N/A</v>
        <stp/>
        <stp>THETA</stp>
        <stp>.FEZ201120P40</stp>
        <tr r="O184" s="1"/>
      </tp>
      <tp>
        <v>32.380000000000003</v>
        <stp/>
        <stp>LAST</stp>
        <stp>SPYV</stp>
        <tr r="E634" s="1"/>
      </tp>
      <tp>
        <v>52.28</v>
        <stp/>
        <stp>LAST</stp>
        <stp>SPYG</stp>
        <tr r="E629" s="1"/>
      </tp>
      <tp>
        <v>0</v>
        <stp/>
        <stp>THETA</stp>
        <stp>FXI</stp>
        <tr r="O188" s="1"/>
      </tp>
      <tp t="s">
        <v>N/A</v>
        <stp/>
        <stp>DELTA</stp>
        <stp>.VFH201120C67</stp>
        <tr r="M716" s="1"/>
      </tp>
      <tp t="s">
        <v>N/A</v>
        <stp/>
        <stp>DELTA</stp>
        <stp>.VFH201120C66</stp>
        <tr r="M714" s="1"/>
      </tp>
      <tp>
        <v>0.04</v>
        <stp/>
        <stp>GAMMA</stp>
        <stp>.SPY201120C357.5</stp>
        <tr r="N619" s="1"/>
      </tp>
      <tp>
        <v>31.27</v>
        <stp/>
        <stp>LAST</stp>
        <stp>SPDW</stp>
        <tr r="E578" s="1"/>
      </tp>
      <tp>
        <v>54.6</v>
        <stp/>
        <stp>HIGH</stp>
        <stp>GDXJ</stp>
        <tr r="J202" s="1"/>
      </tp>
      <tp>
        <v>0</v>
        <stp/>
        <stp>THETA</stp>
        <stp>FEZ</stp>
        <tr r="O180" s="1"/>
      </tp>
      <tp t="s">
        <v>N/A</v>
        <stp/>
        <stp>GAMMA</stp>
        <stp>.EEM201120C48</stp>
        <tr r="N97" s="1"/>
      </tp>
      <tp t="s">
        <v>N/A</v>
        <stp/>
        <stp>THETA</stp>
        <stp>.FVD201120C35</stp>
        <tr r="O186" s="1"/>
      </tp>
      <tp t="s">
        <v>N/A</v>
        <stp/>
        <stp>THETA</stp>
        <stp>.VEA201120P44</stp>
        <tr r="O709" s="1"/>
      </tp>
      <tp t="s">
        <v>N/A</v>
        <stp/>
        <stp>DELTA</stp>
        <stp>.EFA201120C70</stp>
        <tr r="M106" s="1"/>
      </tp>
      <tp t="s">
        <v>N/A</v>
        <stp/>
        <stp>DELTA</stp>
        <stp>.EFA201120C69</stp>
        <tr r="M102" s="1"/>
      </tp>
      <tp>
        <v>54.97</v>
        <stp/>
        <stp>LAST</stp>
        <stp>SPLV</stp>
        <tr r="E587" s="1"/>
      </tp>
      <tp>
        <v>41.53</v>
        <stp/>
        <stp>LAST</stp>
        <stp>SPLG</stp>
        <tr r="E584" s="1"/>
      </tp>
      <tp t="s">
        <v>N/A</v>
        <stp/>
        <stp>THETA</stp>
        <stp>.EEM201120P48</stp>
        <tr r="O98" s="1"/>
      </tp>
      <tp>
        <v>0</v>
        <stp/>
        <stp>VEGA</stp>
        <stp>GDXJ</stp>
        <tr r="P202" s="1"/>
      </tp>
      <tp>
        <v>0</v>
        <stp/>
        <stp>LOW</stp>
        <stp>.AMLP201120P23.5</stp>
        <tr r="K22" s="1"/>
      </tp>
      <tp t="s">
        <v>N/A</v>
        <stp/>
        <stp>LOW</stp>
        <stp>.AMLP201120C23.5</stp>
        <tr r="K21" s="1"/>
      </tp>
      <tp t="s">
        <v>N/A</v>
        <stp/>
        <stp>GAMMA</stp>
        <stp>.FVD201120P35</stp>
        <tr r="N187" s="1"/>
      </tp>
      <tp>
        <v>35.21</v>
        <stp/>
        <stp>LAST</stp>
        <stp>SPHD</stp>
        <tr r="E581" s="1"/>
      </tp>
      <tp t="s">
        <v>N/A</v>
        <stp/>
        <stp>GAMMA</stp>
        <stp>.SMH201120P197.5</stp>
        <tr r="N573" s="1"/>
      </tp>
      <tp t="s">
        <v>N/A</v>
        <stp/>
        <stp>GAMMA</stp>
        <stp>.VEA201120C44</stp>
        <tr r="N708" s="1"/>
      </tp>
      <tp>
        <v>14209</v>
        <stp/>
        <stp>VOLUME</stp>
        <stp>.EEM201120C48</stp>
        <tr r="F97" s="1"/>
      </tp>
      <tp t="s">
        <v>N/A</v>
        <stp/>
        <stp>RHO</stp>
        <stp>.MTUM201120C149</stp>
        <tr r="Q427" s="1"/>
      </tp>
      <tp t="s">
        <v>N/A</v>
        <stp/>
        <stp>RHO</stp>
        <stp>.MTUM201120P149</stp>
        <tr r="Q428" s="1"/>
      </tp>
      <tp t="s">
        <v>N/A</v>
        <stp/>
        <stp>RHO</stp>
        <stp>.MTUM201120C152</stp>
        <tr r="Q433" s="1"/>
      </tp>
      <tp t="s">
        <v>N/A</v>
        <stp/>
        <stp>RHO</stp>
        <stp>.MTUM201120P152</stp>
        <tr r="Q434" s="1"/>
      </tp>
      <tp t="s">
        <v>N/A</v>
        <stp/>
        <stp>RHO</stp>
        <stp>.MTUM201120C150</stp>
        <tr r="Q429" s="1"/>
      </tp>
      <tp t="s">
        <v>N/A</v>
        <stp/>
        <stp>RHO</stp>
        <stp>.MTUM201120P150</stp>
        <tr r="Q430" s="1"/>
      </tp>
      <tp t="s">
        <v>N/A</v>
        <stp/>
        <stp>RHO</stp>
        <stp>.MTUM201120C151</stp>
        <tr r="Q431" s="1"/>
      </tp>
      <tp t="s">
        <v>N/A</v>
        <stp/>
        <stp>RHO</stp>
        <stp>.MTUM201120P151</stp>
        <tr r="Q432" s="1"/>
      </tp>
      <tp t="s">
        <v>N/A</v>
        <stp/>
        <stp>DESCRIPTION</stp>
        <stp>.BKLN201120C22</stp>
        <tr r="B49" s="1"/>
      </tp>
      <tp t="s">
        <v>N/A</v>
        <stp/>
        <stp>DESCRIPTION</stp>
        <stp>.ICLN201120C22</stp>
        <tr r="B246" s="1"/>
      </tp>
      <tp t="s">
        <v>N/A</v>
        <stp/>
        <stp>DESCRIPTION</stp>
        <stp>.SPLG201120C42</stp>
        <tr r="B585" s="1"/>
      </tp>
      <tp t="s">
        <v>N/A</v>
        <stp/>
        <stp>DESCRIPTION</stp>
        <stp>.EMLC201120C32</stp>
        <tr r="B115" s="1"/>
      </tp>
      <tp t="s">
        <v>N/A</v>
        <stp/>
        <stp>RHO</stp>
        <stp>.GUSH201120C28</stp>
        <tr r="Q218" s="1"/>
      </tp>
      <tp t="s">
        <v>N/A</v>
        <stp/>
        <stp>RHO</stp>
        <stp>.GUSH201120C26</stp>
        <tr r="Q214" s="1"/>
      </tp>
      <tp t="s">
        <v>N/A</v>
        <stp/>
        <stp>RHO</stp>
        <stp>.GUSH201120C27</stp>
        <tr r="Q216" s="1"/>
      </tp>
      <tp>
        <v>1</v>
        <stp/>
        <stp>VOLUME</stp>
        <stp>.VEA201120C44</stp>
        <tr r="F708" s="1"/>
      </tp>
      <tp t="s">
        <v>N/A</v>
        <stp/>
        <stp>DESCRIPTION</stp>
        <stp>.HYLB201120C49</stp>
        <tr r="B226" s="1"/>
      </tp>
      <tp t="s">
        <v>N/A</v>
        <stp/>
        <stp>VOLUME</stp>
        <stp>.FVD201120P35</stp>
        <tr r="F187" s="1"/>
      </tp>
      <tp t="s">
        <v>N/A</v>
        <stp/>
        <stp>PUT_CALL_RATIO</stp>
        <stp>.EFV201120C45</stp>
        <tr r="C109" s="1"/>
      </tp>
      <tp t="s">
        <v>N/A</v>
        <stp/>
        <stp>STRIKE</stp>
        <stp>.XME201120P27</stp>
        <tr r="W888" s="1"/>
      </tp>
      <tp>
        <v>0.4</v>
        <stp/>
        <stp>LOW</stp>
        <stp>.GUSH201120C28</stp>
        <tr r="K218" s="1"/>
      </tp>
      <tp>
        <v>0.64</v>
        <stp/>
        <stp>LOW</stp>
        <stp>.GUSH201120C27</stp>
        <tr r="K216" s="1"/>
      </tp>
      <tp>
        <v>0.9</v>
        <stp/>
        <stp>LOW</stp>
        <stp>.GUSH201120C26</stp>
        <tr r="K214" s="1"/>
      </tp>
      <tp t="s">
        <v>N/A</v>
        <stp/>
        <stp>PUT_CALL_RATIO</stp>
        <stp>.VFH201120C67</stp>
        <tr r="C716" s="1"/>
      </tp>
      <tp t="s">
        <v>N/A</v>
        <stp/>
        <stp>PUT_CALL_RATIO</stp>
        <stp>.VFH201120C66</stp>
        <tr r="C714" s="1"/>
      </tp>
      <tp t="s">
        <v>N/A</v>
        <stp/>
        <stp>VOLUME</stp>
        <stp>.FEZ201120C40</stp>
        <tr r="F183" s="1"/>
      </tp>
      <tp t="s">
        <v>N/A</v>
        <stp/>
        <stp>DESCRIPTION</stp>
        <stp>.SPLV201120C55</stp>
        <tr r="B588" s="1"/>
      </tp>
      <tp t="s">
        <v>N/A</v>
        <stp/>
        <stp>DESCRIPTION</stp>
        <stp>.AMLP201120C24</stp>
        <tr r="B23" s="1"/>
      </tp>
      <tp t="s">
        <v>N/A</v>
        <stp/>
        <stp>DESCRIPTION</stp>
        <stp>.AMLP201120C23</stp>
        <tr r="B19" s="1"/>
      </tp>
      <tp>
        <v>0</v>
        <stp/>
        <stp>VOLUME</stp>
        <stp>.DVY201120P93</stp>
        <tr r="F90" s="1"/>
      </tp>
      <tp t="s">
        <v>N/A</v>
        <stp/>
        <stp>VOLUME</stp>
        <stp>.DVY201120P92</stp>
        <tr r="F88" s="1"/>
      </tp>
      <tp t="s">
        <v>N/A</v>
        <stp/>
        <stp>VOLUME</stp>
        <stp>.DVY201120P91</stp>
        <tr r="F86" s="1"/>
      </tp>
      <tp>
        <v>0</v>
        <stp/>
        <stp>VOLUME</stp>
        <stp>.VEU201120C55</stp>
        <tr r="F711" s="1"/>
      </tp>
      <tp t="s">
        <v>N/A</v>
        <stp/>
        <stp>PUT_CALL_RATIO</stp>
        <stp>.EFA201120C70</stp>
        <tr r="C106" s="1"/>
      </tp>
      <tp t="s">
        <v>N/A</v>
        <stp/>
        <stp>PUT_CALL_RATIO</stp>
        <stp>.EFA201120C69</stp>
        <tr r="C102" s="1"/>
      </tp>
      <tp>
        <v>0.45</v>
        <stp/>
        <stp>BID</stp>
        <stp>.GUSH201120C28</stp>
        <tr r="H218" s="1"/>
      </tp>
      <tp>
        <v>0.6</v>
        <stp/>
        <stp>BID</stp>
        <stp>.GUSH201120C27</stp>
        <tr r="H216" s="1"/>
      </tp>
      <tp>
        <v>1</v>
        <stp/>
        <stp>BID</stp>
        <stp>.GUSH201120C26</stp>
        <tr r="H214" s="1"/>
      </tp>
      <tp>
        <v>0.85</v>
        <stp/>
        <stp>ASK</stp>
        <stp>.GUSH201120C27</stp>
        <tr r="I216" s="1"/>
      </tp>
      <tp>
        <v>1.1499999999999999</v>
        <stp/>
        <stp>ASK</stp>
        <stp>.GUSH201120C26</stp>
        <tr r="I214" s="1"/>
      </tp>
      <tp>
        <v>0.7</v>
        <stp/>
        <stp>ASK</stp>
        <stp>.GUSH201120C28</stp>
        <tr r="I218" s="1"/>
      </tp>
      <tp t="s">
        <v>N/A</v>
        <stp/>
        <stp>PROB_OF_TOUCHING</stp>
        <stp>.EWG201120C30</stp>
        <tr r="V127" s="1"/>
      </tp>
      <tp t="s">
        <v>N/A</v>
        <stp/>
        <stp>EXTRINSIC</stp>
        <stp>.ACWI201120C85</stp>
        <tr r="S8" s="1"/>
      </tp>
      <tp t="s">
        <v>N/A</v>
        <stp/>
        <stp>EXTRINSIC</stp>
        <stp>.ACWI201120C86</stp>
        <tr r="S10" s="1"/>
      </tp>
      <tp>
        <v>12135</v>
        <stp/>
        <stp>OPEN_INT</stp>
        <stp>.XLE201120C34</stp>
        <tr r="G806" s="1"/>
      </tp>
      <tp>
        <v>94</v>
        <stp/>
        <stp>OPEN_INT</stp>
        <stp>.XLB201120C70</stp>
        <tr r="G794" s="1"/>
      </tp>
      <tp t="s">
        <v>N/A</v>
        <stp/>
        <stp>PROB_OTM</stp>
        <stp>.IYR201120C84</stp>
        <tr r="U367" s="1"/>
      </tp>
      <tp t="s">
        <v>N/A</v>
        <stp/>
        <stp>PROB_OTM</stp>
        <stp>.IYR201120C85</stp>
        <tr r="U371" s="1"/>
      </tp>
      <tp>
        <v>88</v>
        <stp/>
        <stp>OPEN_INT</stp>
        <stp>.XLC201120C63</stp>
        <tr r="G797" s="1"/>
      </tp>
      <tp>
        <v>209</v>
        <stp/>
        <stp>OPEN_INT</stp>
        <stp>.XLC201120C64</stp>
        <tr r="G801" s="1"/>
      </tp>
      <tp t="s">
        <v>N/A</v>
        <stp/>
        <stp>PROB_OTM</stp>
        <stp>.IJR201120P80</stp>
        <tr r="U276" s="1"/>
      </tp>
      <tp t="s">
        <v>N/A</v>
        <stp/>
        <stp>OPEN_INT</stp>
        <stp>.ILF201120C25</stp>
        <tr r="G278" s="1"/>
      </tp>
      <tp>
        <v>32788</v>
        <stp/>
        <stp>OPEN_INT</stp>
        <stp>.XLF201120C27</stp>
        <tr r="G811" s="1"/>
      </tp>
      <tp>
        <v>223</v>
        <stp/>
        <stp>OPEN_INT</stp>
        <stp>.XLB201120C69</stp>
        <tr r="G790" s="1"/>
      </tp>
      <tp t="s">
        <v>N/A</v>
        <stp/>
        <stp>EXTRINSIC</stp>
        <stp>.INDA201120P36</stp>
        <tr r="S282" s="1"/>
      </tp>
      <tp t="s">
        <v>N/A</v>
        <stp/>
        <stp>IMPL_VOL</stp>
        <stp>.VEA201120P44</stp>
        <tr r="D709" s="1"/>
      </tp>
      <tp t="s">
        <v>N/A</v>
        <stp/>
        <stp>PROB_OF_TOUCHING</stp>
        <stp>.EWC201120C29</stp>
        <tr r="V124" s="1"/>
      </tp>
      <tp t="s">
        <v>N/A</v>
        <stp/>
        <stp>OPEN_INT</stp>
        <stp>.XLI201120C84</stp>
        <tr r="G814" s="1"/>
      </tp>
      <tp>
        <v>5654</v>
        <stp/>
        <stp>OPEN_INT</stp>
        <stp>.XLI201120C85</stp>
        <tr r="G818" s="1"/>
      </tp>
      <tp t="s">
        <v>N/A</v>
        <stp/>
        <stp>OPEN_INT</stp>
        <stp>.XLI201120C86</stp>
        <tr r="G822" s="1"/>
      </tp>
      <tp t="s">
        <v>N/A</v>
        <stp/>
        <stp>IMPL_VOL</stp>
        <stp>.FVD201120C35</stp>
        <tr r="D186" s="1"/>
      </tp>
      <tp t="s">
        <v>N/A</v>
        <stp/>
        <stp>PROB_OF_TOUCHING</stp>
        <stp>.EWA201120C22</stp>
        <tr r="V121" s="1"/>
      </tp>
      <tp t="s">
        <v>N/A</v>
        <stp/>
        <stp>INTRINSIC</stp>
        <stp>.XLRE201120P37</stp>
        <tr r="R848" s="1"/>
      </tp>
      <tp t="s">
        <v>N/A</v>
        <stp/>
        <stp>PROB_OF_TOUCHING</stp>
        <stp>.EWJ201120C63</stp>
        <tr r="V136" s="1"/>
      </tp>
      <tp t="s">
        <v>N/A</v>
        <stp/>
        <stp>PROB_OF_TOUCHING</stp>
        <stp>.EWJ201120C64</stp>
        <tr r="V140" s="1"/>
      </tp>
      <tp t="s">
        <v>N/A</v>
        <stp/>
        <stp>IMPL_VOL</stp>
        <stp>.EEM201120P48</stp>
        <tr r="D98" s="1"/>
      </tp>
      <tp>
        <v>131</v>
        <stp/>
        <stp>OPEN_INT</stp>
        <stp>.QLD201120C96</stp>
        <tr r="G463" s="1"/>
      </tp>
      <tp>
        <v>72</v>
        <stp/>
        <stp>OPEN_INT</stp>
        <stp>.QLD201120C97</stp>
        <tr r="G465" s="1"/>
      </tp>
      <tp>
        <v>46</v>
        <stp/>
        <stp>OPEN_INT</stp>
        <stp>.QLD201120C98</stp>
        <tr r="G467" s="1"/>
      </tp>
      <tp>
        <v>359</v>
        <stp/>
        <stp>OPEN_INT</stp>
        <stp>.QLD201120C99</stp>
        <tr r="G469" s="1"/>
      </tp>
      <tp t="s">
        <v>N/A</v>
        <stp/>
        <stp>INTRINSIC</stp>
        <stp>.DGRO201120P43</stp>
        <tr r="R61" s="1"/>
      </tp>
      <tp t="s">
        <v>N/A</v>
        <stp/>
        <stp>PROB_OF_TOUCHING</stp>
        <stp>.RWM201120C29</stp>
        <tr r="V518" s="1"/>
      </tp>
      <tp t="s">
        <v>N/A</v>
        <stp/>
        <stp>PROB_OF_TOUCHING</stp>
        <stp>.EWL201120C43</stp>
        <tr r="V143" s="1"/>
      </tp>
      <tp t="s">
        <v>N/A</v>
        <stp/>
        <stp>PROB_OF_TOUCHING</stp>
        <stp>.EWH201120C24</stp>
        <tr r="V130" s="1"/>
      </tp>
      <tp t="s">
        <v>N/A</v>
        <stp/>
        <stp>PROB_OF_TOUCHING</stp>
        <stp>.VWO201120C47</stp>
        <tr r="V751" s="1"/>
      </tp>
      <tp t="s">
        <v>N/A</v>
        <stp/>
        <stp>PROB_OF_TOUCHING</stp>
        <stp>.EWI201120C27</stp>
        <tr r="V133" s="1"/>
      </tp>
      <tp t="s">
        <v>N/A</v>
        <stp/>
        <stp>PROB_OF_TOUCHING</stp>
        <stp>.EWW201120C39</stp>
        <tr r="V157" s="1"/>
      </tp>
      <tp t="s">
        <v>N/A</v>
        <stp/>
        <stp>PUT_CALL_RATIO</stp>
        <stp>.IGV201120C315</stp>
        <tr r="C265" s="1"/>
      </tp>
      <tp t="s">
        <v>N/A</v>
        <stp/>
        <stp>PUT_CALL_RATIO</stp>
        <stp>.IGV201120P315</stp>
        <tr r="C266" s="1"/>
      </tp>
      <tp t="s">
        <v>N/A</v>
        <stp/>
        <stp>IMPL_VOL</stp>
        <stp>.DVY201120C92</stp>
        <tr r="D87" s="1"/>
      </tp>
      <tp t="s">
        <v>N/A</v>
        <stp/>
        <stp>IMPL_VOL</stp>
        <stp>.DVY201120C93</stp>
        <tr r="D89" s="1"/>
      </tp>
      <tp t="s">
        <v>N/A</v>
        <stp/>
        <stp>IMPL_VOL</stp>
        <stp>.DVY201120C91</stp>
        <tr r="D85" s="1"/>
      </tp>
      <tp t="s">
        <v>N/A</v>
        <stp/>
        <stp>IMPL_VOL</stp>
        <stp>.VEU201120P55</stp>
        <tr r="D712" s="1"/>
      </tp>
      <tp>
        <v>320</v>
        <stp/>
        <stp>OPEN_INT</stp>
        <stp>.XLP201120C67</stp>
        <tr r="G844" s="1"/>
      </tp>
      <tp t="s">
        <v>N/A</v>
        <stp/>
        <stp>PUT_CALL_RATIO</stp>
        <stp>.IGV201120C325</stp>
        <tr r="C269" s="1"/>
      </tp>
      <tp t="s">
        <v>N/A</v>
        <stp/>
        <stp>PUT_CALL_RATIO</stp>
        <stp>.IGV201120P325</stp>
        <tr r="C270" s="1"/>
      </tp>
      <tp t="s">
        <v>N/A</v>
        <stp/>
        <stp>PUT_CALL_RATIO</stp>
        <stp>.IGV201120C320</stp>
        <tr r="C267" s="1"/>
      </tp>
      <tp t="s">
        <v>N/A</v>
        <stp/>
        <stp>PUT_CALL_RATIO</stp>
        <stp>.IGV201120P320</stp>
        <tr r="C268" s="1"/>
      </tp>
      <tp>
        <v>1018</v>
        <stp/>
        <stp>OPEN_INT</stp>
        <stp>.XLU201120C66</stp>
        <tr r="G850" s="1"/>
      </tp>
      <tp>
        <v>1899</v>
        <stp/>
        <stp>OPEN_INT</stp>
        <stp>.XLU201120C67</stp>
        <tr r="G854" s="1"/>
      </tp>
      <tp t="s">
        <v>N/A</v>
        <stp/>
        <stp>PROB_OF_TOUCHING</stp>
        <stp>.EWT201120C48</stp>
        <tr r="V149" s="1"/>
      </tp>
      <tp t="s">
        <v>N/A</v>
        <stp/>
        <stp>PUT_CALL_RATIO</stp>
        <stp>.IVV201120P357</stp>
        <tr r="C317" s="1"/>
      </tp>
      <tp t="s">
        <v>N/A</v>
        <stp/>
        <stp>PUT_CALL_RATIO</stp>
        <stp>.IVV201120C357</stp>
        <tr r="C316" s="1"/>
      </tp>
      <tp t="s">
        <v>N/A</v>
        <stp/>
        <stp>PUT_CALL_RATIO</stp>
        <stp>.IVV201120P356</stp>
        <tr r="C315" s="1"/>
      </tp>
      <tp t="s">
        <v>N/A</v>
        <stp/>
        <stp>PUT_CALL_RATIO</stp>
        <stp>.IVV201120C356</stp>
        <tr r="C314" s="1"/>
      </tp>
      <tp t="s">
        <v>N/A</v>
        <stp/>
        <stp>PUT_CALL_RATIO</stp>
        <stp>.IVV201120P355</stp>
        <tr r="C313" s="1"/>
      </tp>
      <tp t="s">
        <v>N/A</v>
        <stp/>
        <stp>PUT_CALL_RATIO</stp>
        <stp>.IVV201120C355</stp>
        <tr r="C312" s="1"/>
      </tp>
      <tp t="s">
        <v>N/A</v>
        <stp/>
        <stp>PUT_CALL_RATIO</stp>
        <stp>.IVV201120P354</stp>
        <tr r="C311" s="1"/>
      </tp>
      <tp t="s">
        <v>N/A</v>
        <stp/>
        <stp>PUT_CALL_RATIO</stp>
        <stp>.IVV201120C354</stp>
        <tr r="C310" s="1"/>
      </tp>
      <tp t="s">
        <v>N/A</v>
        <stp/>
        <stp>PUT_CALL_RATIO</stp>
        <stp>.IVV201120P359</stp>
        <tr r="C323" s="1"/>
      </tp>
      <tp t="s">
        <v>N/A</v>
        <stp/>
        <stp>PUT_CALL_RATIO</stp>
        <stp>.IVV201120C359</stp>
        <tr r="C322" s="1"/>
      </tp>
      <tp t="s">
        <v>N/A</v>
        <stp/>
        <stp>PUT_CALL_RATIO</stp>
        <stp>.IVV201120P358</stp>
        <tr r="C321" s="1"/>
      </tp>
      <tp t="s">
        <v>N/A</v>
        <stp/>
        <stp>PUT_CALL_RATIO</stp>
        <stp>.IVV201120C358</stp>
        <tr r="C320" s="1"/>
      </tp>
      <tp t="s">
        <v>N/A</v>
        <stp/>
        <stp>PUT_CALL_RATIO</stp>
        <stp>.TLT201120C156</stp>
        <tr r="C694" s="1"/>
      </tp>
      <tp t="s">
        <v>N/A</v>
        <stp/>
        <stp>PUT_CALL_RATIO</stp>
        <stp>.TLT201120P156</stp>
        <tr r="C695" s="1"/>
      </tp>
      <tp t="s">
        <v>N/A</v>
        <stp/>
        <stp>PUT_CALL_RATIO</stp>
        <stp>.TLT201120C155</stp>
        <tr r="C690" s="1"/>
      </tp>
      <tp t="s">
        <v>N/A</v>
        <stp/>
        <stp>PUT_CALL_RATIO</stp>
        <stp>.TLT201120P155</stp>
        <tr r="C691" s="1"/>
      </tp>
      <tp t="s">
        <v>N/A</v>
        <stp/>
        <stp>EXTRINSIC</stp>
        <stp>.SPDW201120P32</stp>
        <tr r="S580" s="1"/>
      </tp>
      <tp t="s">
        <v>N/A</v>
        <stp/>
        <stp>PROB_OF_EXPIRING</stp>
        <stp>.VNQ201120P85</stp>
        <tr r="T728" s="1"/>
      </tp>
      <tp t="s">
        <v>N/A</v>
        <stp/>
        <stp>PROB_OF_EXPIRING</stp>
        <stp>.VNQ201120P84</stp>
        <tr r="T726" s="1"/>
      </tp>
      <tp t="s">
        <v>N/A</v>
        <stp/>
        <stp>PROB_OF_TOUCHING</stp>
        <stp>.EWP201120C26</stp>
        <tr r="V146" s="1"/>
      </tp>
      <tp t="s">
        <v>N/A</v>
        <stp/>
        <stp>PROB_OF_TOUCHING</stp>
        <stp>.SDS201120P14</stp>
        <tr r="V541" s="1"/>
      </tp>
      <tp t="s">
        <v>N/A</v>
        <stp/>
        <stp>PROB_OTM</stp>
        <stp>.HYG201120C86</stp>
        <tr r="U223" s="1"/>
      </tp>
      <tp t="s">
        <v>N/A</v>
        <stp/>
        <stp>PUT_CALL_RATIO</stp>
        <stp>.IVV201120P362</stp>
        <tr r="C329" s="1"/>
      </tp>
      <tp t="s">
        <v>N/A</v>
        <stp/>
        <stp>PUT_CALL_RATIO</stp>
        <stp>.IVV201120C362</stp>
        <tr r="C328" s="1"/>
      </tp>
      <tp t="s">
        <v>N/A</v>
        <stp/>
        <stp>PUT_CALL_RATIO</stp>
        <stp>.IVV201120P361</stp>
        <tr r="C327" s="1"/>
      </tp>
      <tp t="s">
        <v>N/A</v>
        <stp/>
        <stp>PUT_CALL_RATIO</stp>
        <stp>.IVV201120C361</stp>
        <tr r="C326" s="1"/>
      </tp>
      <tp t="s">
        <v>N/A</v>
        <stp/>
        <stp>PUT_CALL_RATIO</stp>
        <stp>.IVV201120P360</stp>
        <tr r="C325" s="1"/>
      </tp>
      <tp t="s">
        <v>N/A</v>
        <stp/>
        <stp>PUT_CALL_RATIO</stp>
        <stp>.IVV201120C360</stp>
        <tr r="C324" s="1"/>
      </tp>
      <tp t="s">
        <v>N/A</v>
        <stp/>
        <stp>PROB_OF_TOUCHING</stp>
        <stp>.EWY201120C72</stp>
        <tr r="V164" s="1"/>
      </tp>
      <tp t="s">
        <v>N/A</v>
        <stp/>
        <stp>PROB_OF_TOUCHING</stp>
        <stp>.EWY201120C73</stp>
        <tr r="V168" s="1"/>
      </tp>
      <tp t="s">
        <v>N/A</v>
        <stp/>
        <stp>EXTRINSIC</stp>
        <stp>.INDY201120P38</stp>
        <tr r="S287" s="1"/>
      </tp>
      <tp t="s">
        <v>N/A</v>
        <stp/>
        <stp>PROB_OTM</stp>
        <stp>.IYE201120C18</stp>
        <tr r="U364" s="1"/>
      </tp>
      <tp t="s">
        <v>N/A</v>
        <stp/>
        <stp>EXTRINSIC</stp>
        <stp>.ACWX201120C50</stp>
        <tr r="S13" s="1"/>
      </tp>
      <tp t="s">
        <v>N/A</v>
        <stp/>
        <stp>PROB_OF_TOUCHING</stp>
        <stp>.EWZ201120C32</stp>
        <tr r="V175" s="1"/>
      </tp>
      <tp t="s">
        <v>N/A</v>
        <stp/>
        <stp>PROB_OTM</stp>
        <stp>.VYM201120C87</stp>
        <tr r="U759" s="1"/>
      </tp>
      <tp t="s">
        <v>N/A</v>
        <stp/>
        <stp>PROB_OTM</stp>
        <stp>.VYM201120C88</stp>
        <tr r="U761" s="1"/>
      </tp>
      <tp t="s">
        <v>N/A</v>
        <stp/>
        <stp>IMPL_VOL</stp>
        <stp>.FEZ201120P40</stp>
        <tr r="D184" s="1"/>
      </tp>
      <tp t="s">
        <v>N/A</v>
        <stp/>
        <stp>PROB_OF_TOUCHING</stp>
        <stp>.GDX201120P37</stp>
        <tr r="V199" s="1"/>
      </tp>
      <tp t="s">
        <v>N/A</v>
        <stp/>
        <stp>PROB_OF_EXPIRING</stp>
        <stp>.IXUS201120C63</stp>
        <tr r="T361" s="1"/>
      </tp>
      <tp t="s">
        <v>N/A</v>
        <stp/>
        <stp>PROB_OF_TOUCHING</stp>
        <stp>.IEMG201120P57</stp>
        <tr r="V258" s="1"/>
      </tp>
      <tp t="s">
        <v>N/A</v>
        <stp/>
        <stp>PROB_OF_TOUCHING</stp>
        <stp>.IEMG201120P58</stp>
        <tr r="V260" s="1"/>
      </tp>
      <tp t="s">
        <v>N/A</v>
        <stp/>
        <stp>IMPL_VOL</stp>
        <stp>.SCHD201120P61</stp>
        <tr r="D522" s="1"/>
      </tp>
      <tp t="s">
        <v>N/A</v>
        <stp/>
        <stp>IMPL_VOL</stp>
        <stp>.SCHD201120P62</stp>
        <tr r="D524" s="1"/>
      </tp>
      <tp t="s">
        <v>N/A</v>
        <stp/>
        <stp>IMPL_VOL</stp>
        <stp>.MCHI201120P80</stp>
        <tr r="D413" s="1"/>
      </tp>
      <tp t="s">
        <v>N/A</v>
        <stp/>
        <stp>PROB_OF_EXPIRING</stp>
        <stp>.VXUS201120C56</stp>
        <tr r="T754" s="1"/>
      </tp>
      <tp t="s">
        <v>N/A</v>
        <stp/>
        <stp>PROB_OF_EXPIRING</stp>
        <stp>.VXUS201120C57</stp>
        <tr r="T756" s="1"/>
      </tp>
      <tp t="s">
        <v>N/A</v>
        <stp/>
        <stp>IMPL_VOL</stp>
        <stp>.SPHD201120P36</stp>
        <tr r="D583" s="1"/>
      </tp>
      <tp t="s">
        <v>N/A</v>
        <stp/>
        <stp>IMPL_VOL</stp>
        <stp>.SCHE201120P29</stp>
        <tr r="D527" s="1"/>
      </tp>
      <tp t="s">
        <v>N/A</v>
        <stp/>
        <stp>IMPL_VOL</stp>
        <stp>.SCHF201120P34</stp>
        <tr r="D530" s="1"/>
      </tp>
      <tp t="s">
        <v>N/A</v>
        <stp/>
        <stp>PROB_OTM</stp>
        <stp>.PDBC201120C14</stp>
        <tr r="U452" s="1"/>
      </tp>
      <tp t="s">
        <v>N/A</v>
        <stp/>
        <stp>DESCRIPTION</stp>
        <stp>.IVV201120C357.5</stp>
        <tr r="B318" s="1"/>
      </tp>
      <tp t="s">
        <v>N/A</v>
        <stp/>
        <stp>DESCRIPTION</stp>
        <stp>.IWF201120C227.5</stp>
        <tr r="B343" s="1"/>
      </tp>
      <tp t="s">
        <v>N/A</v>
        <stp/>
        <stp>PUT_CALL_RATIO</stp>
        <stp>.ARKK201120C100</stp>
        <tr r="C32" s="1"/>
      </tp>
      <tp t="s">
        <v>N/A</v>
        <stp/>
        <stp>PUT_CALL_RATIO</stp>
        <stp>.ARKK201120P100</stp>
        <tr r="C33" s="1"/>
      </tp>
      <tp t="s">
        <v>N/A</v>
        <stp/>
        <stp>IMPL_VOL</stp>
        <stp>.ASHR201120P38</stp>
        <tr r="D47" s="1"/>
      </tp>
      <tp t="s">
        <v>N/A</v>
        <stp/>
        <stp>PROB_OF_EXPIRING</stp>
        <stp>.IEFA201120P66</stp>
        <tr r="T255" s="1"/>
      </tp>
      <tp t="s">
        <v>N/A</v>
        <stp/>
        <stp>PROB_OF_EXPIRING</stp>
        <stp>.IEFA201120P65</stp>
        <tr r="T253" s="1"/>
      </tp>
      <tp t="s">
        <v>N/A</v>
        <stp/>
        <stp>PROB_OF_TOUCHING</stp>
        <stp>.USMV201120P67</stp>
        <tr r="V700" s="1"/>
      </tp>
      <tp t="s">
        <v>N/A</v>
        <stp/>
        <stp>IMPL_VOL</stp>
        <stp>.SCHP201120P61</stp>
        <tr r="D533" s="1"/>
      </tp>
      <tp t="s">
        <v>N/A</v>
        <stp/>
        <stp>STRIKE</stp>
        <stp>.MTUM201120P149</stp>
        <tr r="W428" s="1"/>
      </tp>
      <tp t="s">
        <v>N/A</v>
        <stp/>
        <stp>STRIKE</stp>
        <stp>.MTUM201120C149</stp>
        <tr r="W427" s="1"/>
      </tp>
      <tp t="s">
        <v>N/A</v>
        <stp/>
        <stp>PROB_OF_EXPIRING</stp>
        <stp>.EUFN201120P16</stp>
        <tr r="T119" s="1"/>
      </tp>
      <tp t="s">
        <v>N/A</v>
        <stp/>
        <stp>STRIKE</stp>
        <stp>.MTUM201120P152</stp>
        <tr r="W434" s="1"/>
      </tp>
      <tp t="s">
        <v>N/A</v>
        <stp/>
        <stp>STRIKE</stp>
        <stp>.MTUM201120C152</stp>
        <tr r="W433" s="1"/>
      </tp>
      <tp t="s">
        <v>N/A</v>
        <stp/>
        <stp>STRIKE</stp>
        <stp>.MTUM201120P150</stp>
        <tr r="W430" s="1"/>
      </tp>
      <tp t="s">
        <v>N/A</v>
        <stp/>
        <stp>STRIKE</stp>
        <stp>.MTUM201120C150</stp>
        <tr r="W429" s="1"/>
      </tp>
      <tp t="s">
        <v>N/A</v>
        <stp/>
        <stp>STRIKE</stp>
        <stp>.MTUM201120P151</stp>
        <tr r="W432" s="1"/>
      </tp>
      <tp t="s">
        <v>N/A</v>
        <stp/>
        <stp>STRIKE</stp>
        <stp>.MTUM201120C151</stp>
        <tr r="W431" s="1"/>
      </tp>
      <tp t="s">
        <v>N/A</v>
        <stp/>
        <stp>DESCRIPTION</stp>
        <stp>.IWF201120P227.5</stp>
        <tr r="B344" s="1"/>
      </tp>
      <tp t="s">
        <v>N/A</v>
        <stp/>
        <stp>DESCRIPTION</stp>
        <stp>.IVV201120P357.5</stp>
        <tr r="B319" s="1"/>
      </tp>
      <tp t="s">
        <v>N/A</v>
        <stp/>
        <stp>THETA</stp>
        <stp>.EWP201120C26</stp>
        <tr r="O146" s="1"/>
      </tp>
      <tp t="s">
        <v>N/A</v>
        <stp/>
        <stp>THETA</stp>
        <stp>.SDS201120P14</stp>
        <tr r="O541" s="1"/>
      </tp>
      <tp t="s">
        <v>N/A</v>
        <stp/>
        <stp>GAMMA</stp>
        <stp>.GDX201120C37</stp>
        <tr r="N198" s="1"/>
      </tp>
      <tp t="s">
        <v>N/A</v>
        <stp/>
        <stp>GAMMA</stp>
        <stp>.EWZ201120P32</stp>
        <tr r="N176" s="1"/>
      </tp>
      <tp t="s">
        <v>N/A</v>
        <stp/>
        <stp>THETA</stp>
        <stp>.EWT201120C48</stp>
        <tr r="O149" s="1"/>
      </tp>
      <tp t="s">
        <v>N/A</v>
        <stp/>
        <stp>DESCRIPTION</stp>
        <stp>.INDA201120C36.5</stp>
        <tr r="B283" s="1"/>
      </tp>
      <tp t="s">
        <v>N/A</v>
        <stp/>
        <stp>DESCRIPTION</stp>
        <stp>.INDA201120P36.5</stp>
        <tr r="B284" s="1"/>
      </tp>
      <tp t="s">
        <v>N/A</v>
        <stp/>
        <stp>GAMMA</stp>
        <stp>.EWY201120P72</stp>
        <tr r="N165" s="1"/>
      </tp>
      <tp t="s">
        <v>N/A</v>
        <stp/>
        <stp>GAMMA</stp>
        <stp>.EWY201120P73</stp>
        <tr r="N169" s="1"/>
      </tp>
      <tp>
        <v>69.793000000000006</v>
        <stp/>
        <stp>OPEN</stp>
        <stp>VGIT</stp>
        <tr r="L718" s="1"/>
      </tp>
      <tp>
        <v>0</v>
        <stp/>
        <stp>VEGA</stp>
        <stp>IEFA</stp>
        <tr r="P251" s="1"/>
      </tp>
      <tp>
        <v>60.93</v>
        <stp/>
        <stp>OPEN</stp>
        <stp>IGIB</stp>
        <tr r="L261" s="1"/>
      </tp>
      <tp>
        <v>1.94</v>
        <stp/>
        <stp>BID</stp>
        <stp>.GDXJ201120C52.5</stp>
        <tr r="H205" s="1"/>
      </tp>
      <tp>
        <v>57.805</v>
        <stp/>
        <stp>HIGH</stp>
        <stp>IEMG</stp>
        <tr r="J256" s="1"/>
      </tp>
      <tp>
        <v>0.95</v>
        <stp/>
        <stp>BID</stp>
        <stp>.GDXJ201120P52.5</stp>
        <tr r="H206" s="1"/>
      </tp>
      <tp t="s">
        <v>N/A</v>
        <stp/>
        <stp>THETA</stp>
        <stp>.EWW201120C39</stp>
        <tr r="O157" s="1"/>
      </tp>
      <tp t="s">
        <v>N/A</v>
        <stp/>
        <stp>DELTA</stp>
        <stp>.PGX201120C15</stp>
        <tr r="M455" s="1"/>
      </tp>
      <tp t="s">
        <v>N/A</v>
        <stp/>
        <stp>THETA</stp>
        <stp>.GDX201120P37</stp>
        <tr r="O199" s="1"/>
      </tp>
      <tp t="s">
        <v>N/A</v>
        <stp/>
        <stp>GAMMA</stp>
        <stp>.EWP201120P26</stp>
        <tr r="N147" s="1"/>
      </tp>
      <tp t="s">
        <v>N/A</v>
        <stp/>
        <stp>GAMMA</stp>
        <stp>.SDS201120C14</stp>
        <tr r="N540" s="1"/>
      </tp>
      <tp t="s">
        <v>N/A</v>
        <stp/>
        <stp>THETA</stp>
        <stp>.EWZ201120C32</stp>
        <tr r="O175" s="1"/>
      </tp>
      <tp t="s">
        <v>N/A</v>
        <stp/>
        <stp>GAMMA</stp>
        <stp>.EWT201120P48</stp>
        <tr r="N150" s="1"/>
      </tp>
      <tp t="s">
        <v>N/A</v>
        <stp/>
        <stp>RHO</stp>
        <stp>.GDXJ201120C53.5</stp>
        <tr r="Q209" s="1"/>
      </tp>
      <tp>
        <v>65.040000000000006</v>
        <stp/>
        <stp>HIGH</stp>
        <stp>IEFA</stp>
        <tr r="J251" s="1"/>
      </tp>
      <tp t="s">
        <v>N/A</v>
        <stp/>
        <stp>RHO</stp>
        <stp>.GDXJ201120P53.5</stp>
        <tr r="Q210" s="1"/>
      </tp>
      <tp t="s">
        <v>N/A</v>
        <stp/>
        <stp>GAMMA</stp>
        <stp>.SMH201120C196.5</stp>
        <tr r="N568" s="1"/>
      </tp>
      <tp t="s">
        <v>N/A</v>
        <stp/>
        <stp>DELTA</stp>
        <stp>.JNK201120C106.5</stp>
        <tr r="M381" s="1"/>
      </tp>
      <tp t="s">
        <v>N/A</v>
        <stp/>
        <stp>THETA</stp>
        <stp>.EWY201120C72</stp>
        <tr r="O164" s="1"/>
      </tp>
      <tp t="s">
        <v>N/A</v>
        <stp/>
        <stp>THETA</stp>
        <stp>.EWY201120C73</stp>
        <tr r="O168" s="1"/>
      </tp>
      <tp>
        <v>0</v>
        <stp/>
        <stp>VEGA</stp>
        <stp>IEMG</stp>
        <tr r="P256" s="1"/>
      </tp>
      <tp t="s">
        <v>N/A</v>
        <stp/>
        <stp>GAMMA</stp>
        <stp>.EWW201120P39</stp>
        <tr r="N158" s="1"/>
      </tp>
      <tp t="s">
        <v>N/A</v>
        <stp/>
        <stp>THETA</stp>
        <stp>.JNK201120P106.5</stp>
        <tr r="O382" s="1"/>
      </tp>
      <tp t="s">
        <v>N/A</v>
        <stp/>
        <stp>THETA</stp>
        <stp>.EWA201120C22</stp>
        <tr r="O121" s="1"/>
      </tp>
      <tp t="s">
        <v>N/A</v>
        <stp/>
        <stp>DELTA</stp>
        <stp>.VGK201120C57</stp>
        <tr r="M722" s="1"/>
      </tp>
      <tp t="s">
        <v>N/A</v>
        <stp/>
        <stp>GAMMA</stp>
        <stp>.EWH201120P24</stp>
        <tr r="N131" s="1"/>
      </tp>
      <tp t="s">
        <v>N/A</v>
        <stp/>
        <stp>GAMMA</stp>
        <stp>.EWI201120P27</stp>
        <tr r="N134" s="1"/>
      </tp>
      <tp t="s">
        <v>N/A</v>
        <stp/>
        <stp>GAMMA</stp>
        <stp>.VWO201120P47</stp>
        <tr r="N752" s="1"/>
      </tp>
      <tp t="s">
        <v>N/A</v>
        <stp/>
        <stp>INTRINSIC</stp>
        <stp>.MJ201120C13</stp>
        <tr r="R424" s="1"/>
      </tp>
      <tp t="s">
        <v>N/A</v>
        <stp/>
        <stp>GAMMA</stp>
        <stp>.EWL201120P43</stp>
        <tr r="N144" s="1"/>
      </tp>
      <tp t="s">
        <v>N/A</v>
        <stp/>
        <stp>THETA</stp>
        <stp>.EWC201120C29</stp>
        <tr r="O124" s="1"/>
      </tp>
      <tp>
        <v>0</v>
        <stp/>
        <stp>THETA</stp>
        <stp>GDX</stp>
        <tr r="O195" s="1"/>
      </tp>
      <tp>
        <v>0.44</v>
        <stp/>
        <stp>LOW</stp>
        <stp>.JETS201120C19.5</stp>
        <tr r="K376" s="1"/>
      </tp>
      <tp>
        <v>0.5</v>
        <stp/>
        <stp>LOW</stp>
        <stp>.JETS201120P19.5</stp>
        <tr r="K377" s="1"/>
      </tp>
      <tp t="s">
        <v>N/A</v>
        <stp/>
        <stp>GAMMA</stp>
        <stp>.RWM201120P29</stp>
        <tr r="N519" s="1"/>
      </tp>
      <tp t="s">
        <v>N/A</v>
        <stp/>
        <stp>GAMMA</stp>
        <stp>.EWJ201120P63</stp>
        <tr r="N137" s="1"/>
      </tp>
      <tp t="s">
        <v>N/A</v>
        <stp/>
        <stp>GAMMA</stp>
        <stp>.EWJ201120P64</stp>
        <tr r="N141" s="1"/>
      </tp>
      <tp>
        <v>0</v>
        <stp/>
        <stp>VEGA</stp>
        <stp>JETS</stp>
        <tr r="P375" s="1"/>
      </tp>
      <tp t="s">
        <v>N/A</v>
        <stp/>
        <stp>THETA</stp>
        <stp>.EWG201120C30</stp>
        <tr r="O127" s="1"/>
      </tp>
      <tp t="s">
        <v>N/A</v>
        <stp/>
        <stp>THETA</stp>
        <stp>.VWO201120C47</stp>
        <tr r="O751" s="1"/>
      </tp>
      <tp t="s">
        <v>N/A</v>
        <stp/>
        <stp>THETA</stp>
        <stp>.EWI201120C27</stp>
        <tr r="O133" s="1"/>
      </tp>
      <tp t="s">
        <v>N/A</v>
        <stp/>
        <stp>THETA</stp>
        <stp>.EWH201120C24</stp>
        <tr r="O130" s="1"/>
      </tp>
      <tp t="s">
        <v>N/A</v>
        <stp/>
        <stp>GAMMA</stp>
        <stp>.EWA201120P22</stp>
        <tr r="N122" s="1"/>
      </tp>
      <tp t="s">
        <v>N/A</v>
        <stp/>
        <stp>DELTA</stp>
        <stp>.ITB201120P56</stp>
        <tr r="M296" s="1"/>
      </tp>
      <tp t="s">
        <v>N/A</v>
        <stp/>
        <stp>DELTA</stp>
        <stp>.ITB201120P55</stp>
        <tr r="M292" s="1"/>
      </tp>
      <tp t="s">
        <v>N/A</v>
        <stp/>
        <stp>THETA</stp>
        <stp>.EWL201120C43</stp>
        <tr r="O143" s="1"/>
      </tp>
      <tp t="s">
        <v>N/A</v>
        <stp/>
        <stp>GAMMA</stp>
        <stp>.EWC201120P29</stp>
        <tr r="N125" s="1"/>
      </tp>
      <tp t="s">
        <v>N/A</v>
        <stp/>
        <stp>THETA</stp>
        <stp>.JNK201120C106.5</stp>
        <tr r="O381" s="1"/>
      </tp>
      <tp t="s">
        <v>N/A</v>
        <stp/>
        <stp>THETA</stp>
        <stp>.RWM201120C29</stp>
        <tr r="O518" s="1"/>
      </tp>
      <tp>
        <v>19.828900000000001</v>
        <stp/>
        <stp>HIGH</stp>
        <stp>JETS</stp>
        <tr r="J375" s="1"/>
      </tp>
      <tp>
        <v>42.76</v>
        <stp/>
        <stp>OPEN</stp>
        <stp>DGRO</stp>
        <tr r="L59" s="1"/>
      </tp>
      <tp t="s">
        <v>N/A</v>
        <stp/>
        <stp>VEGA</stp>
        <stp>.ARKW201120P117</stp>
        <tr r="P38" s="1"/>
      </tp>
      <tp t="s">
        <v>N/A</v>
        <stp/>
        <stp>VEGA</stp>
        <stp>.ARKW201120C117</stp>
        <tr r="P37" s="1"/>
      </tp>
      <tp t="s">
        <v>N/A</v>
        <stp/>
        <stp>VEGA</stp>
        <stp>.ARKW201120P116</stp>
        <tr r="P36" s="1"/>
      </tp>
      <tp t="s">
        <v>N/A</v>
        <stp/>
        <stp>VEGA</stp>
        <stp>.ARKW201120C116</stp>
        <tr r="P35" s="1"/>
      </tp>
      <tp t="s">
        <v>N/A</v>
        <stp/>
        <stp>VEGA</stp>
        <stp>.ARKW201120P119</stp>
        <tr r="P42" s="1"/>
      </tp>
      <tp t="s">
        <v>N/A</v>
        <stp/>
        <stp>VEGA</stp>
        <stp>.ARKW201120C119</stp>
        <tr r="P41" s="1"/>
      </tp>
      <tp t="s">
        <v>N/A</v>
        <stp/>
        <stp>VEGA</stp>
        <stp>.ARKW201120P118</stp>
        <tr r="P40" s="1"/>
      </tp>
      <tp t="s">
        <v>N/A</v>
        <stp/>
        <stp>VEGA</stp>
        <stp>.ARKW201120C118</stp>
        <tr r="P39" s="1"/>
      </tp>
      <tp t="s">
        <v>N/A</v>
        <stp/>
        <stp>EXTRINSIC</stp>
        <stp>.MJ201120C13</stp>
        <tr r="S424" s="1"/>
      </tp>
      <tp t="s">
        <v>N/A</v>
        <stp/>
        <stp>GAMMA</stp>
        <stp>.EWG201120P30</stp>
        <tr r="N128" s="1"/>
      </tp>
      <tp t="s">
        <v>N/A</v>
        <stp/>
        <stp>GAMMA</stp>
        <stp>.SMH201120P196.5</stp>
        <tr r="N569" s="1"/>
      </tp>
      <tp t="s">
        <v>N/A</v>
        <stp/>
        <stp>DELTA</stp>
        <stp>.JNK201120P106.5</stp>
        <tr r="M382" s="1"/>
      </tp>
      <tp t="s">
        <v>N/A</v>
        <stp/>
        <stp>THETA</stp>
        <stp>.EWJ201120C63</stp>
        <tr r="O136" s="1"/>
      </tp>
      <tp t="s">
        <v>N/A</v>
        <stp/>
        <stp>THETA</stp>
        <stp>.EWJ201120C64</stp>
        <tr r="O140" s="1"/>
      </tp>
      <tp t="s">
        <v>N/A</v>
        <stp/>
        <stp>RHO</stp>
        <stp>.XLRE201120C37</stp>
        <tr r="Q847" s="1"/>
      </tp>
      <tp t="s">
        <v>N/A</v>
        <stp/>
        <stp>VOLUME</stp>
        <stp>.EWL201120P43</stp>
        <tr r="F144" s="1"/>
      </tp>
      <tp t="s">
        <v>N/A</v>
        <stp/>
        <stp>STRIKE</stp>
        <stp>.XLP201120P67</stp>
        <tr r="W845" s="1"/>
      </tp>
      <tp>
        <v>0</v>
        <stp/>
        <stp>VOLUME</stp>
        <stp>.EWI201120P27</stp>
        <tr r="F134" s="1"/>
      </tp>
      <tp t="s">
        <v>N/A</v>
        <stp/>
        <stp>VOLUME</stp>
        <stp>.VWO201120P47</stp>
        <tr r="F752" s="1"/>
      </tp>
      <tp t="s">
        <v>N/A</v>
        <stp/>
        <stp>VOLUME</stp>
        <stp>.EWH201120P24</stp>
        <tr r="F131" s="1"/>
      </tp>
      <tp t="s">
        <v>N/A</v>
        <stp/>
        <stp>STRIKE</stp>
        <stp>.XLU201120P67</stp>
        <tr r="W855" s="1"/>
      </tp>
      <tp t="s">
        <v>N/A</v>
        <stp/>
        <stp>STRIKE</stp>
        <stp>.XLU201120P66</stp>
        <tr r="W851" s="1"/>
      </tp>
      <tp t="s">
        <v>N/A</v>
        <stp/>
        <stp>VOLUME</stp>
        <stp>.EWJ201120P63</stp>
        <tr r="F137" s="1"/>
      </tp>
      <tp t="s">
        <v>N/A</v>
        <stp/>
        <stp>VOLUME</stp>
        <stp>.EWJ201120P64</stp>
        <tr r="F141" s="1"/>
      </tp>
      <tp t="s">
        <v>N/A</v>
        <stp/>
        <stp>PUT_CALL_RATIO</stp>
        <stp>.PGX201120C15</stp>
        <tr r="C455" s="1"/>
      </tp>
      <tp>
        <v>0</v>
        <stp/>
        <stp>VOLUME</stp>
        <stp>.RWM201120P29</stp>
        <tr r="F519" s="1"/>
      </tp>
      <tp t="s">
        <v>N/A</v>
        <stp/>
        <stp>VOLUME</stp>
        <stp>.EWC201120P29</stp>
        <tr r="F125" s="1"/>
      </tp>
      <tp t="s">
        <v>N/A</v>
        <stp/>
        <stp>DESCRIPTION</stp>
        <stp>.IEMG201120C58</stp>
        <tr r="B259" s="1"/>
      </tp>
      <tp t="s">
        <v>N/A</v>
        <stp/>
        <stp>DESCRIPTION</stp>
        <stp>.IEMG201120C57</stp>
        <tr r="B257" s="1"/>
      </tp>
      <tp t="s">
        <v>N/A</v>
        <stp/>
        <stp>VOLUME</stp>
        <stp>.EWA201120P22</stp>
        <tr r="F122" s="1"/>
      </tp>
      <tp t="s">
        <v>N/A</v>
        <stp/>
        <stp>RHO</stp>
        <stp>.DGRO201120C43</stp>
        <tr r="Q60" s="1"/>
      </tp>
      <tp t="s">
        <v>N/A</v>
        <stp/>
        <stp>VOLUME</stp>
        <stp>.EWG201120P30</stp>
        <tr r="F128" s="1"/>
      </tp>
      <tp>
        <v>0.05</v>
        <stp/>
        <stp>BID</stp>
        <stp>.XLRE201120C37</stp>
        <tr r="H847" s="1"/>
      </tp>
      <tp>
        <v>64</v>
        <stp/>
        <stp>VOLUME</stp>
        <stp>.EWZ201120P32</stp>
        <tr r="F176" s="1"/>
      </tp>
      <tp t="s">
        <v>N/A</v>
        <stp/>
        <stp>STRIKE</stp>
        <stp>.XLE201120P34</stp>
        <tr r="W807" s="1"/>
      </tp>
      <tp>
        <v>647</v>
        <stp/>
        <stp>VOLUME</stp>
        <stp>.GDX201120C37</stp>
        <tr r="F198" s="1"/>
      </tp>
      <tp t="s">
        <v>N/A</v>
        <stp/>
        <stp>STRIKE</stp>
        <stp>.XLC201120P64</stp>
        <tr r="W802" s="1"/>
      </tp>
      <tp t="s">
        <v>N/A</v>
        <stp/>
        <stp>STRIKE</stp>
        <stp>.XLC201120P63</stp>
        <tr r="W798" s="1"/>
      </tp>
      <tp t="s">
        <v>N/A</v>
        <stp/>
        <stp>PUT_CALL_RATIO</stp>
        <stp>.VGK201120C57</stp>
        <tr r="C722" s="1"/>
      </tp>
      <tp t="s">
        <v>N/A</v>
        <stp/>
        <stp>STRIKE</stp>
        <stp>.XLB201120P70</stp>
        <tr r="W795" s="1"/>
      </tp>
      <tp>
        <v>0.5</v>
        <stp/>
        <stp>ASK</stp>
        <stp>.XLRE201120C37</stp>
        <tr r="I847" s="1"/>
      </tp>
      <tp>
        <v>0</v>
        <stp/>
        <stp>LOW</stp>
        <stp>.DGRO201120C43</stp>
        <tr r="K60" s="1"/>
      </tp>
      <tp t="s">
        <v>N/A</v>
        <stp/>
        <stp>STRIKE</stp>
        <stp>.XLF201120P27</stp>
        <tr r="W812" s="1"/>
      </tp>
      <tp t="s">
        <v>N/A</v>
        <stp/>
        <stp>STRIKE</stp>
        <stp>.ILF201120P25</stp>
        <tr r="W279" s="1"/>
      </tp>
      <tp t="s">
        <v>N/A</v>
        <stp/>
        <stp>STRIKE</stp>
        <stp>.XLB201120P69</stp>
        <tr r="W791" s="1"/>
      </tp>
      <tp t="s">
        <v>N/A</v>
        <stp/>
        <stp>STRIKE</stp>
        <stp>.XLI201120P86</stp>
        <tr r="W823" s="1"/>
      </tp>
      <tp t="s">
        <v>N/A</v>
        <stp/>
        <stp>STRIKE</stp>
        <stp>.XLI201120P85</stp>
        <tr r="W819" s="1"/>
      </tp>
      <tp t="s">
        <v>N/A</v>
        <stp/>
        <stp>STRIKE</stp>
        <stp>.XLI201120P84</stp>
        <tr r="W815" s="1"/>
      </tp>
      <tp t="s">
        <v>N/A</v>
        <stp/>
        <stp>VOLUME</stp>
        <stp>.EWY201120P73</stp>
        <tr r="F169" s="1"/>
      </tp>
      <tp t="s">
        <v>N/A</v>
        <stp/>
        <stp>VOLUME</stp>
        <stp>.EWY201120P72</stp>
        <tr r="F165" s="1"/>
      </tp>
      <tp>
        <v>0</v>
        <stp/>
        <stp>VOLUME</stp>
        <stp>.EWT201120P48</stp>
        <tr r="F150" s="1"/>
      </tp>
      <tp t="s">
        <v>N/A</v>
        <stp/>
        <stp>STRIKE</stp>
        <stp>.QLD201120P97</stp>
        <tr r="W466" s="1"/>
      </tp>
      <tp t="s">
        <v>N/A</v>
        <stp/>
        <stp>STRIKE</stp>
        <stp>.QLD201120P96</stp>
        <tr r="W464" s="1"/>
      </tp>
      <tp t="s">
        <v>N/A</v>
        <stp/>
        <stp>STRIKE</stp>
        <stp>.QLD201120P99</stp>
        <tr r="W470" s="1"/>
      </tp>
      <tp t="s">
        <v>N/A</v>
        <stp/>
        <stp>STRIKE</stp>
        <stp>.QLD201120P98</stp>
        <tr r="W468" s="1"/>
      </tp>
      <tp t="s">
        <v>N/A</v>
        <stp/>
        <stp>DESCRIPTION</stp>
        <stp>.USMV201120C67</stp>
        <tr r="B699" s="1"/>
      </tp>
      <tp t="s">
        <v>N/A</v>
        <stp/>
        <stp>VOLUME</stp>
        <stp>.EWP201120P26</stp>
        <tr r="F147" s="1"/>
      </tp>
      <tp>
        <v>1375</v>
        <stp/>
        <stp>VOLUME</stp>
        <stp>.SDS201120C14</stp>
        <tr r="F540" s="1"/>
      </tp>
      <tp t="s">
        <v>N/A</v>
        <stp/>
        <stp>PUT_CALL_RATIO</stp>
        <stp>.ITB201120P55</stp>
        <tr r="C292" s="1"/>
      </tp>
      <tp t="s">
        <v>N/A</v>
        <stp/>
        <stp>PUT_CALL_RATIO</stp>
        <stp>.ITB201120P56</stp>
        <tr r="C296" s="1"/>
      </tp>
      <tp>
        <v>0.05</v>
        <stp/>
        <stp>BID</stp>
        <stp>.DGRO201120C43</stp>
        <tr r="H60" s="1"/>
      </tp>
      <tp>
        <v>2</v>
        <stp/>
        <stp>VOLUME</stp>
        <stp>.EWW201120P39</stp>
        <tr r="F158" s="1"/>
      </tp>
      <tp>
        <v>0.25</v>
        <stp/>
        <stp>ASK</stp>
        <stp>.DGRO201120C43</stp>
        <tr r="I60" s="1"/>
      </tp>
      <tp>
        <v>0</v>
        <stp/>
        <stp>LOW</stp>
        <stp>.XLRE201120C37</stp>
        <tr r="K847" s="1"/>
      </tp>
      <tp t="s">
        <v>N/A</v>
        <stp/>
        <stp>RHO</stp>
        <stp>.QUAL201120P112</stp>
        <tr r="Q504" s="1"/>
      </tp>
      <tp t="s">
        <v>N/A</v>
        <stp/>
        <stp>RHO</stp>
        <stp>.QUAL201120C112</stp>
        <tr r="Q503" s="1"/>
      </tp>
      <tp t="s">
        <v>N/A</v>
        <stp/>
        <stp>RHO</stp>
        <stp>.QUAL201120P111</stp>
        <tr r="Q502" s="1"/>
      </tp>
      <tp t="s">
        <v>N/A</v>
        <stp/>
        <stp>RHO</stp>
        <stp>.QUAL201120C111</stp>
        <tr r="Q501" s="1"/>
      </tp>
      <tp t="s">
        <v>N/A</v>
        <stp/>
        <stp>RHO</stp>
        <stp>.QUAL201120P110</stp>
        <tr r="Q500" s="1"/>
      </tp>
      <tp t="s">
        <v>N/A</v>
        <stp/>
        <stp>RHO</stp>
        <stp>.QUAL201120C110</stp>
        <tr r="Q499" s="1"/>
      </tp>
      <tp>
        <v>1395</v>
        <stp/>
        <stp>OPEN_INT</stp>
        <stp>.XME201120C27</stp>
        <tr r="G887" s="1"/>
      </tp>
      <tp t="s">
        <v>N/A</v>
        <stp/>
        <stp>IMPL_VOL</stp>
        <stp>.EWC201120C29</stp>
        <tr r="D124" s="1"/>
      </tp>
      <tp t="s">
        <v>N/A</v>
        <stp/>
        <stp>PROB_OF_TOUCHING</stp>
        <stp>.VEA201120P44</stp>
        <tr r="V709" s="1"/>
      </tp>
      <tp t="s">
        <v>N/A</v>
        <stp/>
        <stp>IMPL_VOL</stp>
        <stp>.EWA201120C22</stp>
        <tr r="D121" s="1"/>
      </tp>
      <tp t="s">
        <v>N/A</v>
        <stp/>
        <stp>PROB_OF_TOUCHING</stp>
        <stp>.FVD201120C35</stp>
        <tr r="V186" s="1"/>
      </tp>
      <tp t="s">
        <v>N/A</v>
        <stp/>
        <stp>EXTRINSIC</stp>
        <stp>.KWEB201120P74</stp>
        <tr r="S403" s="1"/>
      </tp>
      <tp t="s">
        <v>N/A</v>
        <stp/>
        <stp>EXTRINSIC</stp>
        <stp>.KWEB201120P73</stp>
        <tr r="S401" s="1"/>
      </tp>
      <tp t="s">
        <v>N/A</v>
        <stp/>
        <stp>EXTRINSIC</stp>
        <stp>.KWEB201120P72</stp>
        <tr r="S399" s="1"/>
      </tp>
      <tp t="s">
        <v>N/A</v>
        <stp/>
        <stp>IMPL_VOL</stp>
        <stp>.EWG201120C30</stp>
        <tr r="D127" s="1"/>
      </tp>
      <tp t="s">
        <v>N/A</v>
        <stp/>
        <stp>IMPL_VOL</stp>
        <stp>.EWL201120C43</stp>
        <tr r="D143" s="1"/>
      </tp>
      <tp t="s">
        <v>N/A</v>
        <stp/>
        <stp>IMPL_VOL</stp>
        <stp>.VWO201120C47</stp>
        <tr r="D751" s="1"/>
      </tp>
      <tp t="s">
        <v>N/A</v>
        <stp/>
        <stp>IMPL_VOL</stp>
        <stp>.EWI201120C27</stp>
        <tr r="D133" s="1"/>
      </tp>
      <tp t="s">
        <v>N/A</v>
        <stp/>
        <stp>IMPL_VOL</stp>
        <stp>.EWH201120C24</stp>
        <tr r="D130" s="1"/>
      </tp>
      <tp t="s">
        <v>N/A</v>
        <stp/>
        <stp>INTRINSIC</stp>
        <stp>.GUSH201120P27</stp>
        <tr r="R217" s="1"/>
      </tp>
      <tp t="s">
        <v>N/A</v>
        <stp/>
        <stp>INTRINSIC</stp>
        <stp>.GUSH201120P26</stp>
        <tr r="R215" s="1"/>
      </tp>
      <tp t="s">
        <v>N/A</v>
        <stp/>
        <stp>INTRINSIC</stp>
        <stp>.GUSH201120P28</stp>
        <tr r="R219" s="1"/>
      </tp>
      <tp t="s">
        <v>N/A</v>
        <stp/>
        <stp>IMPL_VOL</stp>
        <stp>.EWJ201120C63</stp>
        <tr r="D136" s="1"/>
      </tp>
      <tp t="s">
        <v>N/A</v>
        <stp/>
        <stp>IMPL_VOL</stp>
        <stp>.EWJ201120C64</stp>
        <tr r="D140" s="1"/>
      </tp>
      <tp t="s">
        <v>N/A</v>
        <stp/>
        <stp>PROB_OF_TOUCHING</stp>
        <stp>.EEM201120P48</stp>
        <tr r="V98" s="1"/>
      </tp>
      <tp t="s">
        <v>N/A</v>
        <stp/>
        <stp>IMPL_VOL</stp>
        <stp>.RWM201120C29</stp>
        <tr r="D518" s="1"/>
      </tp>
      <tp t="s">
        <v>N/A</v>
        <stp/>
        <stp>EXTRINSIC</stp>
        <stp>.DFEN201120P13</stp>
        <tr r="S56" s="1"/>
      </tp>
      <tp t="s">
        <v>N/A</v>
        <stp/>
        <stp>EXTRINSIC</stp>
        <stp>.DFEN201120P14</stp>
        <tr r="S58" s="1"/>
      </tp>
      <tp t="s">
        <v>N/A</v>
        <stp/>
        <stp>EXTRINSIC</stp>
        <stp>.SRVR201120C36</stp>
        <tr r="S640" s="1"/>
      </tp>
      <tp t="s">
        <v>N/A</v>
        <stp/>
        <stp>EXTRINSIC</stp>
        <stp>.SRVR201120C35</stp>
        <tr r="S638" s="1"/>
      </tp>
      <tp t="s">
        <v>N/A</v>
        <stp/>
        <stp>IMPL_VOL</stp>
        <stp>.EWT201120C48</stp>
        <tr r="D149" s="1"/>
      </tp>
      <tp t="s">
        <v>N/A</v>
        <stp/>
        <stp>PROB_OTM</stp>
        <stp>.PXH201120C19</stp>
        <tr r="U458" s="1"/>
      </tp>
      <tp t="s">
        <v>N/A</v>
        <stp/>
        <stp>PROB_OTM</stp>
        <stp>.PXH201120C20</stp>
        <tr r="U460" s="1"/>
      </tp>
      <tp t="s">
        <v>N/A</v>
        <stp/>
        <stp>IMPL_VOL</stp>
        <stp>.EWP201120C26</stp>
        <tr r="D146" s="1"/>
      </tp>
      <tp t="s">
        <v>N/A</v>
        <stp/>
        <stp>IMPL_VOL</stp>
        <stp>.SDS201120P14</stp>
        <tr r="D541" s="1"/>
      </tp>
      <tp t="s">
        <v>N/A</v>
        <stp/>
        <stp>PROB_OF_TOUCHING</stp>
        <stp>.DVY201120C92</stp>
        <tr r="V87" s="1"/>
      </tp>
      <tp t="s">
        <v>N/A</v>
        <stp/>
        <stp>PROB_OF_TOUCHING</stp>
        <stp>.DVY201120C93</stp>
        <tr r="V89" s="1"/>
      </tp>
      <tp t="s">
        <v>N/A</v>
        <stp/>
        <stp>PROB_OF_TOUCHING</stp>
        <stp>.DVY201120C91</stp>
        <tr r="V85" s="1"/>
      </tp>
      <tp t="s">
        <v>N/A</v>
        <stp/>
        <stp>PROB_OF_TOUCHING</stp>
        <stp>.VEU201120P55</stp>
        <tr r="V712" s="1"/>
      </tp>
      <tp t="s">
        <v>N/A</v>
        <stp/>
        <stp>PROB_OTM</stp>
        <stp>.FXI201120C47</stp>
        <tr r="U189" s="1"/>
      </tp>
      <tp t="s">
        <v>N/A</v>
        <stp/>
        <stp>IMPL_VOL</stp>
        <stp>.EWW201120C39</stp>
        <tr r="D157" s="1"/>
      </tp>
      <tp t="s">
        <v>N/A</v>
        <stp/>
        <stp>PROB_OTM</stp>
        <stp>.FXI201120C48</stp>
        <tr r="U193" s="1"/>
      </tp>
      <tp t="s">
        <v>N/A</v>
        <stp/>
        <stp>IMPL_VOL</stp>
        <stp>.EWZ201120C32</stp>
        <tr r="D175" s="1"/>
      </tp>
      <tp t="s">
        <v>N/A</v>
        <stp/>
        <stp>PROB_OF_TOUCHING</stp>
        <stp>.FEZ201120P40</stp>
        <tr r="V184" s="1"/>
      </tp>
      <tp t="s">
        <v>N/A</v>
        <stp/>
        <stp>IMPL_VOL</stp>
        <stp>.GDX201120P37</stp>
        <tr r="D199" s="1"/>
      </tp>
      <tp t="s">
        <v>N/A</v>
        <stp/>
        <stp>PROB_OF_EXPIRING</stp>
        <stp>.XOP201120P47</stp>
        <tr r="T891" s="1"/>
      </tp>
      <tp t="s">
        <v>N/A</v>
        <stp/>
        <stp>PROB_OF_EXPIRING</stp>
        <stp>.XOP201120P49</stp>
        <tr r="T899" s="1"/>
      </tp>
      <tp t="s">
        <v>N/A</v>
        <stp/>
        <stp>PROB_OF_EXPIRING</stp>
        <stp>.XOP201120P48</stp>
        <tr r="T895" s="1"/>
      </tp>
      <tp t="s">
        <v>N/A</v>
        <stp/>
        <stp>PROB_OTM</stp>
        <stp>.DXD201120C14</stp>
        <tr r="U92" s="1"/>
      </tp>
      <tp t="s">
        <v>N/A</v>
        <stp/>
        <stp>IMPL_VOL</stp>
        <stp>.EWY201120C72</stp>
        <tr r="D164" s="1"/>
      </tp>
      <tp t="s">
        <v>N/A</v>
        <stp/>
        <stp>IMPL_VOL</stp>
        <stp>.EWY201120C73</stp>
        <tr r="D168" s="1"/>
      </tp>
      <tp t="s">
        <v>N/A</v>
        <stp/>
        <stp>PROB_OF_TOUCHING</stp>
        <stp>.SPLG201120P42</stp>
        <tr r="V586" s="1"/>
      </tp>
      <tp t="s">
        <v>N/A</v>
        <stp/>
        <stp>PROB_OF_TOUCHING</stp>
        <stp>.EMLC201120P32</stp>
        <tr r="V116" s="1"/>
      </tp>
      <tp t="s">
        <v>N/A</v>
        <stp/>
        <stp>STRIKE</stp>
        <stp>.QUAL201120C112</stp>
        <tr r="W503" s="1"/>
      </tp>
      <tp t="s">
        <v>N/A</v>
        <stp/>
        <stp>STRIKE</stp>
        <stp>.QUAL201120P112</stp>
        <tr r="W504" s="1"/>
      </tp>
      <tp t="s">
        <v>N/A</v>
        <stp/>
        <stp>STRIKE</stp>
        <stp>.QUAL201120C111</stp>
        <tr r="W501" s="1"/>
      </tp>
      <tp t="s">
        <v>N/A</v>
        <stp/>
        <stp>STRIKE</stp>
        <stp>.QUAL201120P111</stp>
        <tr r="W502" s="1"/>
      </tp>
      <tp t="s">
        <v>N/A</v>
        <stp/>
        <stp>STRIKE</stp>
        <stp>.QUAL201120C110</stp>
        <tr r="W499" s="1"/>
      </tp>
      <tp t="s">
        <v>N/A</v>
        <stp/>
        <stp>STRIKE</stp>
        <stp>.QUAL201120P110</stp>
        <tr r="W500" s="1"/>
      </tp>
      <tp t="s">
        <v>N/A</v>
        <stp/>
        <stp>PROB_OF_EXPIRING</stp>
        <stp>.JETS201120C20</stp>
        <tr r="T378" s="1"/>
      </tp>
      <tp t="s">
        <v>N/A</v>
        <stp/>
        <stp>PROB_OF_TOUCHING</stp>
        <stp>.HYLB201120P49</stp>
        <tr r="V227" s="1"/>
      </tp>
      <tp t="s">
        <v>N/A</v>
        <stp/>
        <stp>IMPL_VOL</stp>
        <stp>.IGIB201120P61</stp>
        <tr r="D263" s="1"/>
      </tp>
      <tp t="s">
        <v>N/A</v>
        <stp/>
        <stp>IMPL_VOL</stp>
        <stp>.NAIL201120P48</stp>
        <tr r="D448" s="1"/>
      </tp>
      <tp t="s">
        <v>N/A</v>
        <stp/>
        <stp>IMPL_VOL</stp>
        <stp>.NAIL201120P49</stp>
        <tr r="D450" s="1"/>
      </tp>
      <tp t="s">
        <v>N/A</v>
        <stp/>
        <stp>IMPL_VOL</stp>
        <stp>.NAIL201120P44</stp>
        <tr r="D440" s="1"/>
      </tp>
      <tp t="s">
        <v>N/A</v>
        <stp/>
        <stp>IMPL_VOL</stp>
        <stp>.NAIL201120P45</stp>
        <tr r="D442" s="1"/>
      </tp>
      <tp t="s">
        <v>N/A</v>
        <stp/>
        <stp>IMPL_VOL</stp>
        <stp>.NAIL201120P46</stp>
        <tr r="D444" s="1"/>
      </tp>
      <tp t="s">
        <v>N/A</v>
        <stp/>
        <stp>IMPL_VOL</stp>
        <stp>.NAIL201120P47</stp>
        <tr r="D446" s="1"/>
      </tp>
      <tp>
        <v>0.92</v>
        <stp/>
        <stp>LOW</stp>
        <stp>.DIA201120C297.5</stp>
        <tr r="K79" s="1"/>
      </tp>
      <tp t="s">
        <v>N/A</v>
        <stp/>
        <stp>PROB_OF_TOUCHING</stp>
        <stp>.ICLN201120P22</stp>
        <tr r="V247" s="1"/>
      </tp>
      <tp t="s">
        <v>N/A</v>
        <stp/>
        <stp>PROB_OF_TOUCHING</stp>
        <stp>.BKLN201120P22</stp>
        <tr r="V50" s="1"/>
      </tp>
      <tp t="s">
        <v>N/A</v>
        <stp/>
        <stp>DESCRIPTION</stp>
        <stp>.MDY201120P382.5</stp>
        <tr r="B418" s="1"/>
      </tp>
      <tp t="s">
        <v>N/A</v>
        <stp/>
        <stp>IMPL_VOL</stp>
        <stp>.VGIT201120P70</stp>
        <tr r="D720" s="1"/>
      </tp>
      <tp t="s">
        <v>N/A</v>
        <stp/>
        <stp>PROB_OF_TOUCHING</stp>
        <stp>.SPLV201120P55</stp>
        <tr r="V589" s="1"/>
      </tp>
      <tp t="s">
        <v>N/A</v>
        <stp/>
        <stp>PROB_OF_TOUCHING</stp>
        <stp>.AMLP201120P23</stp>
        <tr r="V20" s="1"/>
      </tp>
      <tp t="s">
        <v>N/A</v>
        <stp/>
        <stp>PROB_OF_TOUCHING</stp>
        <stp>.AMLP201120P24</stp>
        <tr r="V24" s="1"/>
      </tp>
      <tp t="s">
        <v>N/A</v>
        <stp/>
        <stp>IMPL_VOL</stp>
        <stp>.DRIP201120P45</stp>
        <tr r="D83" s="1"/>
      </tp>
      <tp>
        <v>6.95</v>
        <stp/>
        <stp>LOW</stp>
        <stp>.DIA201120P297.5</stp>
        <tr r="K80" s="1"/>
      </tp>
      <tp t="s">
        <v>N/A</v>
        <stp/>
        <stp>DESCRIPTION</stp>
        <stp>.MDY201120C382.5</stp>
        <tr r="B417" s="1"/>
      </tp>
      <tp>
        <v>5</v>
        <stp/>
        <stp>OPEN_INT</stp>
        <stp>.ITOT201120P81</stp>
        <tr r="G301" s="1"/>
      </tp>
      <tp t="s">
        <v>N/A</v>
        <stp/>
        <stp>OPEN_INT</stp>
        <stp>.ITOT201120P80</stp>
        <tr r="G299" s="1"/>
      </tp>
      <tp t="s">
        <v>N/A</v>
        <stp/>
        <stp>IMPL_VOL</stp>
        <stp>.VCIT201120P96</stp>
        <tr r="D703" s="1"/>
      </tp>
      <tp>
        <v>1</v>
        <stp/>
        <stp>DELTA</stp>
        <stp>IWM</stp>
        <tr r="M345" s="1"/>
      </tp>
      <tp>
        <v>1</v>
        <stp/>
        <stp>DELTA</stp>
        <stp>IWF</stp>
        <tr r="M340" s="1"/>
      </tp>
      <tp>
        <v>1</v>
        <stp/>
        <stp>DELTA</stp>
        <stp>IWD</stp>
        <tr r="M333" s="1"/>
      </tp>
      <tp>
        <v>1</v>
        <stp/>
        <stp>DELTA</stp>
        <stp>IVV</stp>
        <tr r="M309" s="1"/>
      </tp>
      <tp>
        <v>1</v>
        <stp/>
        <stp>DELTA</stp>
        <stp>IVW</stp>
        <tr r="M330" s="1"/>
      </tp>
      <tp>
        <v>1</v>
        <stp/>
        <stp>DELTA</stp>
        <stp>IVE</stp>
        <tr r="M302" s="1"/>
      </tp>
      <tp>
        <v>1</v>
        <stp/>
        <stp>DELTA</stp>
        <stp>ITB</stp>
        <tr r="M288" s="1"/>
      </tp>
      <tp t="s">
        <v>N/A</v>
        <stp/>
        <stp>DELTA</stp>
        <stp>.RSX201120P22</stp>
        <tr r="M514" s="1"/>
      </tp>
      <tp t="s">
        <v>N/A</v>
        <stp/>
        <stp>THETA</stp>
        <stp>.IWM201120C172.5</stp>
        <tr r="O352" s="1"/>
      </tp>
      <tp t="s">
        <v>N/A</v>
        <stp/>
        <stp>DELTA</stp>
        <stp>.IWM201120P172.5</stp>
        <tr r="M353" s="1"/>
      </tp>
      <tp t="s">
        <v>N/A</v>
        <stp/>
        <stp>GAMMA</stp>
        <stp>.SCZ201120C63</stp>
        <tr r="N535" s="1"/>
      </tp>
      <tp t="s">
        <v>N/A</v>
        <stp/>
        <stp>RHO</stp>
        <stp>.JETS201120C19.5</stp>
        <tr r="Q376" s="1"/>
      </tp>
      <tp t="s">
        <v>N/A</v>
        <stp/>
        <stp>RHO</stp>
        <stp>.JETS201120P19.5</stp>
        <tr r="Q377" s="1"/>
      </tp>
      <tp t="s">
        <v>N/A</v>
        <stp/>
        <stp>GAMMA</stp>
        <stp>.TLT201120C156.5</stp>
        <tr r="N696" s="1"/>
      </tp>
      <tp>
        <v>1.0900000000000001</v>
        <stp/>
        <stp>BID</stp>
        <stp>.AMLP201120P23.5</stp>
        <tr r="H22" s="1"/>
      </tp>
      <tp t="s">
        <v>N/A</v>
        <stp/>
        <stp>BID</stp>
        <stp>.AMLP201120C23.5</stp>
        <tr r="H21" s="1"/>
      </tp>
      <tp>
        <v>1</v>
        <stp/>
        <stp>DELTA</stp>
        <stp>IYR</stp>
        <tr r="M366" s="1"/>
      </tp>
      <tp>
        <v>1</v>
        <stp/>
        <stp>DELTA</stp>
        <stp>IYE</stp>
        <tr r="M363" s="1"/>
      </tp>
      <tp t="s">
        <v>N/A</v>
        <stp/>
        <stp>THETA</stp>
        <stp>.SCZ201120P63</stp>
        <tr r="O536" s="1"/>
      </tp>
      <tp>
        <v>1</v>
        <stp/>
        <stp>DELTA</stp>
        <stp>IGV</stp>
        <tr r="M264" s="1"/>
      </tp>
      <tp>
        <v>1</v>
        <stp/>
        <stp>DELTA</stp>
        <stp>IEF</stp>
        <tr r="M248" s="1"/>
      </tp>
      <tp>
        <v>1.79</v>
        <stp/>
        <stp>LOW</stp>
        <stp>.GDXJ201120C53.5</stp>
        <tr r="K209" s="1"/>
      </tp>
      <tp>
        <v>1.0900000000000001</v>
        <stp/>
        <stp>LOW</stp>
        <stp>.GDXJ201120P53.5</stp>
        <tr r="K210" s="1"/>
      </tp>
      <tp t="s">
        <v>N/A</v>
        <stp/>
        <stp>DELTA</stp>
        <stp>.IWM201120C172.5</stp>
        <tr r="M352" s="1"/>
      </tp>
      <tp>
        <v>1</v>
        <stp/>
        <stp>DELTA</stp>
        <stp>IBB</stp>
        <tr r="M228" s="1"/>
      </tp>
      <tp t="s">
        <v>N/A</v>
        <stp/>
        <stp>THETA</stp>
        <stp>.IWM201120P172.5</stp>
        <tr r="O353" s="1"/>
      </tp>
      <tp>
        <v>0</v>
        <stp/>
        <stp>GAMMA</stp>
        <stp>HYG</stp>
        <tr r="N220" s="1"/>
      </tp>
      <tp t="s">
        <v>N/A</v>
        <stp/>
        <stp>DELTA</stp>
        <stp>.SSO201120P83</stp>
        <tr r="M652" s="1"/>
      </tp>
      <tp t="s">
        <v>N/A</v>
        <stp/>
        <stp>DELTA</stp>
        <stp>.SSO201120P82</stp>
        <tr r="M648" s="1"/>
      </tp>
      <tp t="s">
        <v>N/A</v>
        <stp/>
        <stp>DELTA</stp>
        <stp>.SSO201120P81</stp>
        <tr r="M644" s="1"/>
      </tp>
      <tp t="s">
        <v>N/A</v>
        <stp/>
        <stp>DELTA</stp>
        <stp>.SSO201120P84</stp>
        <tr r="M656" s="1"/>
      </tp>
      <tp>
        <v>1</v>
        <stp/>
        <stp>DELTA</stp>
        <stp>ILF</stp>
        <tr r="M277" s="1"/>
      </tp>
      <tp t="s">
        <v>N/A</v>
        <stp/>
        <stp>LAST</stp>
        <stp>.VCLT201120C107</stp>
        <tr r="E705" s="1"/>
      </tp>
      <tp t="s">
        <v>N/A</v>
        <stp/>
        <stp>LAST</stp>
        <stp>.VCLT201120P107</stp>
        <tr r="E706" s="1"/>
      </tp>
      <tp>
        <v>1</v>
        <stp/>
        <stp>DELTA</stp>
        <stp>IJR</stp>
        <tr r="M274" s="1"/>
      </tp>
      <tp>
        <v>1</v>
        <stp/>
        <stp>DELTA</stp>
        <stp>IJH</stp>
        <tr r="M271" s="1"/>
      </tp>
      <tp t="s">
        <v>N/A</v>
        <stp/>
        <stp>GAMMA</stp>
        <stp>.TLT201120P156.5</stp>
        <tr r="N697" s="1"/>
      </tp>
      <tp t="s">
        <v>N/A</v>
        <stp/>
        <stp>BID</stp>
        <stp>.VXUS201120C56</stp>
        <tr r="H754" s="1"/>
      </tp>
      <tp>
        <v>1.6</v>
        <stp/>
        <stp>ASK</stp>
        <stp>.IXUS201120C63</stp>
        <tr r="I361" s="1"/>
      </tp>
      <tp t="s">
        <v>N/A</v>
        <stp/>
        <stp>BID</stp>
        <stp>.VXUS201120C57</stp>
        <tr r="H756" s="1"/>
      </tp>
      <tp t="s">
        <v>N/A</v>
        <stp/>
        <stp>RHO</stp>
        <stp>.IEFA201120P66</stp>
        <tr r="Q255" s="1"/>
      </tp>
      <tp t="s">
        <v>N/A</v>
        <stp/>
        <stp>RHO</stp>
        <stp>.IEFA201120P65</stp>
        <tr r="Q253" s="1"/>
      </tp>
      <tp>
        <v>0.1</v>
        <stp/>
        <stp>BID</stp>
        <stp>.IXUS201120C63</stp>
        <tr r="H361" s="1"/>
      </tp>
      <tp t="s">
        <v>N/A</v>
        <stp/>
        <stp>ASK</stp>
        <stp>.VXUS201120C56</stp>
        <tr r="I754" s="1"/>
      </tp>
      <tp t="s">
        <v>N/A</v>
        <stp/>
        <stp>ASK</stp>
        <stp>.VXUS201120C57</stp>
        <tr r="I756" s="1"/>
      </tp>
      <tp t="s">
        <v>N/A</v>
        <stp/>
        <stp>PUT_CALL_RATIO</stp>
        <stp>.RSX201120P22</stp>
        <tr r="C514" s="1"/>
      </tp>
      <tp t="s">
        <v>N/A</v>
        <stp/>
        <stp>DESCRIPTION</stp>
        <stp>.SHYG201120P45</stp>
        <tr r="B550" s="1"/>
      </tp>
      <tp t="s">
        <v>N/A</v>
        <stp/>
        <stp>RHO</stp>
        <stp>.EUFN201120P16</stp>
        <tr r="Q119" s="1"/>
      </tp>
      <tp t="s">
        <v>N/A</v>
        <stp/>
        <stp>DESCRIPTION</stp>
        <stp>.SPYG201120P53</stp>
        <tr r="B633" s="1"/>
      </tp>
      <tp t="s">
        <v>N/A</v>
        <stp/>
        <stp>DESCRIPTION</stp>
        <stp>.SPYG201120P52</stp>
        <tr r="B631" s="1"/>
      </tp>
      <tp>
        <v>0</v>
        <stp/>
        <stp>LOW</stp>
        <stp>.IXUS201120C63</stp>
        <tr r="K361" s="1"/>
      </tp>
      <tp t="s">
        <v>N/A</v>
        <stp/>
        <stp>RHO</stp>
        <stp>.ARKK201120P100</stp>
        <tr r="Q33" s="1"/>
      </tp>
      <tp t="s">
        <v>N/A</v>
        <stp/>
        <stp>RHO</stp>
        <stp>.ARKK201120C100</stp>
        <tr r="Q32" s="1"/>
      </tp>
      <tp t="s">
        <v>N/A</v>
        <stp/>
        <stp>LOW</stp>
        <stp>.VXUS201120C56</stp>
        <tr r="K754" s="1"/>
      </tp>
      <tp t="s">
        <v>N/A</v>
        <stp/>
        <stp>LOW</stp>
        <stp>.VXUS201120C57</stp>
        <tr r="K756" s="1"/>
      </tp>
      <tp t="s">
        <v>N/A</v>
        <stp/>
        <stp>RHO</stp>
        <stp>.VXUS201120C57</stp>
        <tr r="Q756" s="1"/>
      </tp>
      <tp t="s">
        <v>N/A</v>
        <stp/>
        <stp>RHO</stp>
        <stp>.VXUS201120C56</stp>
        <tr r="Q754" s="1"/>
      </tp>
      <tp t="s">
        <v>N/A</v>
        <stp/>
        <stp>BID</stp>
        <stp>.IEFA201120P66</stp>
        <tr r="H255" s="1"/>
      </tp>
      <tp t="s">
        <v>N/A</v>
        <stp/>
        <stp>BID</stp>
        <stp>.IEFA201120P65</stp>
        <tr r="H253" s="1"/>
      </tp>
      <tp t="s">
        <v>N/A</v>
        <stp/>
        <stp>ASK</stp>
        <stp>.IEFA201120P65</stp>
        <tr r="I253" s="1"/>
      </tp>
      <tp t="s">
        <v>N/A</v>
        <stp/>
        <stp>ASK</stp>
        <stp>.IEFA201120P66</stp>
        <tr r="I255" s="1"/>
      </tp>
      <tp t="s">
        <v>N/A</v>
        <stp/>
        <stp>STRIKE</stp>
        <stp>.DXD201120C14</stp>
        <tr r="W92" s="1"/>
      </tp>
      <tp t="s">
        <v>N/A</v>
        <stp/>
        <stp>RHO</stp>
        <stp>.IXUS201120C63</stp>
        <tr r="Q361" s="1"/>
      </tp>
      <tp t="s">
        <v>N/A</v>
        <stp/>
        <stp>VOLUME</stp>
        <stp>.SCZ201120C63</stp>
        <tr r="F535" s="1"/>
      </tp>
      <tp>
        <v>0.28999999999999998</v>
        <stp/>
        <stp>LOW</stp>
        <stp>.EUFN201120P16</stp>
        <tr r="K119" s="1"/>
      </tp>
      <tp>
        <v>0.4</v>
        <stp/>
        <stp>BID</stp>
        <stp>.EUFN201120P16</stp>
        <tr r="H119" s="1"/>
      </tp>
      <tp>
        <v>0.45</v>
        <stp/>
        <stp>ASK</stp>
        <stp>.EUFN201120P16</stp>
        <tr r="I119" s="1"/>
      </tp>
      <tp t="s">
        <v>N/A</v>
        <stp/>
        <stp>STRIKE</stp>
        <stp>.FXI201120C47</stp>
        <tr r="W189" s="1"/>
      </tp>
      <tp t="s">
        <v>N/A</v>
        <stp/>
        <stp>STRIKE</stp>
        <stp>.FXI201120C48</stp>
        <tr r="W193" s="1"/>
      </tp>
      <tp t="s">
        <v>N/A</v>
        <stp/>
        <stp>PUT_CALL_RATIO</stp>
        <stp>.SSO201120P81</stp>
        <tr r="C644" s="1"/>
      </tp>
      <tp t="s">
        <v>N/A</v>
        <stp/>
        <stp>PUT_CALL_RATIO</stp>
        <stp>.SSO201120P83</stp>
        <tr r="C652" s="1"/>
      </tp>
      <tp t="s">
        <v>N/A</v>
        <stp/>
        <stp>PUT_CALL_RATIO</stp>
        <stp>.SSO201120P82</stp>
        <tr r="C648" s="1"/>
      </tp>
      <tp t="s">
        <v>N/A</v>
        <stp/>
        <stp>PUT_CALL_RATIO</stp>
        <stp>.SSO201120P84</stp>
        <tr r="C656" s="1"/>
      </tp>
      <tp t="s">
        <v>N/A</v>
        <stp/>
        <stp>STRIKE</stp>
        <stp>.PXH201120C20</stp>
        <tr r="W460" s="1"/>
      </tp>
      <tp t="s">
        <v>N/A</v>
        <stp/>
        <stp>DESCRIPTION</stp>
        <stp>.SPYV201120P33</stp>
        <tr r="B636" s="1"/>
      </tp>
      <tp t="s">
        <v>N/A</v>
        <stp/>
        <stp>STRIKE</stp>
        <stp>.PXH201120C19</stp>
        <tr r="W458" s="1"/>
      </tp>
      <tp t="s">
        <v>N/A</v>
        <stp/>
        <stp>LOW</stp>
        <stp>.IEFA201120P65</stp>
        <tr r="K253" s="1"/>
      </tp>
      <tp t="s">
        <v>N/A</v>
        <stp/>
        <stp>LOW</stp>
        <stp>.IEFA201120P66</stp>
        <tr r="K255" s="1"/>
      </tp>
      <tp t="s">
        <v>N/A</v>
        <stp/>
        <stp>OPEN_INT</stp>
        <stp>.VYM201120P87</stp>
        <tr r="G760" s="1"/>
      </tp>
      <tp t="s">
        <v>N/A</v>
        <stp/>
        <stp>OPEN_INT</stp>
        <stp>.VYM201120P88</stp>
        <tr r="G762" s="1"/>
      </tp>
      <tp t="s">
        <v>N/A</v>
        <stp/>
        <stp>PROB_OF_TOUCHING</stp>
        <stp>.KBE201120P38</stp>
        <tr r="V387" s="1"/>
      </tp>
      <tp t="s">
        <v>N/A</v>
        <stp/>
        <stp>PROB_OF_TOUCHING</stp>
        <stp>.TBF201120P16</stp>
        <tr r="V682" s="1"/>
      </tp>
      <tp t="s">
        <v>N/A</v>
        <stp/>
        <stp>OPEN_INT</stp>
        <stp>.IYE201120P18</stp>
        <tr r="G365" s="1"/>
      </tp>
      <tp t="s">
        <v>N/A</v>
        <stp/>
        <stp>EXTRINSIC</stp>
        <stp>.PDBC201120P14</stp>
        <tr r="S453" s="1"/>
      </tp>
      <tp t="s">
        <v>N/A</v>
        <stp/>
        <stp>PROB_OF_EXPIRING</stp>
        <stp>.XHB201120P55</stp>
        <tr r="T782" s="1"/>
      </tp>
      <tp t="s">
        <v>N/A</v>
        <stp/>
        <stp>PROB_OF_EXPIRING</stp>
        <stp>.XHB201120P56</stp>
        <tr r="T786" s="1"/>
      </tp>
      <tp>
        <v>12905</v>
        <stp/>
        <stp>OPEN_INT</stp>
        <stp>.HYG201120P86</stp>
        <tr r="G224" s="1"/>
      </tp>
      <tp t="s">
        <v>N/A</v>
        <stp/>
        <stp>VOLUME</stp>
        <stp>.AGG201120C117</stp>
        <tr r="F16" s="1"/>
      </tp>
      <tp t="s">
        <v>N/A</v>
        <stp/>
        <stp>VOLUME</stp>
        <stp>.AGG201120P117</stp>
        <tr r="F17" s="1"/>
      </tp>
      <tp t="s">
        <v>N/A</v>
        <stp/>
        <stp>PROB_OTM</stp>
        <stp>.XLU201120P66</stp>
        <tr r="U851" s="1"/>
      </tp>
      <tp t="s">
        <v>N/A</v>
        <stp/>
        <stp>PROB_OTM</stp>
        <stp>.XLU201120P67</stp>
        <tr r="U855" s="1"/>
      </tp>
      <tp t="s">
        <v>N/A</v>
        <stp/>
        <stp>PROB_OTM</stp>
        <stp>.XLP201120P67</stp>
        <tr r="U845" s="1"/>
      </tp>
      <tp t="s">
        <v>N/A</v>
        <stp/>
        <stp>INTRINSIC</stp>
        <stp>.JETS201120P20</stp>
        <tr r="R379" s="1"/>
      </tp>
      <tp t="s">
        <v>N/A</v>
        <stp/>
        <stp>PROB_OF_TOUCHING</stp>
        <stp>.TBT201120P17</stp>
        <tr r="V685" s="1"/>
      </tp>
      <tp t="s">
        <v>N/A</v>
        <stp/>
        <stp>STRIKE</stp>
        <stp>.XLY201120P153</stp>
        <tr r="W875" s="1"/>
      </tp>
      <tp t="s">
        <v>N/A</v>
        <stp/>
        <stp>STRIKE</stp>
        <stp>.XLY201120C153</stp>
        <tr r="W874" s="1"/>
      </tp>
      <tp t="s">
        <v>N/A</v>
        <stp/>
        <stp>STRIKE</stp>
        <stp>.XLY201120P152</stp>
        <tr r="W871" s="1"/>
      </tp>
      <tp t="s">
        <v>N/A</v>
        <stp/>
        <stp>STRIKE</stp>
        <stp>.XLY201120C152</stp>
        <tr r="W870" s="1"/>
      </tp>
      <tp t="s">
        <v>N/A</v>
        <stp/>
        <stp>STRIKE</stp>
        <stp>.XLY201120P155</stp>
        <tr r="W883" s="1"/>
      </tp>
      <tp t="s">
        <v>N/A</v>
        <stp/>
        <stp>STRIKE</stp>
        <stp>.XLY201120C155</stp>
        <tr r="W882" s="1"/>
      </tp>
      <tp t="s">
        <v>N/A</v>
        <stp/>
        <stp>STRIKE</stp>
        <stp>.XLY201120P154</stp>
        <tr r="W879" s="1"/>
      </tp>
      <tp t="s">
        <v>N/A</v>
        <stp/>
        <stp>STRIKE</stp>
        <stp>.XLY201120C154</stp>
        <tr r="W878" s="1"/>
      </tp>
      <tp t="s">
        <v>N/A</v>
        <stp/>
        <stp>PROB_OTM</stp>
        <stp>.QLD201120P96</stp>
        <tr r="U464" s="1"/>
      </tp>
      <tp t="s">
        <v>N/A</v>
        <stp/>
        <stp>PROB_OTM</stp>
        <stp>.QLD201120P97</stp>
        <tr r="U466" s="1"/>
      </tp>
      <tp t="s">
        <v>N/A</v>
        <stp/>
        <stp>PROB_OTM</stp>
        <stp>.QLD201120P98</stp>
        <tr r="U468" s="1"/>
      </tp>
      <tp t="s">
        <v>N/A</v>
        <stp/>
        <stp>PROB_OTM</stp>
        <stp>.QLD201120P99</stp>
        <tr r="U470" s="1"/>
      </tp>
      <tp t="s">
        <v>N/A</v>
        <stp/>
        <stp>PUT_CALL_RATIO</stp>
        <stp>.SH201120P19</stp>
        <tr r="C544" s="1"/>
      </tp>
      <tp>
        <v>66</v>
        <stp/>
        <stp>VOLUME</stp>
        <stp>.MJ201120P13</stp>
        <tr r="F425" s="1"/>
      </tp>
      <tp t="s">
        <v>N/A</v>
        <stp/>
        <stp>PUT_CALL_RATIO</stp>
        <stp>.QQQ201120P294</stp>
        <tr r="C497" s="1"/>
      </tp>
      <tp t="s">
        <v>N/A</v>
        <stp/>
        <stp>PUT_CALL_RATIO</stp>
        <stp>.QQQ201120C294</stp>
        <tr r="C496" s="1"/>
      </tp>
      <tp t="s">
        <v>N/A</v>
        <stp/>
        <stp>PUT_CALL_RATIO</stp>
        <stp>.QQQ201120P293</stp>
        <tr r="C495" s="1"/>
      </tp>
      <tp t="s">
        <v>N/A</v>
        <stp/>
        <stp>PUT_CALL_RATIO</stp>
        <stp>.QQQ201120C293</stp>
        <tr r="C494" s="1"/>
      </tp>
      <tp t="s">
        <v>N/A</v>
        <stp/>
        <stp>PUT_CALL_RATIO</stp>
        <stp>.QQQ201120P292</stp>
        <tr r="C491" s="1"/>
      </tp>
      <tp t="s">
        <v>N/A</v>
        <stp/>
        <stp>PUT_CALL_RATIO</stp>
        <stp>.QQQ201120C292</stp>
        <tr r="C490" s="1"/>
      </tp>
      <tp t="s">
        <v>N/A</v>
        <stp/>
        <stp>PUT_CALL_RATIO</stp>
        <stp>.QQQ201120P291</stp>
        <tr r="C489" s="1"/>
      </tp>
      <tp t="s">
        <v>N/A</v>
        <stp/>
        <stp>PUT_CALL_RATIO</stp>
        <stp>.QQQ201120C291</stp>
        <tr r="C488" s="1"/>
      </tp>
      <tp t="s">
        <v>N/A</v>
        <stp/>
        <stp>PUT_CALL_RATIO</stp>
        <stp>.QQQ201120P290</stp>
        <tr r="C487" s="1"/>
      </tp>
      <tp t="s">
        <v>N/A</v>
        <stp/>
        <stp>PUT_CALL_RATIO</stp>
        <stp>.QQQ201120C290</stp>
        <tr r="C486" s="1"/>
      </tp>
      <tp t="s">
        <v>N/A</v>
        <stp/>
        <stp>PROB_OTM</stp>
        <stp>.XLI201120P84</stp>
        <tr r="U815" s="1"/>
      </tp>
      <tp t="s">
        <v>N/A</v>
        <stp/>
        <stp>PROB_OTM</stp>
        <stp>.XLI201120P85</stp>
        <tr r="U819" s="1"/>
      </tp>
      <tp t="s">
        <v>N/A</v>
        <stp/>
        <stp>PROB_OTM</stp>
        <stp>.XLI201120P86</stp>
        <tr r="U823" s="1"/>
      </tp>
      <tp t="s">
        <v>N/A</v>
        <stp/>
        <stp>PUT_CALL_RATIO</stp>
        <stp>.QQQ201120P289</stp>
        <tr r="C485" s="1"/>
      </tp>
      <tp t="s">
        <v>N/A</v>
        <stp/>
        <stp>PUT_CALL_RATIO</stp>
        <stp>.QQQ201120C289</stp>
        <tr r="C484" s="1"/>
      </tp>
      <tp t="s">
        <v>N/A</v>
        <stp/>
        <stp>PUT_CALL_RATIO</stp>
        <stp>.QQQ201120P288</stp>
        <tr r="C483" s="1"/>
      </tp>
      <tp t="s">
        <v>N/A</v>
        <stp/>
        <stp>PUT_CALL_RATIO</stp>
        <stp>.QQQ201120C288</stp>
        <tr r="C482" s="1"/>
      </tp>
      <tp t="s">
        <v>N/A</v>
        <stp/>
        <stp>PUT_CALL_RATIO</stp>
        <stp>.QQQ201120P287</stp>
        <tr r="C479" s="1"/>
      </tp>
      <tp t="s">
        <v>N/A</v>
        <stp/>
        <stp>PUT_CALL_RATIO</stp>
        <stp>.QQQ201120C287</stp>
        <tr r="C478" s="1"/>
      </tp>
      <tp t="s">
        <v>N/A</v>
        <stp/>
        <stp>PUT_CALL_RATIO</stp>
        <stp>.QQQ201120P286</stp>
        <tr r="C477" s="1"/>
      </tp>
      <tp t="s">
        <v>N/A</v>
        <stp/>
        <stp>PUT_CALL_RATIO</stp>
        <stp>.QQQ201120C286</stp>
        <tr r="C476" s="1"/>
      </tp>
      <tp t="s">
        <v>N/A</v>
        <stp/>
        <stp>PROB_OTM</stp>
        <stp>.ILF201120P25</stp>
        <tr r="U279" s="1"/>
      </tp>
      <tp t="s">
        <v>N/A</v>
        <stp/>
        <stp>PROB_OTM</stp>
        <stp>.XLF201120P27</stp>
        <tr r="U812" s="1"/>
      </tp>
      <tp t="s">
        <v>N/A</v>
        <stp/>
        <stp>PROB_OTM</stp>
        <stp>.XLB201120P69</stp>
        <tr r="U791" s="1"/>
      </tp>
      <tp t="s">
        <v>N/A</v>
        <stp/>
        <stp>PROB_OTM</stp>
        <stp>.XLC201120P64</stp>
        <tr r="U802" s="1"/>
      </tp>
      <tp t="s">
        <v>N/A</v>
        <stp/>
        <stp>OPEN_INT</stp>
        <stp>.IJR201120C80</stp>
        <tr r="G275" s="1"/>
      </tp>
      <tp t="s">
        <v>N/A</v>
        <stp/>
        <stp>IMPL_VOL</stp>
        <stp>.SCZ201120P63</stp>
        <tr r="D536" s="1"/>
      </tp>
      <tp t="s">
        <v>N/A</v>
        <stp/>
        <stp>PROB_OTM</stp>
        <stp>.XLB201120P70</stp>
        <tr r="U795" s="1"/>
      </tp>
      <tp t="s">
        <v>N/A</v>
        <stp/>
        <stp>OPEN_INT</stp>
        <stp>.IYR201120P84</stp>
        <tr r="G368" s="1"/>
      </tp>
      <tp>
        <v>1196</v>
        <stp/>
        <stp>OPEN_INT</stp>
        <stp>.IYR201120P85</stp>
        <tr r="G372" s="1"/>
      </tp>
      <tp t="s">
        <v>N/A</v>
        <stp/>
        <stp>PROB_OTM</stp>
        <stp>.XLC201120P63</stp>
        <tr r="U798" s="1"/>
      </tp>
      <tp t="s">
        <v>N/A</v>
        <stp/>
        <stp>PROB_OTM</stp>
        <stp>.XLE201120P34</stp>
        <tr r="U807" s="1"/>
      </tp>
      <tp>
        <v>126</v>
        <stp/>
        <stp>OPEN_INT</stp>
        <stp>.MCHI201120P80</stp>
        <tr r="G413" s="1"/>
      </tp>
      <tp t="s">
        <v>N/A</v>
        <stp/>
        <stp>RHO</stp>
        <stp>.DIA201120P297.5</stp>
        <tr r="Q80" s="1"/>
      </tp>
      <tp t="s">
        <v>N/A</v>
        <stp/>
        <stp>PROB_OF_TOUCHING</stp>
        <stp>.ARKK201120P98</stp>
        <tr r="V29" s="1"/>
      </tp>
      <tp t="s">
        <v>N/A</v>
        <stp/>
        <stp>PROB_OF_TOUCHING</stp>
        <stp>.ARKK201120P99</stp>
        <tr r="V31" s="1"/>
      </tp>
      <tp t="s">
        <v>N/A</v>
        <stp/>
        <stp>PROB_OF_TOUCHING</stp>
        <stp>.AAXJ201120C83</stp>
        <tr r="V3" s="1"/>
      </tp>
      <tp t="s">
        <v>N/A</v>
        <stp/>
        <stp>PROB_OF_TOUCHING</stp>
        <stp>.ARKK201120P97</stp>
        <tr r="V27" s="1"/>
      </tp>
      <tp t="s">
        <v>N/A</v>
        <stp/>
        <stp>PROB_OF_TOUCHING</stp>
        <stp>.AAXJ201120C84</stp>
        <tr r="V5" s="1"/>
      </tp>
      <tp>
        <v>2.15</v>
        <stp/>
        <stp>ASK</stp>
        <stp>.XLK201120P120.5</stp>
        <tr r="I830" s="1"/>
      </tp>
      <tp>
        <v>1.49</v>
        <stp/>
        <stp>ASK</stp>
        <stp>.XLV201120P110.5</stp>
        <tr r="I860" s="1"/>
      </tp>
      <tp t="s">
        <v>N/A</v>
        <stp/>
        <stp>OPEN_INT</stp>
        <stp>.SCHD201120P61</stp>
        <tr r="G522" s="1"/>
      </tp>
      <tp t="s">
        <v>N/A</v>
        <stp/>
        <stp>OPEN_INT</stp>
        <stp>.SCHD201120P62</stp>
        <tr r="G524" s="1"/>
      </tp>
      <tp t="s">
        <v>N/A</v>
        <stp/>
        <stp>PROB_OTM</stp>
        <stp>.ACWI201120P86</stp>
        <tr r="U11" s="1"/>
      </tp>
      <tp t="s">
        <v>N/A</v>
        <stp/>
        <stp>OPEN_INT</stp>
        <stp>.SCHF201120P34</stp>
        <tr r="G530" s="1"/>
      </tp>
      <tp t="s">
        <v>N/A</v>
        <stp/>
        <stp>PROB_OTM</stp>
        <stp>.ACWI201120P85</stp>
        <tr r="U9" s="1"/>
      </tp>
      <tp t="s">
        <v>N/A</v>
        <stp/>
        <stp>OPEN_INT</stp>
        <stp>.SPHD201120P36</stp>
        <tr r="G583" s="1"/>
      </tp>
      <tp t="s">
        <v>N/A</v>
        <stp/>
        <stp>OPEN_INT</stp>
        <stp>.SCHE201120P29</stp>
        <tr r="G527" s="1"/>
      </tp>
      <tp t="s">
        <v>N/A</v>
        <stp/>
        <stp>PUT_CALL_RATIO</stp>
        <stp>.MTUM201120P152</stp>
        <tr r="C434" s="1"/>
      </tp>
      <tp t="s">
        <v>N/A</v>
        <stp/>
        <stp>PUT_CALL_RATIO</stp>
        <stp>.MTUM201120C152</stp>
        <tr r="C433" s="1"/>
      </tp>
      <tp t="s">
        <v>N/A</v>
        <stp/>
        <stp>PUT_CALL_RATIO</stp>
        <stp>.MTUM201120P150</stp>
        <tr r="C430" s="1"/>
      </tp>
      <tp t="s">
        <v>N/A</v>
        <stp/>
        <stp>PUT_CALL_RATIO</stp>
        <stp>.MTUM201120C150</stp>
        <tr r="C429" s="1"/>
      </tp>
      <tp t="s">
        <v>N/A</v>
        <stp/>
        <stp>PUT_CALL_RATIO</stp>
        <stp>.MTUM201120P151</stp>
        <tr r="C432" s="1"/>
      </tp>
      <tp t="s">
        <v>N/A</v>
        <stp/>
        <stp>PUT_CALL_RATIO</stp>
        <stp>.MTUM201120C151</stp>
        <tr r="C431" s="1"/>
      </tp>
      <tp t="s">
        <v>N/A</v>
        <stp/>
        <stp>PROB_OTM</stp>
        <stp>.INDA201120C36</stp>
        <tr r="U281" s="1"/>
      </tp>
      <tp t="s">
        <v>N/A</v>
        <stp/>
        <stp>PUT_CALL_RATIO</stp>
        <stp>.MTUM201120P149</stp>
        <tr r="C428" s="1"/>
      </tp>
      <tp t="s">
        <v>N/A</v>
        <stp/>
        <stp>PUT_CALL_RATIO</stp>
        <stp>.MTUM201120C149</stp>
        <tr r="C427" s="1"/>
      </tp>
      <tp t="s">
        <v>N/A</v>
        <stp/>
        <stp>DESCRIPTION</stp>
        <stp>.LQD201120C134.5</stp>
        <tr r="B405" s="1"/>
      </tp>
      <tp t="s">
        <v>N/A</v>
        <stp/>
        <stp>DESCRIPTION</stp>
        <stp>.IBB201120P141.5</stp>
        <tr r="B244" s="1"/>
      </tp>
      <tp t="s">
        <v>N/A</v>
        <stp/>
        <stp>PROB_OF_TOUCHING</stp>
        <stp>.GDXJ201120C54</stp>
        <tr r="V211" s="1"/>
      </tp>
      <tp t="s">
        <v>N/A</v>
        <stp/>
        <stp>PROB_OF_TOUCHING</stp>
        <stp>.GDXJ201120C52</stp>
        <tr r="V203" s="1"/>
      </tp>
      <tp t="s">
        <v>N/A</v>
        <stp/>
        <stp>PROB_OF_TOUCHING</stp>
        <stp>.GDXJ201120C53</stp>
        <tr r="V207" s="1"/>
      </tp>
      <tp t="s">
        <v>N/A</v>
        <stp/>
        <stp>OPEN_INT</stp>
        <stp>.ASHR201120P38</stp>
        <tr r="G47" s="1"/>
      </tp>
      <tp t="s">
        <v>N/A</v>
        <stp/>
        <stp>VOLUME</stp>
        <stp>.ARKW201120P119</stp>
        <tr r="F42" s="1"/>
      </tp>
      <tp>
        <v>39</v>
        <stp/>
        <stp>VOLUME</stp>
        <stp>.ARKW201120C119</stp>
        <tr r="F41" s="1"/>
      </tp>
      <tp t="s">
        <v>N/A</v>
        <stp/>
        <stp>VOLUME</stp>
        <stp>.ARKW201120P118</stp>
        <tr r="F40" s="1"/>
      </tp>
      <tp t="s">
        <v>N/A</v>
        <stp/>
        <stp>VOLUME</stp>
        <stp>.ARKW201120C118</stp>
        <tr r="F39" s="1"/>
      </tp>
      <tp t="s">
        <v>N/A</v>
        <stp/>
        <stp>VOLUME</stp>
        <stp>.ARKW201120P117</stp>
        <tr r="F38" s="1"/>
      </tp>
      <tp>
        <v>0</v>
        <stp/>
        <stp>VOLUME</stp>
        <stp>.ARKW201120C117</stp>
        <tr r="F37" s="1"/>
      </tp>
      <tp t="s">
        <v>N/A</v>
        <stp/>
        <stp>VOLUME</stp>
        <stp>.ARKW201120P116</stp>
        <tr r="F36" s="1"/>
      </tp>
      <tp>
        <v>1</v>
        <stp/>
        <stp>VOLUME</stp>
        <stp>.ARKW201120C116</stp>
        <tr r="F35" s="1"/>
      </tp>
      <tp t="s">
        <v>N/A</v>
        <stp/>
        <stp>PROB_OTM</stp>
        <stp>.SPDW201120C32</stp>
        <tr r="U579" s="1"/>
      </tp>
      <tp t="s">
        <v>N/A</v>
        <stp/>
        <stp>STRIKE</stp>
        <stp>.ARKK201120C100</stp>
        <tr r="W32" s="1"/>
      </tp>
      <tp t="s">
        <v>N/A</v>
        <stp/>
        <stp>STRIKE</stp>
        <stp>.ARKK201120P100</stp>
        <tr r="W33" s="1"/>
      </tp>
      <tp>
        <v>2.15</v>
        <stp/>
        <stp>ASK</stp>
        <stp>.XLK201120C120.5</stp>
        <tr r="I829" s="1"/>
      </tp>
      <tp>
        <v>1.68</v>
        <stp/>
        <stp>ASK</stp>
        <stp>.XLV201120C110.5</stp>
        <tr r="I859" s="1"/>
      </tp>
      <tp t="s">
        <v>N/A</v>
        <stp/>
        <stp>RHO</stp>
        <stp>.DIA201120C297.5</stp>
        <tr r="Q79" s="1"/>
      </tp>
      <tp>
        <v>1</v>
        <stp/>
        <stp>OPEN_INT</stp>
        <stp>.SCHP201120P61</stp>
        <tr r="G533" s="1"/>
      </tp>
      <tp t="s">
        <v>N/A</v>
        <stp/>
        <stp>PROB_OTM</stp>
        <stp>.ACWX201120P50</stp>
        <tr r="U14" s="1"/>
      </tp>
      <tp t="s">
        <v>N/A</v>
        <stp/>
        <stp>DESCRIPTION</stp>
        <stp>.LQD201120P134.5</stp>
        <tr r="B406" s="1"/>
      </tp>
      <tp t="s">
        <v>N/A</v>
        <stp/>
        <stp>DESCRIPTION</stp>
        <stp>.IBB201120C141.5</stp>
        <tr r="B243" s="1"/>
      </tp>
      <tp t="s">
        <v>N/A</v>
        <stp/>
        <stp>PROB_OF_EXPIRING</stp>
        <stp>.GUSH201120C28</stp>
        <tr r="T218" s="1"/>
      </tp>
      <tp t="s">
        <v>N/A</v>
        <stp/>
        <stp>PROB_OF_EXPIRING</stp>
        <stp>.GUSH201120C27</stp>
        <tr r="T216" s="1"/>
      </tp>
      <tp t="s">
        <v>N/A</v>
        <stp/>
        <stp>PROB_OF_EXPIRING</stp>
        <stp>.GUSH201120C26</stp>
        <tr r="T214" s="1"/>
      </tp>
      <tp t="s">
        <v>N/A</v>
        <stp/>
        <stp>PROB_OTM</stp>
        <stp>.INDY201120C38</stp>
        <tr r="U286" s="1"/>
      </tp>
      <tp>
        <v>61.09</v>
        <stp/>
        <stp>HIGH</stp>
        <stp>SCHP</stp>
        <tr r="J531" s="1"/>
      </tp>
      <tp>
        <v>33.909999999999997</v>
        <stp/>
        <stp>HIGH</stp>
        <stp>SCHF</stp>
        <tr r="J528" s="1"/>
      </tp>
      <tp>
        <v>29.27</v>
        <stp/>
        <stp>HIGH</stp>
        <stp>SCHE</stp>
        <tr r="J525" s="1"/>
      </tp>
      <tp>
        <v>61.08</v>
        <stp/>
        <stp>HIGH</stp>
        <stp>SCHD</stp>
        <tr r="J520" s="1"/>
      </tp>
      <tp>
        <v>81.12</v>
        <stp/>
        <stp>HIGH</stp>
        <stp>MCHI</stp>
        <tr r="J411" s="1"/>
      </tp>
      <tp>
        <v>0</v>
        <stp/>
        <stp>GAMMA</stp>
        <stp>ILF</stp>
        <tr r="N277" s="1"/>
      </tp>
      <tp>
        <v>96.187200000000004</v>
        <stp/>
        <stp>HIGH</stp>
        <stp>VCIT</stp>
        <tr r="J701" s="1"/>
      </tp>
      <tp t="s">
        <v>N/A</v>
        <stp/>
        <stp>GAMMA</stp>
        <stp>.QQQ201120P292.5</stp>
        <tr r="N493" s="1"/>
      </tp>
      <tp>
        <v>0</v>
        <stp/>
        <stp>GAMMA</stp>
        <stp>IJR</stp>
        <tr r="N274" s="1"/>
      </tp>
      <tp>
        <v>0</v>
        <stp/>
        <stp>GAMMA</stp>
        <stp>IJH</stp>
        <tr r="N271" s="1"/>
      </tp>
      <tp t="s">
        <v>N/A</v>
        <stp/>
        <stp>RHO</stp>
        <stp>.AMLP201120P23.5</stp>
        <tr r="Q22" s="1"/>
      </tp>
      <tp>
        <v>45.61</v>
        <stp/>
        <stp>OPEN</stp>
        <stp>NAIL</stp>
        <tr r="L438" s="1"/>
      </tp>
      <tp t="s">
        <v>N/A</v>
        <stp/>
        <stp>RHO</stp>
        <stp>.AMLP201120C23.5</stp>
        <tr r="Q21" s="1"/>
      </tp>
      <tp t="s">
        <v>N/A</v>
        <stp/>
        <stp>THETA</stp>
        <stp>.MDY201120P387.5</stp>
        <tr r="O422" s="1"/>
      </tp>
      <tp>
        <v>107.93</v>
        <stp/>
        <stp>HIGH</stp>
        <stp>VCLT</stp>
        <tr r="J704" s="1"/>
      </tp>
      <tp>
        <v>0.4</v>
        <stp/>
        <stp>BID</stp>
        <stp>.JETS201120C19.5</stp>
        <tr r="H376" s="1"/>
      </tp>
      <tp>
        <v>0.7</v>
        <stp/>
        <stp>BID</stp>
        <stp>.JETS201120P19.5</stp>
        <tr r="H377" s="1"/>
      </tp>
      <tp>
        <v>22.134699999999999</v>
        <stp/>
        <stp>HIGH</stp>
        <stp>ICLN</stp>
        <tr r="J245" s="1"/>
      </tp>
      <tp t="s">
        <v>N/A</v>
        <stp/>
        <stp>DELTA</stp>
        <stp>.MDY201120C387.5</stp>
        <tr r="M421" s="1"/>
      </tp>
      <tp t="s">
        <v>N/A</v>
        <stp/>
        <stp>THETA</stp>
        <stp>.TBT201120P17</stp>
        <tr r="O685" s="1"/>
      </tp>
      <tp>
        <v>0</v>
        <stp/>
        <stp>GAMMA</stp>
        <stp>IGV</stp>
        <tr r="N264" s="1"/>
      </tp>
      <tp>
        <v>0</v>
        <stp/>
        <stp>VEGA</stp>
        <stp>VCIT</stp>
        <tr r="P701" s="1"/>
      </tp>
      <tp>
        <v>0</v>
        <stp/>
        <stp>VEGA</stp>
        <stp>MCHI</stp>
        <tr r="P411" s="1"/>
      </tp>
      <tp>
        <v>0</v>
        <stp/>
        <stp>VEGA</stp>
        <stp>SCHE</stp>
        <tr r="P525" s="1"/>
      </tp>
      <tp>
        <v>0</v>
        <stp/>
        <stp>VEGA</stp>
        <stp>SCHD</stp>
        <tr r="P520" s="1"/>
      </tp>
      <tp>
        <v>0</v>
        <stp/>
        <stp>VEGA</stp>
        <stp>SCHF</stp>
        <tr r="P528" s="1"/>
      </tp>
      <tp>
        <v>0</v>
        <stp/>
        <stp>VEGA</stp>
        <stp>SCHP</stp>
        <tr r="P531" s="1"/>
      </tp>
      <tp>
        <v>0</v>
        <stp/>
        <stp>GAMMA</stp>
        <stp>IEF</stp>
        <tr r="N248" s="1"/>
      </tp>
      <tp>
        <v>0</v>
        <stp/>
        <stp>GAMMA</stp>
        <stp>IBB</stp>
        <tr r="N228" s="1"/>
      </tp>
      <tp>
        <v>1</v>
        <stp/>
        <stp>DELTA</stp>
        <stp>HYG</stp>
        <tr r="M220" s="1"/>
      </tp>
      <tp>
        <v>0</v>
        <stp/>
        <stp>VEGA</stp>
        <stp>ICLN</stp>
        <tr r="P245" s="1"/>
      </tp>
      <tp>
        <v>0</v>
        <stp/>
        <stp>VEGA</stp>
        <stp>VCLT</stp>
        <tr r="P704" s="1"/>
      </tp>
      <tp t="s">
        <v>N/A</v>
        <stp/>
        <stp>GAMMA</stp>
        <stp>.TBT201120C17</stp>
        <tr r="N684" s="1"/>
      </tp>
      <tp t="s">
        <v>N/A</v>
        <stp/>
        <stp>DELTA</stp>
        <stp>.XRT201120P55</stp>
        <tr r="M908" s="1"/>
      </tp>
      <tp t="s">
        <v>N/A</v>
        <stp/>
        <stp>DELTA</stp>
        <stp>.XRT201120P54</stp>
        <tr r="M904" s="1"/>
      </tp>
      <tp t="s">
        <v>N/A</v>
        <stp/>
        <stp>GAMMA</stp>
        <stp>.QQQ201120C292.5</stp>
        <tr r="N492" s="1"/>
      </tp>
      <tp>
        <v>0</v>
        <stp/>
        <stp>THETA</stp>
        <stp>AGG</stp>
        <tr r="O15" s="1"/>
      </tp>
      <tp>
        <v>74.709999999999994</v>
        <stp/>
        <stp>LAST</stp>
        <stp>KWEB</stp>
        <tr r="E397" s="1"/>
      </tp>
      <tp>
        <v>0</v>
        <stp/>
        <stp>VEGA</stp>
        <stp>ACWI</stp>
        <tr r="P7" s="1"/>
      </tp>
      <tp>
        <v>2.06</v>
        <stp/>
        <stp>LOW</stp>
        <stp>.GDXJ201120C52.5</stp>
        <tr r="K205" s="1"/>
      </tp>
      <tp>
        <v>0</v>
        <stp/>
        <stp>VEGA</stp>
        <stp>ACWX</stp>
        <tr r="P12" s="1"/>
      </tp>
      <tp>
        <v>0.7</v>
        <stp/>
        <stp>LOW</stp>
        <stp>.GDXJ201120P52.5</stp>
        <tr r="K206" s="1"/>
      </tp>
      <tp>
        <v>83.95</v>
        <stp/>
        <stp>OPEN</stp>
        <stp>AAXJ</stp>
        <tr r="L2" s="1"/>
      </tp>
      <tp t="s">
        <v>N/A</v>
        <stp/>
        <stp>THETA</stp>
        <stp>.TBF201120P16</stp>
        <tr r="O682" s="1"/>
      </tp>
      <tp t="s">
        <v>N/A</v>
        <stp/>
        <stp>DELTA</stp>
        <stp>.MDY201120P387.5</stp>
        <tr r="M422" s="1"/>
      </tp>
      <tp t="s">
        <v>N/A</v>
        <stp/>
        <stp>THETA</stp>
        <stp>.KBE201120P38</stp>
        <tr r="O387" s="1"/>
      </tp>
      <tp t="s">
        <v>N/A</v>
        <stp/>
        <stp>THETA</stp>
        <stp>.MDY201120C387.5</stp>
        <tr r="O421" s="1"/>
      </tp>
      <tp>
        <v>0</v>
        <stp/>
        <stp>GAMMA</stp>
        <stp>IYR</stp>
        <tr r="N366" s="1"/>
      </tp>
      <tp>
        <v>0</v>
        <stp/>
        <stp>GAMMA</stp>
        <stp>IYE</stp>
        <tr r="N363" s="1"/>
      </tp>
      <tp t="s">
        <v>N/A</v>
        <stp/>
        <stp>DELTA</stp>
        <stp>.TAN201120C73</stp>
        <tr r="M662" s="1"/>
      </tp>
      <tp t="s">
        <v>N/A</v>
        <stp/>
        <stp>DELTA</stp>
        <stp>.TAN201120C77</stp>
        <tr r="M678" s="1"/>
      </tp>
      <tp t="s">
        <v>N/A</v>
        <stp/>
        <stp>DELTA</stp>
        <stp>.TAN201120C76</stp>
        <tr r="M674" s="1"/>
      </tp>
      <tp t="s">
        <v>N/A</v>
        <stp/>
        <stp>DELTA</stp>
        <stp>.TAN201120C75</stp>
        <tr r="M670" s="1"/>
      </tp>
      <tp t="s">
        <v>N/A</v>
        <stp/>
        <stp>DELTA</stp>
        <stp>.TAN201120C74</stp>
        <tr r="M666" s="1"/>
      </tp>
      <tp>
        <v>0</v>
        <stp/>
        <stp>GAMMA</stp>
        <stp>IVW</stp>
        <tr r="N330" s="1"/>
      </tp>
      <tp>
        <v>0</v>
        <stp/>
        <stp>GAMMA</stp>
        <stp>IVV</stp>
        <tr r="N309" s="1"/>
      </tp>
      <tp>
        <v>0</v>
        <stp/>
        <stp>GAMMA</stp>
        <stp>IVE</stp>
        <tr r="N302" s="1"/>
      </tp>
      <tp>
        <v>0</v>
        <stp/>
        <stp>GAMMA</stp>
        <stp>IWM</stp>
        <tr r="N345" s="1"/>
      </tp>
      <tp>
        <v>0</v>
        <stp/>
        <stp>GAMMA</stp>
        <stp>IWD</stp>
        <tr r="N333" s="1"/>
      </tp>
      <tp>
        <v>0</v>
        <stp/>
        <stp>GAMMA</stp>
        <stp>IWF</stp>
        <tr r="N340" s="1"/>
      </tp>
      <tp>
        <v>0</v>
        <stp/>
        <stp>GAMMA</stp>
        <stp>ITB</stp>
        <tr r="N288" s="1"/>
      </tp>
      <tp t="s">
        <v>N/A</v>
        <stp/>
        <stp>GAMMA</stp>
        <stp>.KBE201120C38</stp>
        <tr r="N386" s="1"/>
      </tp>
      <tp>
        <v>49.82</v>
        <stp/>
        <stp>HIGH</stp>
        <stp>ACWX</stp>
        <tr r="J12" s="1"/>
      </tp>
      <tp>
        <v>85.68</v>
        <stp/>
        <stp>HIGH</stp>
        <stp>ACWI</stp>
        <tr r="J7" s="1"/>
      </tp>
      <tp t="s">
        <v>N/A</v>
        <stp/>
        <stp>GAMMA</stp>
        <stp>.TBF201120C16</stp>
        <tr r="N681" s="1"/>
      </tp>
      <tp t="s">
        <v>N/A</v>
        <stp/>
        <stp>DELTA</stp>
        <stp>.KRE201120P47</stp>
        <tr r="M394" s="1"/>
      </tp>
      <tp t="s">
        <v>N/A</v>
        <stp/>
        <stp>DELTA</stp>
        <stp>.KRE201120P46</stp>
        <tr r="M390" s="1"/>
      </tp>
      <tp t="s">
        <v>N/A</v>
        <stp/>
        <stp>DESCRIPTION</stp>
        <stp>.GDXJ201120P53</stp>
        <tr r="B208" s="1"/>
      </tp>
      <tp t="s">
        <v>N/A</v>
        <stp/>
        <stp>DESCRIPTION</stp>
        <stp>.GDXJ201120P52</stp>
        <tr r="B204" s="1"/>
      </tp>
      <tp t="s">
        <v>N/A</v>
        <stp/>
        <stp>DESCRIPTION</stp>
        <stp>.GDXJ201120P54</stp>
        <tr r="B212" s="1"/>
      </tp>
      <tp>
        <v>0.35</v>
        <stp/>
        <stp>ASK</stp>
        <stp>.JETS201120C20</stp>
        <tr r="I378" s="1"/>
      </tp>
      <tp>
        <v>0.3</v>
        <stp/>
        <stp>BID</stp>
        <stp>.JETS201120C20</stp>
        <tr r="H378" s="1"/>
      </tp>
      <tp t="s">
        <v>N/A</v>
        <stp/>
        <stp>DESCRIPTION</stp>
        <stp>.AAXJ201120P84</stp>
        <tr r="B6" s="1"/>
      </tp>
      <tp t="s">
        <v>N/A</v>
        <stp/>
        <stp>DESCRIPTION</stp>
        <stp>.ARKK201120C97</stp>
        <tr r="B26" s="1"/>
      </tp>
      <tp>
        <v>0.3</v>
        <stp/>
        <stp>LOW</stp>
        <stp>.JETS201120C20</stp>
        <tr r="K378" s="1"/>
      </tp>
      <tp t="s">
        <v>N/A</v>
        <stp/>
        <stp>DESCRIPTION</stp>
        <stp>.AAXJ201120P83</stp>
        <tr r="B4" s="1"/>
      </tp>
      <tp t="s">
        <v>N/A</v>
        <stp/>
        <stp>DESCRIPTION</stp>
        <stp>.ARKK201120C99</stp>
        <tr r="B30" s="1"/>
      </tp>
      <tp t="s">
        <v>N/A</v>
        <stp/>
        <stp>DESCRIPTION</stp>
        <stp>.ARKK201120C98</stp>
        <tr r="B28" s="1"/>
      </tp>
      <tp t="s">
        <v>N/A</v>
        <stp/>
        <stp>STRIKE</stp>
        <stp>.IYR201120C85</stp>
        <tr r="W371" s="1"/>
      </tp>
      <tp t="s">
        <v>N/A</v>
        <stp/>
        <stp>STRIKE</stp>
        <stp>.IYR201120C84</stp>
        <tr r="W367" s="1"/>
      </tp>
      <tp t="s">
        <v>N/A</v>
        <stp/>
        <stp>PUT_CALL_RATIO</stp>
        <stp>.XRT201120P55</stp>
        <tr r="C908" s="1"/>
      </tp>
      <tp t="s">
        <v>N/A</v>
        <stp/>
        <stp>PUT_CALL_RATIO</stp>
        <stp>.XRT201120P54</stp>
        <tr r="C904" s="1"/>
      </tp>
      <tp t="s">
        <v>N/A</v>
        <stp/>
        <stp>STRIKE</stp>
        <stp>.IJR201120P80</stp>
        <tr r="W276" s="1"/>
      </tp>
      <tp t="s">
        <v>N/A</v>
        <stp/>
        <stp>VOLUME</stp>
        <stp>.TBF201120C16</stp>
        <tr r="F681" s="1"/>
      </tp>
      <tp t="s">
        <v>N/A</v>
        <stp/>
        <stp>VOLUME</stp>
        <stp>.KBE201120C38</stp>
        <tr r="F386" s="1"/>
      </tp>
      <tp t="s">
        <v>N/A</v>
        <stp/>
        <stp>STRIKE</stp>
        <stp>.VYM201120C87</stp>
        <tr r="W759" s="1"/>
      </tp>
      <tp t="s">
        <v>N/A</v>
        <stp/>
        <stp>STRIKE</stp>
        <stp>.VYM201120C88</stp>
        <tr r="W761" s="1"/>
      </tp>
      <tp t="s">
        <v>N/A</v>
        <stp/>
        <stp>STRIKE</stp>
        <stp>.IYE201120C18</stp>
        <tr r="W364" s="1"/>
      </tp>
      <tp t="s">
        <v>N/A</v>
        <stp/>
        <stp>PUT_CALL_RATIO</stp>
        <stp>.TAN201120C73</stp>
        <tr r="C662" s="1"/>
      </tp>
      <tp t="s">
        <v>N/A</v>
        <stp/>
        <stp>PUT_CALL_RATIO</stp>
        <stp>.TAN201120C75</stp>
        <tr r="C670" s="1"/>
      </tp>
      <tp t="s">
        <v>N/A</v>
        <stp/>
        <stp>PUT_CALL_RATIO</stp>
        <stp>.TAN201120C74</stp>
        <tr r="C666" s="1"/>
      </tp>
      <tp t="s">
        <v>N/A</v>
        <stp/>
        <stp>PUT_CALL_RATIO</stp>
        <stp>.TAN201120C77</stp>
        <tr r="C678" s="1"/>
      </tp>
      <tp t="s">
        <v>N/A</v>
        <stp/>
        <stp>PUT_CALL_RATIO</stp>
        <stp>.TAN201120C76</stp>
        <tr r="C674" s="1"/>
      </tp>
      <tp t="s">
        <v>N/A</v>
        <stp/>
        <stp>RHO</stp>
        <stp>.JETS201120C20</stp>
        <tr r="Q378" s="1"/>
      </tp>
      <tp t="s">
        <v>N/A</v>
        <stp/>
        <stp>STRIKE</stp>
        <stp>.HYG201120C86</stp>
        <tr r="W223" s="1"/>
      </tp>
      <tp t="s">
        <v>N/A</v>
        <stp/>
        <stp>VOLUME</stp>
        <stp>.TBT201120C17</stp>
        <tr r="F684" s="1"/>
      </tp>
      <tp t="s">
        <v>N/A</v>
        <stp/>
        <stp>PUT_CALL_RATIO</stp>
        <stp>.KRE201120P47</stp>
        <tr r="C394" s="1"/>
      </tp>
      <tp t="s">
        <v>N/A</v>
        <stp/>
        <stp>PUT_CALL_RATIO</stp>
        <stp>.KRE201120P46</stp>
        <tr r="C390" s="1"/>
      </tp>
      <tp t="s">
        <v>N/A</v>
        <stp/>
        <stp>LOW</stp>
        <stp>.VCLT201120P107</stp>
        <tr r="K706" s="1"/>
      </tp>
      <tp t="s">
        <v>N/A</v>
        <stp/>
        <stp>LOW</stp>
        <stp>.VCLT201120C107</stp>
        <tr r="K705" s="1"/>
      </tp>
      <tp>
        <v>107</v>
        <stp/>
        <stp>OPEN_INT</stp>
        <stp>.DXD201120P14</stp>
        <tr r="G93" s="1"/>
      </tp>
      <tp t="s">
        <v>N/A</v>
        <stp/>
        <stp>IMPL_VOL</stp>
        <stp>.TBF201120P16</stp>
        <tr r="D682" s="1"/>
      </tp>
      <tp t="s">
        <v>N/A</v>
        <stp/>
        <stp>INTRINSIC</stp>
        <stp>.IEFA201120C65</stp>
        <tr r="R252" s="1"/>
      </tp>
      <tp t="s">
        <v>N/A</v>
        <stp/>
        <stp>INTRINSIC</stp>
        <stp>.IEFA201120C66</stp>
        <tr r="R254" s="1"/>
      </tp>
      <tp t="s">
        <v>N/A</v>
        <stp/>
        <stp>IMPL_VOL</stp>
        <stp>.KBE201120P38</stp>
        <tr r="D387" s="1"/>
      </tp>
      <tp>
        <v>71431</v>
        <stp/>
        <stp>OPEN_INT</stp>
        <stp>.FXI201120P47</stp>
        <tr r="G190" s="1"/>
      </tp>
      <tp>
        <v>5865</v>
        <stp/>
        <stp>OPEN_INT</stp>
        <stp>.FXI201120P48</stp>
        <tr r="G194" s="1"/>
      </tp>
      <tp t="s">
        <v>N/A</v>
        <stp/>
        <stp>OPEN_INT</stp>
        <stp>.PXH201120P20</stp>
        <tr r="G461" s="1"/>
      </tp>
      <tp>
        <v>0</v>
        <stp/>
        <stp>OPEN_INT</stp>
        <stp>.PXH201120P19</stp>
        <tr r="G459" s="1"/>
      </tp>
      <tp t="s">
        <v>N/A</v>
        <stp/>
        <stp>INTRINSIC</stp>
        <stp>.EUFN201120C16</stp>
        <tr r="R118" s="1"/>
      </tp>
      <tp t="s">
        <v>N/A</v>
        <stp/>
        <stp>IMPL_VOL</stp>
        <stp>.TBT201120P17</stp>
        <tr r="D685" s="1"/>
      </tp>
      <tp t="s">
        <v>N/A</v>
        <stp/>
        <stp>INTRINSIC</stp>
        <stp>.IXUS201120P63</stp>
        <tr r="R362" s="1"/>
      </tp>
      <tp t="s">
        <v>N/A</v>
        <stp/>
        <stp>INTRINSIC</stp>
        <stp>.VXUS201120P56</stp>
        <tr r="R755" s="1"/>
      </tp>
      <tp t="s">
        <v>N/A</v>
        <stp/>
        <stp>INTRINSIC</stp>
        <stp>.VXUS201120P57</stp>
        <tr r="R757" s="1"/>
      </tp>
      <tp t="s">
        <v>N/A</v>
        <stp/>
        <stp>PROB_OF_TOUCHING</stp>
        <stp>.SCZ201120P63</stp>
        <tr r="V536" s="1"/>
      </tp>
      <tp t="s">
        <v>N/A</v>
        <stp/>
        <stp>PROB_OF_EXPIRING</stp>
        <stp>.EZU201120C42</stp>
        <tr r="T178" s="1"/>
      </tp>
      <tp t="s">
        <v>N/A</v>
        <stp/>
        <stp>PROB_OF_EXPIRING</stp>
        <stp>.BZQ201120C12</stp>
        <tr r="T52" s="1"/>
      </tp>
      <tp t="s">
        <v>N/A</v>
        <stp/>
        <stp>PROB_OTM</stp>
        <stp>.XME201120P27</stp>
        <tr r="U888" s="1"/>
      </tp>
      <tp t="s">
        <v>N/A</v>
        <stp/>
        <stp>PROB_OTM</stp>
        <stp>.KWEB201120C73</stp>
        <tr r="U400" s="1"/>
      </tp>
      <tp t="s">
        <v>N/A</v>
        <stp/>
        <stp>PROB_OTM</stp>
        <stp>.KWEB201120C72</stp>
        <tr r="U398" s="1"/>
      </tp>
      <tp t="s">
        <v>N/A</v>
        <stp/>
        <stp>PROB_OTM</stp>
        <stp>.KWEB201120C74</stp>
        <tr r="U402" s="1"/>
      </tp>
      <tp t="s">
        <v>N/A</v>
        <stp/>
        <stp>PROB_OF_TOUCHING</stp>
        <stp>.SHYG201120C45</stp>
        <tr r="V549" s="1"/>
      </tp>
      <tp t="s">
        <v>N/A</v>
        <stp/>
        <stp>PROB_OF_TOUCHING</stp>
        <stp>.SPYG201120C52</stp>
        <tr r="V630" s="1"/>
      </tp>
      <tp t="s">
        <v>N/A</v>
        <stp/>
        <stp>PROB_OF_TOUCHING</stp>
        <stp>.SPYG201120C53</stp>
        <tr r="V632" s="1"/>
      </tp>
      <tp>
        <v>2.72</v>
        <stp/>
        <stp>ASK</stp>
        <stp>.XLK201120P121.5</stp>
        <tr r="I834" s="1"/>
      </tp>
      <tp>
        <v>2.0299999999999998</v>
        <stp/>
        <stp>ASK</stp>
        <stp>.XLV201120P111.5</stp>
        <tr r="I864" s="1"/>
      </tp>
      <tp t="s">
        <v>N/A</v>
        <stp/>
        <stp>ASK</stp>
        <stp>.XLY201120P151.5</stp>
        <tr r="I869" s="1"/>
      </tp>
      <tp t="s">
        <v>N/A</v>
        <stp/>
        <stp>OPEN_INT</stp>
        <stp>.IGIB201120P61</stp>
        <tr r="G263" s="1"/>
      </tp>
      <tp>
        <v>94</v>
        <stp/>
        <stp>OPEN_INT</stp>
        <stp>.NAIL201120P48</stp>
        <tr r="G448" s="1"/>
      </tp>
      <tp>
        <v>47</v>
        <stp/>
        <stp>OPEN_INT</stp>
        <stp>.NAIL201120P49</stp>
        <tr r="G450" s="1"/>
      </tp>
      <tp>
        <v>44</v>
        <stp/>
        <stp>OPEN_INT</stp>
        <stp>.NAIL201120P44</stp>
        <tr r="G440" s="1"/>
      </tp>
      <tp>
        <v>852</v>
        <stp/>
        <stp>OPEN_INT</stp>
        <stp>.NAIL201120P45</stp>
        <tr r="G442" s="1"/>
      </tp>
      <tp>
        <v>98</v>
        <stp/>
        <stp>OPEN_INT</stp>
        <stp>.NAIL201120P46</stp>
        <tr r="G444" s="1"/>
      </tp>
      <tp>
        <v>201</v>
        <stp/>
        <stp>OPEN_INT</stp>
        <stp>.NAIL201120P47</stp>
        <tr r="G446" s="1"/>
      </tp>
      <tp t="s">
        <v>N/A</v>
        <stp/>
        <stp>DESCRIPTION</stp>
        <stp>.LQD201120C135.5</stp>
        <tr r="B409" s="1"/>
      </tp>
      <tp t="s">
        <v>N/A</v>
        <stp/>
        <stp>DESCRIPTION</stp>
        <stp>.IBB201120P140.5</stp>
        <tr r="B240" s="1"/>
      </tp>
      <tp t="s">
        <v>N/A</v>
        <stp/>
        <stp>PROB_OTM</stp>
        <stp>.DFEN201120C14</stp>
        <tr r="U57" s="1"/>
      </tp>
      <tp t="s">
        <v>N/A</v>
        <stp/>
        <stp>PROB_OTM</stp>
        <stp>.DFEN201120C13</stp>
        <tr r="U55" s="1"/>
      </tp>
      <tp>
        <v>7.2</v>
        <stp/>
        <stp>BID</stp>
        <stp>.DIA201120P297.5</stp>
        <tr r="H80" s="1"/>
      </tp>
      <tp t="s">
        <v>N/A</v>
        <stp/>
        <stp>OPEN_INT</stp>
        <stp>.VGIT201120P70</stp>
        <tr r="G720" s="1"/>
      </tp>
      <tp t="s">
        <v>N/A</v>
        <stp/>
        <stp>PROB_OF_EXPIRING</stp>
        <stp>.XLRE201120C37</stp>
        <tr r="T847" s="1"/>
      </tp>
      <tp>
        <v>1.6</v>
        <stp/>
        <stp>ASK</stp>
        <stp>.XLK201120C121.5</stp>
        <tr r="I833" s="1"/>
      </tp>
      <tp>
        <v>0.99</v>
        <stp/>
        <stp>ASK</stp>
        <stp>.XLV201120C111.5</stp>
        <tr r="I863" s="1"/>
      </tp>
      <tp>
        <v>2.5099999999999998</v>
        <stp/>
        <stp>ASK</stp>
        <stp>.XLY201120C151.5</stp>
        <tr r="I868" s="1"/>
      </tp>
      <tp t="s">
        <v>N/A</v>
        <stp/>
        <stp>PROB_OTM</stp>
        <stp>.SRVR201120P35</stp>
        <tr r="U639" s="1"/>
      </tp>
      <tp t="s">
        <v>N/A</v>
        <stp/>
        <stp>PROB_OTM</stp>
        <stp>.SRVR201120P36</stp>
        <tr r="U641" s="1"/>
      </tp>
      <tp>
        <v>2</v>
        <stp/>
        <stp>OPEN_INT</stp>
        <stp>.DRIP201120P45</stp>
        <tr r="G83" s="1"/>
      </tp>
      <tp t="s">
        <v>N/A</v>
        <stp/>
        <stp>PROB_OF_TOUCHING</stp>
        <stp>.SPYV201120C33</stp>
        <tr r="V635" s="1"/>
      </tp>
      <tp>
        <v>1.1399999999999999</v>
        <stp/>
        <stp>BID</stp>
        <stp>.DIA201120C297.5</stp>
        <tr r="H79" s="1"/>
      </tp>
      <tp t="s">
        <v>N/A</v>
        <stp/>
        <stp>DESCRIPTION</stp>
        <stp>.LQD201120P135.5</stp>
        <tr r="B410" s="1"/>
      </tp>
      <tp t="s">
        <v>N/A</v>
        <stp/>
        <stp>DESCRIPTION</stp>
        <stp>.IBB201120C140.5</stp>
        <tr r="B239" s="1"/>
      </tp>
      <tp t="s">
        <v>N/A</v>
        <stp/>
        <stp>OPEN_INT</stp>
        <stp>.VCIT201120P96</stp>
        <tr r="G703" s="1"/>
      </tp>
      <tp t="s">
        <v>N/A</v>
        <stp/>
        <stp>PUT_CALL_RATIO</stp>
        <stp>.QUAL201120C112</stp>
        <tr r="C503" s="1"/>
      </tp>
      <tp t="s">
        <v>N/A</v>
        <stp/>
        <stp>PUT_CALL_RATIO</stp>
        <stp>.QUAL201120P112</stp>
        <tr r="C504" s="1"/>
      </tp>
      <tp t="s">
        <v>N/A</v>
        <stp/>
        <stp>PUT_CALL_RATIO</stp>
        <stp>.QUAL201120C111</stp>
        <tr r="C501" s="1"/>
      </tp>
      <tp t="s">
        <v>N/A</v>
        <stp/>
        <stp>PUT_CALL_RATIO</stp>
        <stp>.QUAL201120P111</stp>
        <tr r="C502" s="1"/>
      </tp>
      <tp t="s">
        <v>N/A</v>
        <stp/>
        <stp>PUT_CALL_RATIO</stp>
        <stp>.QUAL201120C110</stp>
        <tr r="C499" s="1"/>
      </tp>
      <tp t="s">
        <v>N/A</v>
        <stp/>
        <stp>PUT_CALL_RATIO</stp>
        <stp>.QUAL201120P110</stp>
        <tr r="C500" s="1"/>
      </tp>
      <tp t="s">
        <v>N/A</v>
        <stp/>
        <stp>PROB_OF_EXPIRING</stp>
        <stp>.DGRO201120C43</stp>
        <tr r="T60" s="1"/>
      </tp>
      <tp t="s">
        <v>N/A</v>
        <stp/>
        <stp>IMPL_VOL</stp>
        <stp>.ITOT201120P81</stp>
        <tr r="D301" s="1"/>
      </tp>
      <tp t="s">
        <v>N/A</v>
        <stp/>
        <stp>IMPL_VOL</stp>
        <stp>.ITOT201120P80</stp>
        <tr r="D299" s="1"/>
      </tp>
      <tp t="s">
        <v>N/A</v>
        <stp/>
        <stp>DELTA</stp>
        <stp>.LQD201120P135.5</stp>
        <tr r="M410" s="1"/>
      </tp>
      <tp t="s">
        <v>N/A</v>
        <stp/>
        <stp>DELTA</stp>
        <stp>.IBB201120C140.5</stp>
        <tr r="M239" s="1"/>
      </tp>
      <tp>
        <v>0</v>
        <stp/>
        <stp>GAMMA</stp>
        <stp>JNK</stp>
        <tr r="N380" s="1"/>
      </tp>
      <tp t="s">
        <v>N/A</v>
        <stp/>
        <stp>THETA</stp>
        <stp>.XRT201120C54</stp>
        <tr r="O903" s="1"/>
      </tp>
      <tp t="s">
        <v>N/A</v>
        <stp/>
        <stp>THETA</stp>
        <stp>.XRT201120C55</stp>
        <tr r="O907" s="1"/>
      </tp>
      <tp t="s">
        <v>N/A</v>
        <stp/>
        <stp>LOW</stp>
        <stp>.ASHR201120P37.5</stp>
        <tr r="K45" s="1"/>
      </tp>
      <tp t="s">
        <v>N/A</v>
        <stp/>
        <stp>LOW</stp>
        <stp>.ASHR201120C37.5</stp>
        <tr r="K44" s="1"/>
      </tp>
      <tp>
        <v>150.46</v>
        <stp/>
        <stp>LAST</stp>
        <stp>MTUM</stp>
        <tr r="E426" s="1"/>
      </tp>
      <tp t="s">
        <v>N/A</v>
        <stp/>
        <stp>THETA</stp>
        <stp>.IBB201120P140.5</stp>
        <tr r="O240" s="1"/>
      </tp>
      <tp t="s">
        <v>N/A</v>
        <stp/>
        <stp>THETA</stp>
        <stp>.LQD201120C135.5</stp>
        <tr r="O409" s="1"/>
      </tp>
      <tp>
        <v>1</v>
        <stp/>
        <stp>DELTA</stp>
        <stp>KRE</stp>
        <tr r="M388" s="1"/>
      </tp>
      <tp t="s">
        <v>N/A</v>
        <stp/>
        <stp>DELTA</stp>
        <stp>.TBT201120C17</stp>
        <tr r="M684" s="1"/>
      </tp>
      <tp t="s">
        <v>N/A</v>
        <stp/>
        <stp>GAMMA</stp>
        <stp>.XRT201120P54</stp>
        <tr r="N904" s="1"/>
      </tp>
      <tp t="s">
        <v>N/A</v>
        <stp/>
        <stp>GAMMA</stp>
        <stp>.XRT201120P55</stp>
        <tr r="N908" s="1"/>
      </tp>
      <tp t="s">
        <v>N/A</v>
        <stp/>
        <stp>GAMMA</stp>
        <stp>.SMH201120C193.5</stp>
        <tr r="N556" s="1"/>
      </tp>
      <tp>
        <v>0</v>
        <stp/>
        <stp>THETA</stp>
        <stp>BZQ</stp>
        <tr r="O51" s="1"/>
      </tp>
      <tp t="s">
        <v>N/A</v>
        <stp/>
        <stp>THETA</stp>
        <stp>.IBB201120C140.5</stp>
        <tr r="O239" s="1"/>
      </tp>
      <tp t="s">
        <v>N/A</v>
        <stp/>
        <stp>THETA</stp>
        <stp>.LQD201120P135.5</stp>
        <tr r="O410" s="1"/>
      </tp>
      <tp t="s">
        <v>N/A</v>
        <stp/>
        <stp>THETA</stp>
        <stp>.KRE201120C46</stp>
        <tr r="O389" s="1"/>
      </tp>
      <tp t="s">
        <v>N/A</v>
        <stp/>
        <stp>THETA</stp>
        <stp>.KRE201120C47</stp>
        <tr r="O393" s="1"/>
      </tp>
      <tp t="s">
        <v>N/A</v>
        <stp/>
        <stp>DELTA</stp>
        <stp>.LQD201120C135.5</stp>
        <tr r="M409" s="1"/>
      </tp>
      <tp t="s">
        <v>N/A</v>
        <stp/>
        <stp>DELTA</stp>
        <stp>.IBB201120P140.5</stp>
        <tr r="M240" s="1"/>
      </tp>
      <tp t="s">
        <v>N/A</v>
        <stp/>
        <stp>GAMMA</stp>
        <stp>.TAN201120C73</stp>
        <tr r="N662" s="1"/>
      </tp>
      <tp t="s">
        <v>N/A</v>
        <stp/>
        <stp>GAMMA</stp>
        <stp>.TAN201120C76</stp>
        <tr r="N674" s="1"/>
      </tp>
      <tp t="s">
        <v>N/A</v>
        <stp/>
        <stp>GAMMA</stp>
        <stp>.TAN201120C77</stp>
        <tr r="N678" s="1"/>
      </tp>
      <tp t="s">
        <v>N/A</v>
        <stp/>
        <stp>GAMMA</stp>
        <stp>.TAN201120C74</stp>
        <tr r="N666" s="1"/>
      </tp>
      <tp t="s">
        <v>N/A</v>
        <stp/>
        <stp>GAMMA</stp>
        <stp>.TAN201120C75</stp>
        <tr r="N670" s="1"/>
      </tp>
      <tp>
        <v>1</v>
        <stp/>
        <stp>DELTA</stp>
        <stp>KBE</stp>
        <tr r="M385" s="1"/>
      </tp>
      <tp t="s">
        <v>N/A</v>
        <stp/>
        <stp>DELTA</stp>
        <stp>.KBE201120C38</stp>
        <tr r="M386" s="1"/>
      </tp>
      <tp>
        <v>80.150000000000006</v>
        <stp/>
        <stp>LAST</stp>
        <stp>ITOT</stp>
        <tr r="E297" s="1"/>
      </tp>
      <tp t="s">
        <v>N/A</v>
        <stp/>
        <stp>DELTA</stp>
        <stp>.TBF201120C16</stp>
        <tr r="M681" s="1"/>
      </tp>
      <tp t="s">
        <v>N/A</v>
        <stp/>
        <stp>THETA</stp>
        <stp>.TAN201120P73</stp>
        <tr r="O663" s="1"/>
      </tp>
      <tp t="s">
        <v>N/A</v>
        <stp/>
        <stp>THETA</stp>
        <stp>.TAN201120P76</stp>
        <tr r="O675" s="1"/>
      </tp>
      <tp t="s">
        <v>N/A</v>
        <stp/>
        <stp>THETA</stp>
        <stp>.TAN201120P77</stp>
        <tr r="O679" s="1"/>
      </tp>
      <tp t="s">
        <v>N/A</v>
        <stp/>
        <stp>THETA</stp>
        <stp>.TAN201120P74</stp>
        <tr r="O667" s="1"/>
      </tp>
      <tp t="s">
        <v>N/A</v>
        <stp/>
        <stp>THETA</stp>
        <stp>.TAN201120P75</stp>
        <tr r="O671" s="1"/>
      </tp>
      <tp t="s">
        <v>N/A</v>
        <stp/>
        <stp>GAMMA</stp>
        <stp>.KRE201120P46</stp>
        <tr r="N390" s="1"/>
      </tp>
      <tp t="s">
        <v>N/A</v>
        <stp/>
        <stp>GAMMA</stp>
        <stp>.KRE201120P47</stp>
        <tr r="N394" s="1"/>
      </tp>
      <tp t="s">
        <v>N/A</v>
        <stp/>
        <stp>GAMMA</stp>
        <stp>.SMH201120P193.5</stp>
        <tr r="N557" s="1"/>
      </tp>
      <tp t="s">
        <v>N/A</v>
        <stp/>
        <stp>VOLUME</stp>
        <stp>.TAN201120C73</stp>
        <tr r="F662" s="1"/>
      </tp>
      <tp>
        <v>12</v>
        <stp/>
        <stp>VOLUME</stp>
        <stp>.TAN201120C77</stp>
        <tr r="F678" s="1"/>
      </tp>
      <tp t="s">
        <v>N/A</v>
        <stp/>
        <stp>VOLUME</stp>
        <stp>.TAN201120C76</stp>
        <tr r="F674" s="1"/>
      </tp>
      <tp>
        <v>117</v>
        <stp/>
        <stp>VOLUME</stp>
        <stp>.TAN201120C75</stp>
        <tr r="F670" s="1"/>
      </tp>
      <tp>
        <v>4</v>
        <stp/>
        <stp>VOLUME</stp>
        <stp>.TAN201120C74</stp>
        <tr r="F666" s="1"/>
      </tp>
      <tp t="s">
        <v>N/A</v>
        <stp/>
        <stp>ASK</stp>
        <stp>.SPDW201120P32</stp>
        <tr r="I580" s="1"/>
      </tp>
      <tp t="s">
        <v>N/A</v>
        <stp/>
        <stp>LOW</stp>
        <stp>.INDY201120P38</stp>
        <tr r="K287" s="1"/>
      </tp>
      <tp t="s">
        <v>N/A</v>
        <stp/>
        <stp>BID</stp>
        <stp>.SPDW201120P32</stp>
        <tr r="H580" s="1"/>
      </tp>
      <tp t="s">
        <v>N/A</v>
        <stp/>
        <stp>RHO</stp>
        <stp>.INDA201120P36</stp>
        <tr r="Q282" s="1"/>
      </tp>
      <tp t="s">
        <v>N/A</v>
        <stp/>
        <stp>LOW</stp>
        <stp>.ACWX201120C50</stp>
        <tr r="K13" s="1"/>
      </tp>
      <tp t="s">
        <v>N/A</v>
        <stp/>
        <stp>STRIKE</stp>
        <stp>.EZU201120C42</stp>
        <tr r="W178" s="1"/>
      </tp>
      <tp t="s">
        <v>N/A</v>
        <stp/>
        <stp>RHO</stp>
        <stp>.ACWI201120C86</stp>
        <tr r="Q10" s="1"/>
      </tp>
      <tp t="s">
        <v>N/A</v>
        <stp/>
        <stp>RHO</stp>
        <stp>.ACWI201120C85</stp>
        <tr r="Q8" s="1"/>
      </tp>
      <tp t="s">
        <v>N/A</v>
        <stp/>
        <stp>STRIKE</stp>
        <stp>.BZQ201120C12</stp>
        <tr r="W52" s="1"/>
      </tp>
      <tp t="s">
        <v>N/A</v>
        <stp/>
        <stp>LOW</stp>
        <stp>.ARKW201120P118</stp>
        <tr r="K40" s="1"/>
      </tp>
      <tp t="s">
        <v>N/A</v>
        <stp/>
        <stp>LOW</stp>
        <stp>.ARKW201120C118</stp>
        <tr r="K39" s="1"/>
      </tp>
      <tp t="s">
        <v>N/A</v>
        <stp/>
        <stp>LOW</stp>
        <stp>.ARKW201120P119</stp>
        <tr r="K42" s="1"/>
      </tp>
      <tp>
        <v>1.9</v>
        <stp/>
        <stp>LOW</stp>
        <stp>.ARKW201120C119</stp>
        <tr r="K41" s="1"/>
      </tp>
      <tp t="s">
        <v>N/A</v>
        <stp/>
        <stp>LOW</stp>
        <stp>.ARKW201120P116</stp>
        <tr r="K36" s="1"/>
      </tp>
      <tp>
        <v>4.0999999999999996</v>
        <stp/>
        <stp>LOW</stp>
        <stp>.ARKW201120C116</stp>
        <tr r="K35" s="1"/>
      </tp>
      <tp t="s">
        <v>N/A</v>
        <stp/>
        <stp>LOW</stp>
        <stp>.ARKW201120P117</stp>
        <tr r="K38" s="1"/>
      </tp>
      <tp>
        <v>0</v>
        <stp/>
        <stp>LOW</stp>
        <stp>.ARKW201120C117</stp>
        <tr r="K37" s="1"/>
      </tp>
      <tp t="s">
        <v>N/A</v>
        <stp/>
        <stp>ASK</stp>
        <stp>.ACWX201120C50</stp>
        <tr r="I13" s="1"/>
      </tp>
      <tp>
        <v>144</v>
        <stp/>
        <stp>VOLUME</stp>
        <stp>.KRE201120P47</stp>
        <tr r="F394" s="1"/>
      </tp>
      <tp>
        <v>41</v>
        <stp/>
        <stp>VOLUME</stp>
        <stp>.KRE201120P46</stp>
        <tr r="F390" s="1"/>
      </tp>
      <tp t="s">
        <v>N/A</v>
        <stp/>
        <stp>DESCRIPTION</stp>
        <stp>.SCHD201120C62</stp>
        <tr r="B523" s="1"/>
      </tp>
      <tp t="s">
        <v>N/A</v>
        <stp/>
        <stp>DESCRIPTION</stp>
        <stp>.SCHD201120C61</stp>
        <tr r="B521" s="1"/>
      </tp>
      <tp t="s">
        <v>N/A</v>
        <stp/>
        <stp>PUT_CALL_RATIO</stp>
        <stp>.TBT201120C17</stp>
        <tr r="C684" s="1"/>
      </tp>
      <tp t="s">
        <v>N/A</v>
        <stp/>
        <stp>DESCRIPTION</stp>
        <stp>.MCHI201120C80</stp>
        <tr r="B412" s="1"/>
      </tp>
      <tp t="s">
        <v>N/A</v>
        <stp/>
        <stp>BID</stp>
        <stp>.ACWX201120C50</stp>
        <tr r="H13" s="1"/>
      </tp>
      <tp t="s">
        <v>N/A</v>
        <stp/>
        <stp>BID</stp>
        <stp>.INDY201120P38</stp>
        <tr r="H287" s="1"/>
      </tp>
      <tp t="s">
        <v>N/A</v>
        <stp/>
        <stp>DESCRIPTION</stp>
        <stp>.SPHD201120C36</stp>
        <tr r="B582" s="1"/>
      </tp>
      <tp t="s">
        <v>N/A</v>
        <stp/>
        <stp>LOW</stp>
        <stp>.SPDW201120P32</stp>
        <tr r="K580" s="1"/>
      </tp>
      <tp t="s">
        <v>N/A</v>
        <stp/>
        <stp>DESCRIPTION</stp>
        <stp>.SCHE201120C29</stp>
        <tr r="B526" s="1"/>
      </tp>
      <tp t="s">
        <v>N/A</v>
        <stp/>
        <stp>DESCRIPTION</stp>
        <stp>.SCHF201120C34</stp>
        <tr r="B529" s="1"/>
      </tp>
      <tp t="s">
        <v>N/A</v>
        <stp/>
        <stp>ASK</stp>
        <stp>.INDY201120P38</stp>
        <tr r="I287" s="1"/>
      </tp>
      <tp t="s">
        <v>N/A</v>
        <stp/>
        <stp>RHO</stp>
        <stp>.SPDW201120P32</stp>
        <tr r="Q580" s="1"/>
      </tp>
      <tp t="s">
        <v>N/A</v>
        <stp/>
        <stp>BID</stp>
        <stp>.INDA201120P36</stp>
        <tr r="H282" s="1"/>
      </tp>
      <tp t="s">
        <v>N/A</v>
        <stp/>
        <stp>ASK</stp>
        <stp>.ACWI201120C85</stp>
        <tr r="I8" s="1"/>
      </tp>
      <tp t="s">
        <v>N/A</v>
        <stp/>
        <stp>ASK</stp>
        <stp>.ACWI201120C86</stp>
        <tr r="I10" s="1"/>
      </tp>
      <tp t="s">
        <v>N/A</v>
        <stp/>
        <stp>BID</stp>
        <stp>.ACWI201120C86</stp>
        <tr r="H10" s="1"/>
      </tp>
      <tp t="s">
        <v>N/A</v>
        <stp/>
        <stp>BID</stp>
        <stp>.ACWI201120C85</stp>
        <tr r="H8" s="1"/>
      </tp>
      <tp t="s">
        <v>N/A</v>
        <stp/>
        <stp>ASK</stp>
        <stp>.INDA201120P36</stp>
        <tr r="I282" s="1"/>
      </tp>
      <tp t="s">
        <v>N/A</v>
        <stp/>
        <stp>VOLUME</stp>
        <stp>.XRT201120P55</stp>
        <tr r="F908" s="1"/>
      </tp>
      <tp t="s">
        <v>N/A</v>
        <stp/>
        <stp>VOLUME</stp>
        <stp>.XRT201120P54</stp>
        <tr r="F904" s="1"/>
      </tp>
      <tp t="s">
        <v>N/A</v>
        <stp/>
        <stp>LOW</stp>
        <stp>.ACWI201120C85</stp>
        <tr r="K8" s="1"/>
      </tp>
      <tp t="s">
        <v>N/A</v>
        <stp/>
        <stp>LOW</stp>
        <stp>.ACWI201120C86</stp>
        <tr r="K10" s="1"/>
      </tp>
      <tp t="s">
        <v>N/A</v>
        <stp/>
        <stp>LOW</stp>
        <stp>.INDA201120P36</stp>
        <tr r="K282" s="1"/>
      </tp>
      <tp t="s">
        <v>N/A</v>
        <stp/>
        <stp>DESCRIPTION</stp>
        <stp>.ASHR201120C38</stp>
        <tr r="B46" s="1"/>
      </tp>
      <tp t="s">
        <v>N/A</v>
        <stp/>
        <stp>PUT_CALL_RATIO</stp>
        <stp>.KBE201120C38</stp>
        <tr r="C386" s="1"/>
      </tp>
      <tp t="s">
        <v>N/A</v>
        <stp/>
        <stp>RHO</stp>
        <stp>.ACWX201120C50</stp>
        <tr r="Q13" s="1"/>
      </tp>
      <tp t="s">
        <v>N/A</v>
        <stp/>
        <stp>PUT_CALL_RATIO</stp>
        <stp>.TBF201120C16</stp>
        <tr r="C681" s="1"/>
      </tp>
      <tp t="s">
        <v>N/A</v>
        <stp/>
        <stp>RHO</stp>
        <stp>.INDY201120P38</stp>
        <tr r="Q287" s="1"/>
      </tp>
      <tp t="s">
        <v>N/A</v>
        <stp/>
        <stp>DESCRIPTION</stp>
        <stp>.SCHP201120C61</stp>
        <tr r="B532" s="1"/>
      </tp>
      <tp t="s">
        <v>N/A</v>
        <stp/>
        <stp>PROB_OF_EXPIRING</stp>
        <stp>.HYG201120C86</stp>
        <tr r="T223" s="1"/>
      </tp>
      <tp t="s">
        <v>N/A</v>
        <stp/>
        <stp>IMPL_VOL</stp>
        <stp>.KRE201120C46</stp>
        <tr r="D389" s="1"/>
      </tp>
      <tp>
        <v>2982</v>
        <stp/>
        <stp>OPEN_INT</stp>
        <stp>.XHB201120C55</stp>
        <tr r="G781" s="1"/>
      </tp>
      <tp t="s">
        <v>N/A</v>
        <stp/>
        <stp>IMPL_VOL</stp>
        <stp>.KRE201120C47</stp>
        <tr r="D393" s="1"/>
      </tp>
      <tp>
        <v>619</v>
        <stp/>
        <stp>OPEN_INT</stp>
        <stp>.XHB201120C56</stp>
        <tr r="G785" s="1"/>
      </tp>
      <tp t="s">
        <v>N/A</v>
        <stp/>
        <stp>PROB_OTM</stp>
        <stp>.VNQ201120P84</stp>
        <tr r="U726" s="1"/>
      </tp>
      <tp t="s">
        <v>N/A</v>
        <stp/>
        <stp>PROB_OTM</stp>
        <stp>.VNQ201120P85</stp>
        <tr r="U728" s="1"/>
      </tp>
      <tp t="s">
        <v>N/A</v>
        <stp/>
        <stp>PROB_OF_TOUCHING</stp>
        <stp>.SSO201120C82</stp>
        <tr r="V647" s="1"/>
      </tp>
      <tp t="s">
        <v>N/A</v>
        <stp/>
        <stp>PROB_OF_TOUCHING</stp>
        <stp>.SSO201120C83</stp>
        <tr r="V651" s="1"/>
      </tp>
      <tp t="s">
        <v>N/A</v>
        <stp/>
        <stp>PROB_OF_TOUCHING</stp>
        <stp>.SSO201120C81</stp>
        <tr r="V643" s="1"/>
      </tp>
      <tp t="s">
        <v>N/A</v>
        <stp/>
        <stp>PROB_OF_TOUCHING</stp>
        <stp>.SSO201120C84</stp>
        <tr r="V655" s="1"/>
      </tp>
      <tp t="s">
        <v>N/A</v>
        <stp/>
        <stp>INTRINSIC</stp>
        <stp>.KWEB201120C74</stp>
        <tr r="R402" s="1"/>
      </tp>
      <tp t="s">
        <v>N/A</v>
        <stp/>
        <stp>INTRINSIC</stp>
        <stp>.KWEB201120C73</stp>
        <tr r="R400" s="1"/>
      </tp>
      <tp t="s">
        <v>N/A</v>
        <stp/>
        <stp>INTRINSIC</stp>
        <stp>.KWEB201120C72</stp>
        <tr r="R398" s="1"/>
      </tp>
      <tp t="s">
        <v>N/A</v>
        <stp/>
        <stp>IMPL_VOL</stp>
        <stp>.TAN201120P73</stp>
        <tr r="D663" s="1"/>
      </tp>
      <tp t="s">
        <v>N/A</v>
        <stp/>
        <stp>IMPL_VOL</stp>
        <stp>.TAN201120P76</stp>
        <tr r="D675" s="1"/>
      </tp>
      <tp t="s">
        <v>N/A</v>
        <stp/>
        <stp>IMPL_VOL</stp>
        <stp>.TAN201120P77</stp>
        <tr r="D679" s="1"/>
      </tp>
      <tp t="s">
        <v>N/A</v>
        <stp/>
        <stp>IMPL_VOL</stp>
        <stp>.TAN201120P74</stp>
        <tr r="D667" s="1"/>
      </tp>
      <tp t="s">
        <v>N/A</v>
        <stp/>
        <stp>IMPL_VOL</stp>
        <stp>.TAN201120P75</stp>
        <tr r="D671" s="1"/>
      </tp>
      <tp t="s">
        <v>N/A</v>
        <stp/>
        <stp>VOLUME</stp>
        <stp>.IVE201120P121</stp>
        <tr r="F304" s="1"/>
      </tp>
      <tp t="s">
        <v>N/A</v>
        <stp/>
        <stp>VOLUME</stp>
        <stp>.IVE201120C121</stp>
        <tr r="F303" s="1"/>
      </tp>
      <tp t="s">
        <v>N/A</v>
        <stp/>
        <stp>VOLUME</stp>
        <stp>.IVE201120P123</stp>
        <tr r="F308" s="1"/>
      </tp>
      <tp t="s">
        <v>N/A</v>
        <stp/>
        <stp>VOLUME</stp>
        <stp>.IVE201120C123</stp>
        <tr r="F307" s="1"/>
      </tp>
      <tp>
        <v>0</v>
        <stp/>
        <stp>VOLUME</stp>
        <stp>.IVE201120P122</stp>
        <tr r="F306" s="1"/>
      </tp>
      <tp t="s">
        <v>N/A</v>
        <stp/>
        <stp>VOLUME</stp>
        <stp>.IVE201120C122</stp>
        <tr r="F305" s="1"/>
      </tp>
      <tp t="s">
        <v>N/A</v>
        <stp/>
        <stp>VOLUME</stp>
        <stp>.IWF201120P225</stp>
        <tr r="F342" s="1"/>
      </tp>
      <tp t="s">
        <v>N/A</v>
        <stp/>
        <stp>VOLUME</stp>
        <stp>.IWF201120C225</stp>
        <tr r="F341" s="1"/>
      </tp>
      <tp t="s">
        <v>N/A</v>
        <stp/>
        <stp>PROB_OF_EXPIRING</stp>
        <stp>.VYM201120C87</stp>
        <tr r="T759" s="1"/>
      </tp>
      <tp t="s">
        <v>N/A</v>
        <stp/>
        <stp>PROB_OF_EXPIRING</stp>
        <stp>.VYM201120C88</stp>
        <tr r="T761" s="1"/>
      </tp>
      <tp t="s">
        <v>N/A</v>
        <stp/>
        <stp>PROB_OF_EXPIRING</stp>
        <stp>.IYE201120C18</stp>
        <tr r="T364" s="1"/>
      </tp>
      <tp t="s">
        <v>N/A</v>
        <stp/>
        <stp>EXTRINSIC</stp>
        <stp>.GUSH201120C27</stp>
        <tr r="S216" s="1"/>
      </tp>
      <tp t="s">
        <v>N/A</v>
        <stp/>
        <stp>EXTRINSIC</stp>
        <stp>.GUSH201120C26</stp>
        <tr r="S214" s="1"/>
      </tp>
      <tp t="s">
        <v>N/A</v>
        <stp/>
        <stp>EXTRINSIC</stp>
        <stp>.GUSH201120C28</stp>
        <tr r="S218" s="1"/>
      </tp>
      <tp t="s">
        <v>N/A</v>
        <stp/>
        <stp>INTRINSIC</stp>
        <stp>.DFEN201120C13</stp>
        <tr r="R55" s="1"/>
      </tp>
      <tp t="s">
        <v>N/A</v>
        <stp/>
        <stp>INTRINSIC</stp>
        <stp>.DFEN201120C14</stp>
        <tr r="R57" s="1"/>
      </tp>
      <tp t="s">
        <v>N/A</v>
        <stp/>
        <stp>IMPL_VOL</stp>
        <stp>.XRT201120C54</stp>
        <tr r="D903" s="1"/>
      </tp>
      <tp t="s">
        <v>N/A</v>
        <stp/>
        <stp>IMPL_VOL</stp>
        <stp>.XRT201120C55</stp>
        <tr r="D907" s="1"/>
      </tp>
      <tp t="s">
        <v>N/A</v>
        <stp/>
        <stp>INTRINSIC</stp>
        <stp>.SRVR201120P36</stp>
        <tr r="R641" s="1"/>
      </tp>
      <tp t="s">
        <v>N/A</v>
        <stp/>
        <stp>INTRINSIC</stp>
        <stp>.SRVR201120P35</stp>
        <tr r="R639" s="1"/>
      </tp>
      <tp t="s">
        <v>N/A</v>
        <stp/>
        <stp>PUT_CALL_RATIO</stp>
        <stp>.RSP201120P118</stp>
        <tr r="C507" s="1"/>
      </tp>
      <tp t="s">
        <v>N/A</v>
        <stp/>
        <stp>PUT_CALL_RATIO</stp>
        <stp>.RSP201120C118</stp>
        <tr r="C506" s="1"/>
      </tp>
      <tp t="s">
        <v>N/A</v>
        <stp/>
        <stp>PUT_CALL_RATIO</stp>
        <stp>.RSP201120P119</stp>
        <tr r="C509" s="1"/>
      </tp>
      <tp t="s">
        <v>N/A</v>
        <stp/>
        <stp>PUT_CALL_RATIO</stp>
        <stp>.RSP201120C119</stp>
        <tr r="C508" s="1"/>
      </tp>
      <tp>
        <v>358</v>
        <stp/>
        <stp>STRIKE</stp>
        <stp>.SPY201118C358</stp>
        <tr r="W601" s="1"/>
      </tp>
      <tp>
        <v>360</v>
        <stp/>
        <stp>STRIKE</stp>
        <stp>.SPY201120C360</stp>
        <tr r="W625" s="1"/>
      </tp>
      <tp>
        <v>358</v>
        <stp/>
        <stp>STRIKE</stp>
        <stp>.SPY201118P358</stp>
        <tr r="W602" s="1"/>
      </tp>
      <tp>
        <v>360</v>
        <stp/>
        <stp>STRIKE</stp>
        <stp>.SPY201120P360</stp>
        <tr r="W626" s="1"/>
      </tp>
      <tp>
        <v>359</v>
        <stp/>
        <stp>STRIKE</stp>
        <stp>.SPY201118C359</stp>
        <tr r="W603" s="1"/>
      </tp>
      <tp>
        <v>361</v>
        <stp/>
        <stp>STRIKE</stp>
        <stp>.SPY201120C361</stp>
        <tr r="W627" s="1"/>
      </tp>
      <tp>
        <v>359</v>
        <stp/>
        <stp>STRIKE</stp>
        <stp>.SPY201118P359</stp>
        <tr r="W604" s="1"/>
      </tp>
      <tp>
        <v>361</v>
        <stp/>
        <stp>STRIKE</stp>
        <stp>.SPY201120P361</stp>
        <tr r="W628" s="1"/>
      </tp>
      <tp>
        <v>353</v>
        <stp/>
        <stp>STRIKE</stp>
        <stp>.SPY201118C353</stp>
        <tr r="W591" s="1"/>
      </tp>
      <tp>
        <v>353</v>
        <stp/>
        <stp>STRIKE</stp>
        <stp>.SPY201118P353</stp>
        <tr r="W592" s="1"/>
      </tp>
      <tp>
        <v>354</v>
        <stp/>
        <stp>STRIKE</stp>
        <stp>.SPY201118C354</stp>
        <tr r="W593" s="1"/>
      </tp>
      <tp>
        <v>354</v>
        <stp/>
        <stp>STRIKE</stp>
        <stp>.SPY201118P354</stp>
        <tr r="W594" s="1"/>
      </tp>
      <tp>
        <v>355</v>
        <stp/>
        <stp>STRIKE</stp>
        <stp>.SPY201118C355</stp>
        <tr r="W595" s="1"/>
      </tp>
      <tp>
        <v>355</v>
        <stp/>
        <stp>STRIKE</stp>
        <stp>.SPY201118P355</stp>
        <tr r="W596" s="1"/>
      </tp>
      <tp>
        <v>356</v>
        <stp/>
        <stp>STRIKE</stp>
        <stp>.SPY201118C356</stp>
        <tr r="W597" s="1"/>
      </tp>
      <tp>
        <v>356</v>
        <stp/>
        <stp>STRIKE</stp>
        <stp>.SPY201118P356</stp>
        <tr r="W598" s="1"/>
      </tp>
      <tp>
        <v>357</v>
        <stp/>
        <stp>STRIKE</stp>
        <stp>.SPY201118C357</stp>
        <tr r="W599" s="1"/>
      </tp>
      <tp>
        <v>357</v>
        <stp/>
        <stp>STRIKE</stp>
        <stp>.SPY201118P357</stp>
        <tr r="W600" s="1"/>
      </tp>
      <tp>
        <v>353</v>
        <stp/>
        <stp>STRIKE</stp>
        <stp>.SPY201120C353</stp>
        <tr r="W609" s="1"/>
      </tp>
      <tp>
        <v>353</v>
        <stp/>
        <stp>STRIKE</stp>
        <stp>.SPY201120P353</stp>
        <tr r="W610" s="1"/>
      </tp>
      <tp>
        <v>354</v>
        <stp/>
        <stp>STRIKE</stp>
        <stp>.SPY201120C354</stp>
        <tr r="W611" s="1"/>
      </tp>
      <tp>
        <v>354</v>
        <stp/>
        <stp>STRIKE</stp>
        <stp>.SPY201120P354</stp>
        <tr r="W612" s="1"/>
      </tp>
      <tp>
        <v>355</v>
        <stp/>
        <stp>STRIKE</stp>
        <stp>.SPY201120C355</stp>
        <tr r="W613" s="1"/>
      </tp>
      <tp>
        <v>355</v>
        <stp/>
        <stp>STRIKE</stp>
        <stp>.SPY201120P355</stp>
        <tr r="W614" s="1"/>
      </tp>
      <tp>
        <v>356</v>
        <stp/>
        <stp>STRIKE</stp>
        <stp>.SPY201120C356</stp>
        <tr r="W615" s="1"/>
      </tp>
      <tp>
        <v>356</v>
        <stp/>
        <stp>STRIKE</stp>
        <stp>.SPY201120P356</stp>
        <tr r="W616" s="1"/>
      </tp>
      <tp>
        <v>357</v>
        <stp/>
        <stp>STRIKE</stp>
        <stp>.SPY201120C357</stp>
        <tr r="W617" s="1"/>
      </tp>
      <tp>
        <v>357</v>
        <stp/>
        <stp>STRIKE</stp>
        <stp>.SPY201120P357</stp>
        <tr r="W618" s="1"/>
      </tp>
      <tp>
        <v>360</v>
        <stp/>
        <stp>STRIKE</stp>
        <stp>.SPY201118C360</stp>
        <tr r="W605" s="1"/>
      </tp>
      <tp>
        <v>358</v>
        <stp/>
        <stp>STRIKE</stp>
        <stp>.SPY201120C358</stp>
        <tr r="W621" s="1"/>
      </tp>
      <tp>
        <v>360</v>
        <stp/>
        <stp>STRIKE</stp>
        <stp>.SPY201118P360</stp>
        <tr r="W606" s="1"/>
      </tp>
      <tp>
        <v>358</v>
        <stp/>
        <stp>STRIKE</stp>
        <stp>.SPY201120P358</stp>
        <tr r="W622" s="1"/>
      </tp>
      <tp>
        <v>359</v>
        <stp/>
        <stp>STRIKE</stp>
        <stp>.SPY201120C359</stp>
        <tr r="W623" s="1"/>
      </tp>
      <tp>
        <v>359</v>
        <stp/>
        <stp>STRIKE</stp>
        <stp>.SPY201120P359</stp>
        <tr r="W624" s="1"/>
      </tp>
      <tp t="s">
        <v>N/A</v>
        <stp/>
        <stp>PUT_CALL_RATIO</stp>
        <stp>.RSP201120P120</stp>
        <tr r="C511" s="1"/>
      </tp>
      <tp t="s">
        <v>N/A</v>
        <stp/>
        <stp>PUT_CALL_RATIO</stp>
        <stp>.RSP201120C120</stp>
        <tr r="C510" s="1"/>
      </tp>
      <tp t="s">
        <v>N/A</v>
        <stp/>
        <stp>PUT_CALL_RATIO</stp>
        <stp>.TIP201120C125</stp>
        <tr r="C687" s="1"/>
      </tp>
      <tp t="s">
        <v>N/A</v>
        <stp/>
        <stp>PUT_CALL_RATIO</stp>
        <stp>.TIP201120P125</stp>
        <tr r="C688" s="1"/>
      </tp>
      <tp t="s">
        <v>N/A</v>
        <stp/>
        <stp>PROB_OF_EXPIRING</stp>
        <stp>.IYR201120C85</stp>
        <tr r="T371" s="1"/>
      </tp>
      <tp t="s">
        <v>N/A</v>
        <stp/>
        <stp>PROB_OF_EXPIRING</stp>
        <stp>.IYR201120C84</stp>
        <tr r="T367" s="1"/>
      </tp>
      <tp t="s">
        <v>N/A</v>
        <stp/>
        <stp>PROB_OF_EXPIRING</stp>
        <stp>.IJR201120P80</stp>
        <tr r="T276" s="1"/>
      </tp>
      <tp t="s">
        <v>N/A</v>
        <stp/>
        <stp>PROB_OF_TOUCHING</stp>
        <stp>.RSX201120C22</stp>
        <tr r="V513" s="1"/>
      </tp>
      <tp t="s">
        <v>N/A</v>
        <stp/>
        <stp>STRIKE</stp>
        <stp>.MDY201120P385</stp>
        <tr r="W420" s="1"/>
      </tp>
      <tp t="s">
        <v>N/A</v>
        <stp/>
        <stp>STRIKE</stp>
        <stp>.MDY201120C385</stp>
        <tr r="W419" s="1"/>
      </tp>
      <tp t="s">
        <v>N/A</v>
        <stp/>
        <stp>STRIKE</stp>
        <stp>.MDY201120P380</stp>
        <tr r="W416" s="1"/>
      </tp>
      <tp t="s">
        <v>N/A</v>
        <stp/>
        <stp>STRIKE</stp>
        <stp>.MDY201120C380</stp>
        <tr r="W415" s="1"/>
      </tp>
      <tp t="s">
        <v>N/A</v>
        <stp/>
        <stp>IMPL_VOL</stp>
        <stp>.SPLG201120P42</stp>
        <tr r="D586" s="1"/>
      </tp>
      <tp>
        <v>2.1</v>
        <stp/>
        <stp>BID</stp>
        <stp>.IBB201120P139.5</stp>
        <tr r="H236" s="1"/>
      </tp>
      <tp>
        <v>3.6</v>
        <stp/>
        <stp>ASK</stp>
        <stp>.XLK201120P122.5</stp>
        <tr r="I838" s="1"/>
      </tp>
      <tp t="s">
        <v>N/A</v>
        <stp/>
        <stp>ASK</stp>
        <stp>.XLY201120P152.5</stp>
        <tr r="I873" s="1"/>
      </tp>
      <tp>
        <v>0</v>
        <stp/>
        <stp>OPEN_INT</stp>
        <stp>.SHYG201120C45</stp>
        <tr r="G549" s="1"/>
      </tp>
      <tp t="s">
        <v>N/A</v>
        <stp/>
        <stp>PROB_OTM</stp>
        <stp>.IEFA201120C66</stp>
        <tr r="U254" s="1"/>
      </tp>
      <tp t="s">
        <v>N/A</v>
        <stp/>
        <stp>PROB_OTM</stp>
        <stp>.IEFA201120C65</stp>
        <tr r="U252" s="1"/>
      </tp>
      <tp t="s">
        <v>N/A</v>
        <stp/>
        <stp>IMPL_VOL</stp>
        <stp>.EMLC201120P32</stp>
        <tr r="D116" s="1"/>
      </tp>
      <tp t="s">
        <v>N/A</v>
        <stp/>
        <stp>OPEN_INT</stp>
        <stp>.SPYG201120C53</stp>
        <tr r="G632" s="1"/>
      </tp>
      <tp>
        <v>136</v>
        <stp/>
        <stp>OPEN_INT</stp>
        <stp>.SPYG201120C52</stp>
        <tr r="G630" s="1"/>
      </tp>
      <tp t="s">
        <v>N/A</v>
        <stp/>
        <stp>IMPL_VOL</stp>
        <stp>.HYLB201120P49</stp>
        <tr r="D227" s="1"/>
      </tp>
      <tp t="s">
        <v>N/A</v>
        <stp/>
        <stp>PROB_OF_TOUCHING</stp>
        <stp>.IGIB201120P61</stp>
        <tr r="V263" s="1"/>
      </tp>
      <tp t="s">
        <v>N/A</v>
        <stp/>
        <stp>BID</stp>
        <stp>.IEF201120P119.5</stp>
        <tr r="H250" s="1"/>
      </tp>
      <tp t="s">
        <v>N/A</v>
        <stp/>
        <stp>PROB_OTM</stp>
        <stp>.EUFN201120C16</stp>
        <tr r="U118" s="1"/>
      </tp>
      <tp t="s">
        <v>N/A</v>
        <stp/>
        <stp>PROB_OF_TOUCHING</stp>
        <stp>.NAIL201120P45</stp>
        <tr r="V442" s="1"/>
      </tp>
      <tp t="s">
        <v>N/A</v>
        <stp/>
        <stp>PROB_OF_TOUCHING</stp>
        <stp>.NAIL201120P44</stp>
        <tr r="V440" s="1"/>
      </tp>
      <tp t="s">
        <v>N/A</v>
        <stp/>
        <stp>PROB_OF_TOUCHING</stp>
        <stp>.NAIL201120P47</stp>
        <tr r="V446" s="1"/>
      </tp>
      <tp t="s">
        <v>N/A</v>
        <stp/>
        <stp>PROB_OF_TOUCHING</stp>
        <stp>.NAIL201120P46</stp>
        <tr r="V444" s="1"/>
      </tp>
      <tp t="s">
        <v>N/A</v>
        <stp/>
        <stp>PROB_OF_TOUCHING</stp>
        <stp>.NAIL201120P49</stp>
        <tr r="V450" s="1"/>
      </tp>
      <tp t="s">
        <v>N/A</v>
        <stp/>
        <stp>PROB_OF_TOUCHING</stp>
        <stp>.NAIL201120P48</stp>
        <tr r="V448" s="1"/>
      </tp>
      <tp>
        <v>2.4900000000000002</v>
        <stp/>
        <stp>LOW</stp>
        <stp>.DIA201120C292.5</stp>
        <tr r="K67" s="1"/>
      </tp>
      <tp t="s">
        <v>N/A</v>
        <stp/>
        <stp>RHO</stp>
        <stp>.IBB201120P138.5</stp>
        <tr r="Q232" s="1"/>
      </tp>
      <tp t="s">
        <v>N/A</v>
        <stp/>
        <stp>IMPL_VOL</stp>
        <stp>.BKLN201120P22</stp>
        <tr r="D50" s="1"/>
      </tp>
      <tp t="s">
        <v>N/A</v>
        <stp/>
        <stp>IMPL_VOL</stp>
        <stp>.ICLN201120P22</stp>
        <tr r="D247" s="1"/>
      </tp>
      <tp t="s">
        <v>N/A</v>
        <stp/>
        <stp>DESCRIPTION</stp>
        <stp>.MDY201120P387.5</stp>
        <tr r="B422" s="1"/>
      </tp>
      <tp>
        <v>2.06</v>
        <stp/>
        <stp>ASK</stp>
        <stp>.XBI201120P122.5</stp>
        <tr r="I767" s="1"/>
      </tp>
      <tp t="s">
        <v>N/A</v>
        <stp/>
        <stp>PROB_OTM</stp>
        <stp>.IXUS201120P63</stp>
        <tr r="U362" s="1"/>
      </tp>
      <tp t="s">
        <v>N/A</v>
        <stp/>
        <stp>IMPL_VOL</stp>
        <stp>.SPLV201120P55</stp>
        <tr r="D589" s="1"/>
      </tp>
      <tp t="s">
        <v>N/A</v>
        <stp/>
        <stp>PROB_OF_TOUCHING</stp>
        <stp>.VGIT201120P70</stp>
        <tr r="V720" s="1"/>
      </tp>
      <tp t="s">
        <v>N/A</v>
        <stp/>
        <stp>IMPL_VOL</stp>
        <stp>.AMLP201120P24</stp>
        <tr r="D24" s="1"/>
      </tp>
      <tp t="s">
        <v>N/A</v>
        <stp/>
        <stp>IMPL_VOL</stp>
        <stp>.AMLP201120P23</stp>
        <tr r="D20" s="1"/>
      </tp>
      <tp>
        <v>1.1399999999999999</v>
        <stp/>
        <stp>ASK</stp>
        <stp>.XLK201120C122.5</stp>
        <tr r="I837" s="1"/>
      </tp>
      <tp t="s">
        <v>N/A</v>
        <stp/>
        <stp>ASK</stp>
        <stp>.XLY201120C152.5</stp>
        <tr r="I872" s="1"/>
      </tp>
      <tp t="s">
        <v>N/A</v>
        <stp/>
        <stp>PROB_OTM</stp>
        <stp>.VXUS201120P56</stp>
        <tr r="U755" s="1"/>
      </tp>
      <tp t="s">
        <v>N/A</v>
        <stp/>
        <stp>PROB_OTM</stp>
        <stp>.VXUS201120P57</stp>
        <tr r="U757" s="1"/>
      </tp>
      <tp t="s">
        <v>N/A</v>
        <stp/>
        <stp>BID</stp>
        <stp>.IBB201120C139.5</stp>
        <tr r="H235" s="1"/>
      </tp>
      <tp t="s">
        <v>N/A</v>
        <stp/>
        <stp>OPEN_INT</stp>
        <stp>.SPYV201120C33</stp>
        <tr r="G635" s="1"/>
      </tp>
      <tp t="s">
        <v>N/A</v>
        <stp/>
        <stp>BID</stp>
        <stp>.IEF201120C119.5</stp>
        <tr r="H249" s="1"/>
      </tp>
      <tp t="s">
        <v>N/A</v>
        <stp/>
        <stp>PROB_OF_EXPIRING</stp>
        <stp>.PDBC201120P14</stp>
        <tr r="T453" s="1"/>
      </tp>
      <tp t="s">
        <v>N/A</v>
        <stp/>
        <stp>PROB_OF_TOUCHING</stp>
        <stp>.DRIP201120P45</stp>
        <tr r="V83" s="1"/>
      </tp>
      <tp>
        <v>3.5</v>
        <stp/>
        <stp>LOW</stp>
        <stp>.DIA201120P292.5</stp>
        <tr r="K68" s="1"/>
      </tp>
      <tp t="s">
        <v>N/A</v>
        <stp/>
        <stp>RHO</stp>
        <stp>.IBB201120C138.5</stp>
        <tr r="Q231" s="1"/>
      </tp>
      <tp t="s">
        <v>N/A</v>
        <stp/>
        <stp>DESCRIPTION</stp>
        <stp>.MDY201120C387.5</stp>
        <tr r="B421" s="1"/>
      </tp>
      <tp>
        <v>3.15</v>
        <stp/>
        <stp>ASK</stp>
        <stp>.XBI201120C122.5</stp>
        <tr r="I766" s="1"/>
      </tp>
      <tp t="s">
        <v>N/A</v>
        <stp/>
        <stp>PROB_OF_TOUCHING</stp>
        <stp>.VCIT201120P96</stp>
        <tr r="V703" s="1"/>
      </tp>
      <tp>
        <v>107.43</v>
        <stp/>
        <stp>OPEN</stp>
        <stp>VCLT</stp>
        <tr r="L704" s="1"/>
      </tp>
      <tp>
        <v>22.08</v>
        <stp/>
        <stp>OPEN</stp>
        <stp>ICLN</stp>
        <tr r="L245" s="1"/>
      </tp>
      <tp t="s">
        <v>N/A</v>
        <stp/>
        <stp>DELTA</stp>
        <stp>.LQD201120P134.5</stp>
        <tr r="M406" s="1"/>
      </tp>
      <tp t="s">
        <v>N/A</v>
        <stp/>
        <stp>DELTA</stp>
        <stp>.IBB201120C141.5</stp>
        <tr r="M243" s="1"/>
      </tp>
      <tp t="s">
        <v>N/A</v>
        <stp/>
        <stp>GAMMA</stp>
        <stp>.RSX201120P22</stp>
        <tr r="N514" s="1"/>
      </tp>
      <tp>
        <v>0.04</v>
        <stp/>
        <stp>GAMMA</stp>
        <stp>.SPY201120P352.5</stp>
        <tr r="N608" s="1"/>
      </tp>
      <tp t="s">
        <v>N/A</v>
        <stp/>
        <stp>DELTA</stp>
        <stp>.SCZ201120C63</stp>
        <tr r="M535" s="1"/>
      </tp>
      <tp>
        <v>47.2</v>
        <stp/>
        <stp>HIGH</stp>
        <stp>NAIL</stp>
        <tr r="J438" s="1"/>
      </tp>
      <tp t="s">
        <v>N/A</v>
        <stp/>
        <stp>THETA</stp>
        <stp>.IBB201120P141.5</stp>
        <tr r="O244" s="1"/>
      </tp>
      <tp t="s">
        <v>N/A</v>
        <stp/>
        <stp>THETA</stp>
        <stp>.LQD201120C134.5</stp>
        <tr r="O405" s="1"/>
      </tp>
      <tp>
        <v>60.98</v>
        <stp/>
        <stp>OPEN</stp>
        <stp>SCHP</stp>
        <tr r="L531" s="1"/>
      </tp>
      <tp>
        <v>61.08</v>
        <stp/>
        <stp>OPEN</stp>
        <stp>SCHD</stp>
        <tr r="L520" s="1"/>
      </tp>
      <tp>
        <v>29.16</v>
        <stp/>
        <stp>OPEN</stp>
        <stp>SCHE</stp>
        <tr r="L525" s="1"/>
      </tp>
      <tp>
        <v>33.83</v>
        <stp/>
        <stp>OPEN</stp>
        <stp>SCHF</stp>
        <tr r="L528" s="1"/>
      </tp>
      <tp>
        <v>80.69</v>
        <stp/>
        <stp>OPEN</stp>
        <stp>MCHI</stp>
        <tr r="L411" s="1"/>
      </tp>
      <tp>
        <v>95.99</v>
        <stp/>
        <stp>OPEN</stp>
        <stp>VCIT</stp>
        <tr r="L701" s="1"/>
      </tp>
      <tp>
        <v>24.78</v>
        <stp/>
        <stp>LAST</stp>
        <stp>GUSH</stp>
        <tr r="E213" s="1"/>
      </tp>
      <tp t="s">
        <v>N/A</v>
        <stp/>
        <stp>THETA</stp>
        <stp>.RSX201120C22</stp>
        <tr r="O513" s="1"/>
      </tp>
      <tp>
        <v>0</v>
        <stp/>
        <stp>VEGA</stp>
        <stp>NAIL</stp>
        <tr r="P438" s="1"/>
      </tp>
      <tp>
        <v>4.0999999999999996</v>
        <stp/>
        <stp>LAST</stp>
        <stp>.ARKW201120C116</stp>
        <tr r="E35" s="1"/>
      </tp>
      <tp t="s">
        <v>N/A</v>
        <stp/>
        <stp>LAST</stp>
        <stp>.ARKW201120P116</stp>
        <tr r="E36" s="1"/>
      </tp>
      <tp>
        <v>2.95</v>
        <stp/>
        <stp>LAST</stp>
        <stp>.ARKW201120C117</stp>
        <tr r="E37" s="1"/>
      </tp>
      <tp t="s">
        <v>N/A</v>
        <stp/>
        <stp>LAST</stp>
        <stp>.ARKW201120P117</stp>
        <tr r="E38" s="1"/>
      </tp>
      <tp t="s">
        <v>N/A</v>
        <stp/>
        <stp>LAST</stp>
        <stp>.ARKW201120C118</stp>
        <tr r="E39" s="1"/>
      </tp>
      <tp t="s">
        <v>N/A</v>
        <stp/>
        <stp>LAST</stp>
        <stp>.ARKW201120P118</stp>
        <tr r="E40" s="1"/>
      </tp>
      <tp>
        <v>1.9</v>
        <stp/>
        <stp>LAST</stp>
        <stp>.ARKW201120C119</stp>
        <tr r="E41" s="1"/>
      </tp>
      <tp t="s">
        <v>N/A</v>
        <stp/>
        <stp>LAST</stp>
        <stp>.ARKW201120P119</stp>
        <tr r="E42" s="1"/>
      </tp>
      <tp t="s">
        <v>N/A</v>
        <stp/>
        <stp>GAMMA</stp>
        <stp>.SMH201120C192.5</stp>
        <tr r="N552" s="1"/>
      </tp>
      <tp>
        <v>0</v>
        <stp/>
        <stp>GAMMA</stp>
        <stp>KBE</stp>
        <tr r="N385" s="1"/>
      </tp>
      <tp t="s">
        <v>N/A</v>
        <stp/>
        <stp>GAMMA</stp>
        <stp>.TLT201120C155.5</stp>
        <tr r="N692" s="1"/>
      </tp>
      <tp t="s">
        <v>N/A</v>
        <stp/>
        <stp>GAMMA</stp>
        <stp>.XLK201120C119.5</stp>
        <tr r="N825" s="1"/>
      </tp>
      <tp>
        <v>15.8</v>
        <stp/>
        <stp>LAST</stp>
        <stp>EUFN</stp>
        <tr r="E117" s="1"/>
      </tp>
      <tp t="s">
        <v>N/A</v>
        <stp/>
        <stp>THETA</stp>
        <stp>.IBB201120C141.5</stp>
        <tr r="O243" s="1"/>
      </tp>
      <tp t="s">
        <v>N/A</v>
        <stp/>
        <stp>THETA</stp>
        <stp>.LQD201120P134.5</stp>
        <tr r="O406" s="1"/>
      </tp>
      <tp>
        <v>0.03</v>
        <stp/>
        <stp>GAMMA</stp>
        <stp>.SPY201120C352.5</stp>
        <tr r="N607" s="1"/>
      </tp>
      <tp>
        <v>84.28</v>
        <stp/>
        <stp>HIGH</stp>
        <stp>AAXJ</stp>
        <tr r="J2" s="1"/>
      </tp>
      <tp t="s">
        <v>N/A</v>
        <stp/>
        <stp>DELTA</stp>
        <stp>.LQD201120C134.5</stp>
        <tr r="M405" s="1"/>
      </tp>
      <tp t="s">
        <v>N/A</v>
        <stp/>
        <stp>DELTA</stp>
        <stp>.IBB201120P141.5</stp>
        <tr r="M244" s="1"/>
      </tp>
      <tp t="s">
        <v>N/A</v>
        <stp/>
        <stp>THETA</stp>
        <stp>.SSO201120C82</stp>
        <tr r="O647" s="1"/>
      </tp>
      <tp t="s">
        <v>N/A</v>
        <stp/>
        <stp>THETA</stp>
        <stp>.SSO201120C83</stp>
        <tr r="O651" s="1"/>
      </tp>
      <tp t="s">
        <v>N/A</v>
        <stp/>
        <stp>THETA</stp>
        <stp>.SSO201120C81</stp>
        <tr r="O643" s="1"/>
      </tp>
      <tp t="s">
        <v>N/A</v>
        <stp/>
        <stp>THETA</stp>
        <stp>.SSO201120C84</stp>
        <tr r="O655" s="1"/>
      </tp>
      <tp>
        <v>109.8</v>
        <stp/>
        <stp>LAST</stp>
        <stp>QUAL</stp>
        <tr r="E498" s="1"/>
      </tp>
      <tp>
        <v>1</v>
        <stp/>
        <stp>DELTA</stp>
        <stp>JNK</stp>
        <tr r="M380" s="1"/>
      </tp>
      <tp>
        <v>0</v>
        <stp/>
        <stp>VEGA</stp>
        <stp>AAXJ</stp>
        <tr r="P2" s="1"/>
      </tp>
      <tp>
        <v>49.73</v>
        <stp/>
        <stp>OPEN</stp>
        <stp>ACWX</stp>
        <tr r="L12" s="1"/>
      </tp>
      <tp>
        <v>85.47</v>
        <stp/>
        <stp>OPEN</stp>
        <stp>ACWI</stp>
        <tr r="L7" s="1"/>
      </tp>
      <tp>
        <v>0</v>
        <stp/>
        <stp>GAMMA</stp>
        <stp>KRE</stp>
        <tr r="N388" s="1"/>
      </tp>
      <tp t="s">
        <v>N/A</v>
        <stp/>
        <stp>GAMMA</stp>
        <stp>.SSO201120P82</stp>
        <tr r="N648" s="1"/>
      </tp>
      <tp t="s">
        <v>N/A</v>
        <stp/>
        <stp>GAMMA</stp>
        <stp>.SSO201120P83</stp>
        <tr r="N652" s="1"/>
      </tp>
      <tp t="s">
        <v>N/A</v>
        <stp/>
        <stp>GAMMA</stp>
        <stp>.SSO201120P81</stp>
        <tr r="N644" s="1"/>
      </tp>
      <tp t="s">
        <v>N/A</v>
        <stp/>
        <stp>GAMMA</stp>
        <stp>.SSO201120P84</stp>
        <tr r="N656" s="1"/>
      </tp>
      <tp t="s">
        <v>N/A</v>
        <stp/>
        <stp>GAMMA</stp>
        <stp>.TLT201120P155.5</stp>
        <tr r="N693" s="1"/>
      </tp>
      <tp t="s">
        <v>N/A</v>
        <stp/>
        <stp>GAMMA</stp>
        <stp>.XLK201120P119.5</stp>
        <tr r="N826" s="1"/>
      </tp>
      <tp t="s">
        <v>N/A</v>
        <stp/>
        <stp>GAMMA</stp>
        <stp>.SMH201120P192.5</stp>
        <tr r="N553" s="1"/>
      </tp>
      <tp t="s">
        <v>N/A</v>
        <stp/>
        <stp>PUT_CALL_RATIO</stp>
        <stp>.SCZ201120C63</stp>
        <tr r="C535" s="1"/>
      </tp>
      <tp t="s">
        <v>N/A</v>
        <stp/>
        <stp>RHO</stp>
        <stp>.KWEB201120P74</stp>
        <tr r="Q403" s="1"/>
      </tp>
      <tp t="s">
        <v>N/A</v>
        <stp/>
        <stp>DESCRIPTION</stp>
        <stp>.NAIL201120C48</stp>
        <tr r="B447" s="1"/>
      </tp>
      <tp t="s">
        <v>N/A</v>
        <stp/>
        <stp>DESCRIPTION</stp>
        <stp>.NAIL201120C49</stp>
        <tr r="B449" s="1"/>
      </tp>
      <tp t="s">
        <v>N/A</v>
        <stp/>
        <stp>RHO</stp>
        <stp>.KWEB201120P72</stp>
        <tr r="Q399" s="1"/>
      </tp>
      <tp t="s">
        <v>N/A</v>
        <stp/>
        <stp>RHO</stp>
        <stp>.KWEB201120P73</stp>
        <tr r="Q401" s="1"/>
      </tp>
      <tp t="s">
        <v>N/A</v>
        <stp/>
        <stp>DESCRIPTION</stp>
        <stp>.NAIL201120C46</stp>
        <tr r="B443" s="1"/>
      </tp>
      <tp t="s">
        <v>N/A</v>
        <stp/>
        <stp>DESCRIPTION</stp>
        <stp>.NAIL201120C47</stp>
        <tr r="B445" s="1"/>
      </tp>
      <tp t="s">
        <v>N/A</v>
        <stp/>
        <stp>DESCRIPTION</stp>
        <stp>.NAIL201120C44</stp>
        <tr r="B439" s="1"/>
      </tp>
      <tp t="s">
        <v>N/A</v>
        <stp/>
        <stp>DESCRIPTION</stp>
        <stp>.NAIL201120C45</stp>
        <tr r="B441" s="1"/>
      </tp>
      <tp t="s">
        <v>N/A</v>
        <stp/>
        <stp>ASK</stp>
        <stp>.SRVR201120C36</stp>
        <tr r="I640" s="1"/>
      </tp>
      <tp t="s">
        <v>N/A</v>
        <stp/>
        <stp>ASK</stp>
        <stp>.SRVR201120C35</stp>
        <tr r="I638" s="1"/>
      </tp>
      <tp t="s">
        <v>N/A</v>
        <stp/>
        <stp>BID</stp>
        <stp>.SRVR201120C35</stp>
        <tr r="H638" s="1"/>
      </tp>
      <tp t="s">
        <v>N/A</v>
        <stp/>
        <stp>BID</stp>
        <stp>.SRVR201120C36</stp>
        <tr r="H640" s="1"/>
      </tp>
      <tp t="s">
        <v>N/A</v>
        <stp/>
        <stp>RHO</stp>
        <stp>.DFEN201120P13</stp>
        <tr r="Q56" s="1"/>
      </tp>
      <tp t="s">
        <v>N/A</v>
        <stp/>
        <stp>RHO</stp>
        <stp>.DFEN201120P14</stp>
        <tr r="Q58" s="1"/>
      </tp>
      <tp t="s">
        <v>N/A</v>
        <stp/>
        <stp>LOW</stp>
        <stp>.SRVR201120C36</stp>
        <tr r="K640" s="1"/>
      </tp>
      <tp t="s">
        <v>N/A</v>
        <stp/>
        <stp>LOW</stp>
        <stp>.SRVR201120C35</stp>
        <tr r="K638" s="1"/>
      </tp>
      <tp t="s">
        <v>N/A</v>
        <stp/>
        <stp>VOLUME</stp>
        <stp>.SSO201120P83</stp>
        <tr r="F652" s="1"/>
      </tp>
      <tp t="s">
        <v>N/A</v>
        <stp/>
        <stp>VOLUME</stp>
        <stp>.SSO201120P82</stp>
        <tr r="F648" s="1"/>
      </tp>
      <tp>
        <v>10</v>
        <stp/>
        <stp>VOLUME</stp>
        <stp>.SSO201120P81</stp>
        <tr r="F644" s="1"/>
      </tp>
      <tp>
        <v>0</v>
        <stp/>
        <stp>VOLUME</stp>
        <stp>.SSO201120P84</stp>
        <tr r="F656" s="1"/>
      </tp>
      <tp t="s">
        <v>N/A</v>
        <stp/>
        <stp>DESCRIPTION</stp>
        <stp>.IGIB201120C61</stp>
        <tr r="B262" s="1"/>
      </tp>
      <tp>
        <v>1.61</v>
        <stp/>
        <stp>ASK</stp>
        <stp>.KWEB201120P74</stp>
        <tr r="I403" s="1"/>
      </tp>
      <tp t="s">
        <v>N/A</v>
        <stp/>
        <stp>ASK</stp>
        <stp>.KWEB201120P73</stp>
        <tr r="I401" s="1"/>
      </tp>
      <tp t="s">
        <v>N/A</v>
        <stp/>
        <stp>ASK</stp>
        <stp>.KWEB201120P72</stp>
        <tr r="I399" s="1"/>
      </tp>
      <tp t="s">
        <v>N/A</v>
        <stp/>
        <stp>STRIKE</stp>
        <stp>.XHB201120P56</stp>
        <tr r="W786" s="1"/>
      </tp>
      <tp t="s">
        <v>N/A</v>
        <stp/>
        <stp>STRIKE</stp>
        <stp>.XHB201120P55</stp>
        <tr r="W782" s="1"/>
      </tp>
      <tp>
        <v>1.45</v>
        <stp/>
        <stp>BID</stp>
        <stp>.KWEB201120P74</stp>
        <tr r="H403" s="1"/>
      </tp>
      <tp t="s">
        <v>N/A</v>
        <stp/>
        <stp>BID</stp>
        <stp>.KWEB201120P73</stp>
        <tr r="H401" s="1"/>
      </tp>
      <tp t="s">
        <v>N/A</v>
        <stp/>
        <stp>BID</stp>
        <stp>.KWEB201120P72</stp>
        <tr r="H399" s="1"/>
      </tp>
      <tp>
        <v>777</v>
        <stp/>
        <stp>VOLUME</stp>
        <stp>.RSX201120P22</stp>
        <tr r="F514" s="1"/>
      </tp>
      <tp t="s">
        <v>N/A</v>
        <stp/>
        <stp>DESCRIPTION</stp>
        <stp>.VCIT201120C96</stp>
        <tr r="B702" s="1"/>
      </tp>
      <tp>
        <v>1.2</v>
        <stp/>
        <stp>LOW</stp>
        <stp>.DFEN201120P14</stp>
        <tr r="K58" s="1"/>
      </tp>
      <tp>
        <v>0.38</v>
        <stp/>
        <stp>LOW</stp>
        <stp>.DFEN201120P13</stp>
        <tr r="K56" s="1"/>
      </tp>
      <tp t="s">
        <v>N/A</v>
        <stp/>
        <stp>RHO</stp>
        <stp>.SRVR201120C35</stp>
        <tr r="Q638" s="1"/>
      </tp>
      <tp t="s">
        <v>N/A</v>
        <stp/>
        <stp>RHO</stp>
        <stp>.SRVR201120C36</stp>
        <tr r="Q640" s="1"/>
      </tp>
      <tp t="s">
        <v>N/A</v>
        <stp/>
        <stp>DESCRIPTION</stp>
        <stp>.VGIT201120C70</stp>
        <tr r="B719" s="1"/>
      </tp>
      <tp>
        <v>0.6</v>
        <stp/>
        <stp>BID</stp>
        <stp>.DFEN201120P13</stp>
        <tr r="H56" s="1"/>
      </tp>
      <tp>
        <v>1.2</v>
        <stp/>
        <stp>BID</stp>
        <stp>.DFEN201120P14</stp>
        <tr r="H58" s="1"/>
      </tp>
      <tp>
        <v>0.7</v>
        <stp/>
        <stp>ASK</stp>
        <stp>.DFEN201120P13</stp>
        <tr r="I56" s="1"/>
      </tp>
      <tp>
        <v>1.4</v>
        <stp/>
        <stp>ASK</stp>
        <stp>.DFEN201120P14</stp>
        <tr r="I58" s="1"/>
      </tp>
      <tp t="s">
        <v>N/A</v>
        <stp/>
        <stp>LOW</stp>
        <stp>.KWEB201120P73</stp>
        <tr r="K401" s="1"/>
      </tp>
      <tp t="s">
        <v>N/A</v>
        <stp/>
        <stp>LOW</stp>
        <stp>.KWEB201120P72</stp>
        <tr r="K399" s="1"/>
      </tp>
      <tp>
        <v>1.01</v>
        <stp/>
        <stp>LOW</stp>
        <stp>.KWEB201120P74</stp>
        <tr r="K403" s="1"/>
      </tp>
      <tp t="s">
        <v>N/A</v>
        <stp/>
        <stp>DESCRIPTION</stp>
        <stp>.DRIP201120C45</stp>
        <tr r="B82" s="1"/>
      </tp>
      <tp t="s">
        <v>N/A</v>
        <stp/>
        <stp>INTRINSIC</stp>
        <stp>.ACWI201120P85</stp>
        <tr r="R9" s="1"/>
      </tp>
      <tp t="s">
        <v>N/A</v>
        <stp/>
        <stp>INTRINSIC</stp>
        <stp>.ACWI201120P86</stp>
        <tr r="R11" s="1"/>
      </tp>
      <tp t="s">
        <v>N/A</v>
        <stp/>
        <stp>PROB_OF_EXPIRING</stp>
        <stp>.FXI201120C47</stp>
        <tr r="T189" s="1"/>
      </tp>
      <tp t="s">
        <v>N/A</v>
        <stp/>
        <stp>PROB_OF_EXPIRING</stp>
        <stp>.FXI201120C48</stp>
        <tr r="T193" s="1"/>
      </tp>
      <tp t="s">
        <v>N/A</v>
        <stp/>
        <stp>INTRINSIC</stp>
        <stp>.INDA201120C36</stp>
        <tr r="R281" s="1"/>
      </tp>
      <tp t="s">
        <v>N/A</v>
        <stp/>
        <stp>PROB_OF_EXPIRING</stp>
        <stp>.PXH201120C20</stp>
        <tr r="T460" s="1"/>
      </tp>
      <tp t="s">
        <v>N/A</v>
        <stp/>
        <stp>PROB_OF_TOUCHING</stp>
        <stp>.KRE201120C46</stp>
        <tr r="V389" s="1"/>
      </tp>
      <tp t="s">
        <v>N/A</v>
        <stp/>
        <stp>PROB_OF_TOUCHING</stp>
        <stp>.KRE201120C47</stp>
        <tr r="V393" s="1"/>
      </tp>
      <tp t="s">
        <v>N/A</v>
        <stp/>
        <stp>PROB_OF_EXPIRING</stp>
        <stp>.PXH201120C19</stp>
        <tr r="T458" s="1"/>
      </tp>
      <tp t="s">
        <v>N/A</v>
        <stp/>
        <stp>IMPL_VOL</stp>
        <stp>.SSO201120C82</stp>
        <tr r="D647" s="1"/>
      </tp>
      <tp t="s">
        <v>N/A</v>
        <stp/>
        <stp>IMPL_VOL</stp>
        <stp>.SSO201120C83</stp>
        <tr r="D651" s="1"/>
      </tp>
      <tp t="s">
        <v>N/A</v>
        <stp/>
        <stp>IMPL_VOL</stp>
        <stp>.SSO201120C81</stp>
        <tr r="D643" s="1"/>
      </tp>
      <tp t="s">
        <v>N/A</v>
        <stp/>
        <stp>IMPL_VOL</stp>
        <stp>.SSO201120C84</stp>
        <tr r="D655" s="1"/>
      </tp>
      <tp t="s">
        <v>N/A</v>
        <stp/>
        <stp>EXTRINSIC</stp>
        <stp>.XLRE201120C37</stp>
        <tr r="S847" s="1"/>
      </tp>
      <tp t="s">
        <v>N/A</v>
        <stp/>
        <stp>VOLUME</stp>
        <stp>.IWD201120P130</stp>
        <tr r="F339" s="1"/>
      </tp>
      <tp>
        <v>1113</v>
        <stp/>
        <stp>VOLUME</stp>
        <stp>.LQD201120P135</stp>
        <tr r="F408" s="1"/>
      </tp>
      <tp>
        <v>1</v>
        <stp/>
        <stp>VOLUME</stp>
        <stp>.IWD201120C130</stp>
        <tr r="F338" s="1"/>
      </tp>
      <tp t="s">
        <v>N/A</v>
        <stp/>
        <stp>VOLUME</stp>
        <stp>.LQD201120C135</stp>
        <tr r="F407" s="1"/>
      </tp>
      <tp t="s">
        <v>N/A</v>
        <stp/>
        <stp>VOLUME</stp>
        <stp>.IWD201120P129</stp>
        <tr r="F337" s="1"/>
      </tp>
      <tp t="s">
        <v>N/A</v>
        <stp/>
        <stp>VOLUME</stp>
        <stp>.IWD201120C129</stp>
        <tr r="F336" s="1"/>
      </tp>
      <tp t="s">
        <v>N/A</v>
        <stp/>
        <stp>VOLUME</stp>
        <stp>.IWD201120P128</stp>
        <tr r="F335" s="1"/>
      </tp>
      <tp t="s">
        <v>N/A</v>
        <stp/>
        <stp>VOLUME</stp>
        <stp>.IWD201120C128</stp>
        <tr r="F334" s="1"/>
      </tp>
      <tp t="s">
        <v>N/A</v>
        <stp/>
        <stp>PROB_OF_EXPIRING</stp>
        <stp>.DXD201120C14</stp>
        <tr r="T92" s="1"/>
      </tp>
      <tp t="s">
        <v>N/A</v>
        <stp/>
        <stp>EXTRINSIC</stp>
        <stp>.DGRO201120C43</stp>
        <tr r="S60" s="1"/>
      </tp>
      <tp>
        <v>5</v>
        <stp/>
        <stp>VOLUME</stp>
        <stp>.QLD201120C101</stp>
        <tr r="F473" s="1"/>
      </tp>
      <tp>
        <v>5</v>
        <stp/>
        <stp>VOLUME</stp>
        <stp>.QLD201120P101</stp>
        <tr r="F474" s="1"/>
      </tp>
      <tp>
        <v>6</v>
        <stp/>
        <stp>VOLUME</stp>
        <stp>.QLD201120C100</stp>
        <tr r="F471" s="1"/>
      </tp>
      <tp>
        <v>4</v>
        <stp/>
        <stp>VOLUME</stp>
        <stp>.QLD201120P100</stp>
        <tr r="F472" s="1"/>
      </tp>
      <tp t="s">
        <v>N/A</v>
        <stp/>
        <stp>PROB_OTM</stp>
        <stp>.XOP201120P47</stp>
        <tr r="U891" s="1"/>
      </tp>
      <tp t="s">
        <v>N/A</v>
        <stp/>
        <stp>PROB_OTM</stp>
        <stp>.XOP201120P48</stp>
        <tr r="U895" s="1"/>
      </tp>
      <tp t="s">
        <v>N/A</v>
        <stp/>
        <stp>PROB_OTM</stp>
        <stp>.XOP201120P49</stp>
        <tr r="U899" s="1"/>
      </tp>
      <tp t="s">
        <v>N/A</v>
        <stp/>
        <stp>STRIKE</stp>
        <stp>.MJ201120P13</stp>
        <tr r="W425" s="1"/>
      </tp>
      <tp t="s">
        <v>N/A</v>
        <stp/>
        <stp>PROB_OF_TOUCHING</stp>
        <stp>.TAN201120P73</stp>
        <tr r="V663" s="1"/>
      </tp>
      <tp t="s">
        <v>N/A</v>
        <stp/>
        <stp>PROB_OF_TOUCHING</stp>
        <stp>.TAN201120P76</stp>
        <tr r="V675" s="1"/>
      </tp>
      <tp t="s">
        <v>N/A</v>
        <stp/>
        <stp>PROB_OF_TOUCHING</stp>
        <stp>.TAN201120P77</stp>
        <tr r="V679" s="1"/>
      </tp>
      <tp t="s">
        <v>N/A</v>
        <stp/>
        <stp>PROB_OF_TOUCHING</stp>
        <stp>.TAN201120P74</stp>
        <tr r="V667" s="1"/>
      </tp>
      <tp t="s">
        <v>N/A</v>
        <stp/>
        <stp>PROB_OF_TOUCHING</stp>
        <stp>.TAN201120P75</stp>
        <tr r="V671" s="1"/>
      </tp>
      <tp t="s">
        <v>N/A</v>
        <stp/>
        <stp>PROB_OF_TOUCHING</stp>
        <stp>.XRT201120C54</stp>
        <tr r="V903" s="1"/>
      </tp>
      <tp t="s">
        <v>N/A</v>
        <stp/>
        <stp>PROB_OF_TOUCHING</stp>
        <stp>.XRT201120C55</stp>
        <tr r="V907" s="1"/>
      </tp>
      <tp t="s">
        <v>N/A</v>
        <stp/>
        <stp>INTRINSIC</stp>
        <stp>.SPDW201120C32</stp>
        <tr r="R579" s="1"/>
      </tp>
      <tp t="s">
        <v>N/A</v>
        <stp/>
        <stp>OPEN_INT</stp>
        <stp>.EZU201120P42</stp>
        <tr r="G179" s="1"/>
      </tp>
      <tp t="s">
        <v>N/A</v>
        <stp/>
        <stp>OPEN_INT</stp>
        <stp>.BZQ201120P12</stp>
        <tr r="G53" s="1"/>
      </tp>
      <tp t="s">
        <v>N/A</v>
        <stp/>
        <stp>IMPL_VOL</stp>
        <stp>.RSX201120C22</stp>
        <tr r="D513" s="1"/>
      </tp>
      <tp t="s">
        <v>N/A</v>
        <stp/>
        <stp>INTRINSIC</stp>
        <stp>.INDY201120C38</stp>
        <tr r="R286" s="1"/>
      </tp>
      <tp t="s">
        <v>N/A</v>
        <stp/>
        <stp>INTRINSIC</stp>
        <stp>.ACWX201120P50</stp>
        <tr r="R14" s="1"/>
      </tp>
      <tp>
        <v>1.67</v>
        <stp/>
        <stp>BID</stp>
        <stp>.IBB201120P138.5</stp>
        <tr r="H232" s="1"/>
      </tp>
      <tp>
        <v>6.75</v>
        <stp/>
        <stp>ASK</stp>
        <stp>.SMH201120P198.5</stp>
        <tr r="I577" s="1"/>
      </tp>
      <tp t="s">
        <v>N/A</v>
        <stp/>
        <stp>IMPL_VOL</stp>
        <stp>.IEMG201120P58</stp>
        <tr r="D260" s="1"/>
      </tp>
      <tp t="s">
        <v>N/A</v>
        <stp/>
        <stp>IMPL_VOL</stp>
        <stp>.IEMG201120P57</stp>
        <tr r="D258" s="1"/>
      </tp>
      <tp t="s">
        <v>N/A</v>
        <stp/>
        <stp>PROB_OF_TOUCHING</stp>
        <stp>.SCHD201120P61</stp>
        <tr r="V522" s="1"/>
      </tp>
      <tp t="s">
        <v>N/A</v>
        <stp/>
        <stp>PROB_OF_TOUCHING</stp>
        <stp>.SCHD201120P62</stp>
        <tr r="V524" s="1"/>
      </tp>
      <tp>
        <v>3.75</v>
        <stp/>
        <stp>ASK</stp>
        <stp>.XLY201120P153.5</stp>
        <tr r="I877" s="1"/>
      </tp>
      <tp t="s">
        <v>N/A</v>
        <stp/>
        <stp>PROB_OF_TOUCHING</stp>
        <stp>.MCHI201120P80</stp>
        <tr r="V413" s="1"/>
      </tp>
      <tp t="s">
        <v>N/A</v>
        <stp/>
        <stp>OPEN_INT</stp>
        <stp>.AAXJ201120C83</stp>
        <tr r="G3" s="1"/>
      </tp>
      <tp>
        <v>237</v>
        <stp/>
        <stp>OPEN_INT</stp>
        <stp>.ARKK201120P97</stp>
        <tr r="G27" s="1"/>
      </tp>
      <tp t="s">
        <v>N/A</v>
        <stp/>
        <stp>OPEN_INT</stp>
        <stp>.AAXJ201120C84</stp>
        <tr r="G5" s="1"/>
      </tp>
      <tp>
        <v>145</v>
        <stp/>
        <stp>OPEN_INT</stp>
        <stp>.ARKK201120P99</stp>
        <tr r="G31" s="1"/>
      </tp>
      <tp>
        <v>2200</v>
        <stp/>
        <stp>OPEN_INT</stp>
        <stp>.ARKK201120P98</stp>
        <tr r="G29" s="1"/>
      </tp>
      <tp t="s">
        <v>N/A</v>
        <stp/>
        <stp>PROB_OF_TOUCHING</stp>
        <stp>.SCHE201120P29</stp>
        <tr r="V527" s="1"/>
      </tp>
      <tp t="s">
        <v>N/A</v>
        <stp/>
        <stp>PROB_OF_TOUCHING</stp>
        <stp>.SPHD201120P36</stp>
        <tr r="V583" s="1"/>
      </tp>
      <tp t="s">
        <v>N/A</v>
        <stp/>
        <stp>PROB_OF_TOUCHING</stp>
        <stp>.SCHF201120P34</stp>
        <tr r="V530" s="1"/>
      </tp>
      <tp t="s">
        <v>N/A</v>
        <stp/>
        <stp>VOLUME</stp>
        <stp>.VCLT201120P107</stp>
        <tr r="F706" s="1"/>
      </tp>
      <tp t="s">
        <v>N/A</v>
        <stp/>
        <stp>VOLUME</stp>
        <stp>.VCLT201120C107</stp>
        <tr r="F705" s="1"/>
      </tp>
      <tp t="s">
        <v>N/A</v>
        <stp/>
        <stp>RHO</stp>
        <stp>.IBB201120P139.5</stp>
        <tr r="Q236" s="1"/>
      </tp>
      <tp t="s">
        <v>N/A</v>
        <stp/>
        <stp>RHO</stp>
        <stp>.IEF201120P119.5</stp>
        <tr r="Q250" s="1"/>
      </tp>
      <tp>
        <v>619</v>
        <stp/>
        <stp>OPEN_INT</stp>
        <stp>.GDXJ201120C54</stp>
        <tr r="G211" s="1"/>
      </tp>
      <tp>
        <v>111</v>
        <stp/>
        <stp>OPEN_INT</stp>
        <stp>.GDXJ201120C53</stp>
        <tr r="G207" s="1"/>
      </tp>
      <tp>
        <v>65</v>
        <stp/>
        <stp>OPEN_INT</stp>
        <stp>.GDXJ201120C52</stp>
        <tr r="G203" s="1"/>
      </tp>
      <tp>
        <v>2.52</v>
        <stp/>
        <stp>ASK</stp>
        <stp>.XBI201120P123.5</stp>
        <tr r="I771" s="1"/>
      </tp>
      <tp t="s">
        <v>N/A</v>
        <stp/>
        <stp>DESCRIPTION</stp>
        <stp>.IWM201120C172.5</stp>
        <tr r="B352" s="1"/>
      </tp>
      <tp t="s">
        <v>N/A</v>
        <stp/>
        <stp>PROB_OF_TOUCHING</stp>
        <stp>.ASHR201120P38</stp>
        <tr r="V47" s="1"/>
      </tp>
      <tp t="s">
        <v>N/A</v>
        <stp/>
        <stp>ASK</stp>
        <stp>.XLY201120C153.5</stp>
        <tr r="I876" s="1"/>
      </tp>
      <tp t="s">
        <v>N/A</v>
        <stp/>
        <stp>IMPL_VOL</stp>
        <stp>.USMV201120P67</stp>
        <tr r="D700" s="1"/>
      </tp>
      <tp t="s">
        <v>N/A</v>
        <stp/>
        <stp>BID</stp>
        <stp>.IBB201120C138.5</stp>
        <tr r="H231" s="1"/>
      </tp>
      <tp>
        <v>1.42</v>
        <stp/>
        <stp>ASK</stp>
        <stp>.SMH201120C198.5</stp>
        <tr r="I576" s="1"/>
      </tp>
      <tp t="s">
        <v>N/A</v>
        <stp/>
        <stp>PROB_OTM</stp>
        <stp>.JETS201120P20</stp>
        <tr r="U379" s="1"/>
      </tp>
      <tp t="s">
        <v>N/A</v>
        <stp/>
        <stp>PROB_OF_TOUCHING</stp>
        <stp>.SCHP201120P61</stp>
        <tr r="V533" s="1"/>
      </tp>
      <tp t="s">
        <v>N/A</v>
        <stp/>
        <stp>RHO</stp>
        <stp>.IBB201120C139.5</stp>
        <tr r="Q235" s="1"/>
      </tp>
      <tp>
        <v>2.6</v>
        <stp/>
        <stp>ASK</stp>
        <stp>.XBI201120C123.5</stp>
        <tr r="I770" s="1"/>
      </tp>
      <tp t="s">
        <v>N/A</v>
        <stp/>
        <stp>DESCRIPTION</stp>
        <stp>.IWM201120P172.5</stp>
        <tr r="B353" s="1"/>
      </tp>
      <tp t="s">
        <v>N/A</v>
        <stp/>
        <stp>RHO</stp>
        <stp>.IEF201120C119.5</stp>
        <tr r="Q249" s="1"/>
      </tp>
      <tp t="s">
        <v>N/A</v>
        <stp/>
        <stp>THETA</stp>
        <stp>.XLU201120C66</stp>
        <tr r="O850" s="1"/>
      </tp>
      <tp t="s">
        <v>N/A</v>
        <stp/>
        <stp>THETA</stp>
        <stp>.XLU201120C67</stp>
        <tr r="O854" s="1"/>
      </tp>
      <tp>
        <v>0</v>
        <stp/>
        <stp>GAMMA</stp>
        <stp>TLT</stp>
        <tr r="N689" s="1"/>
      </tp>
      <tp t="s">
        <v>N/A</v>
        <stp/>
        <stp>GAMMA</stp>
        <stp>.IVV201120P357.5</stp>
        <tr r="N319" s="1"/>
      </tp>
      <tp t="s">
        <v>N/A</v>
        <stp/>
        <stp>INTRINSIC</stp>
        <stp>.VT201120C87</stp>
        <tr r="R737" s="1"/>
      </tp>
      <tp t="s">
        <v>N/A</v>
        <stp/>
        <stp>INTRINSIC</stp>
        <stp>.VT201120C86</stp>
        <tr r="R735" s="1"/>
      </tp>
      <tp t="s">
        <v>N/A</v>
        <stp/>
        <stp>GAMMA</stp>
        <stp>.IWF201120P227.5</stp>
        <tr r="N344" s="1"/>
      </tp>
      <tp t="s">
        <v>N/A</v>
        <stp/>
        <stp>THETA</stp>
        <stp>.XLP201120C67</stp>
        <tr r="O844" s="1"/>
      </tp>
      <tp>
        <v>0</v>
        <stp/>
        <stp>GAMMA</stp>
        <stp>TIP</stp>
        <tr r="N686" s="1"/>
      </tp>
      <tp>
        <v>1.5</v>
        <stp/>
        <stp>ASK</stp>
        <stp>.GDXJ201120C53.5</stp>
        <tr r="I209" s="1"/>
      </tp>
      <tp>
        <v>1.46</v>
        <stp/>
        <stp>ASK</stp>
        <stp>.GDXJ201120P53.5</stp>
        <tr r="I210" s="1"/>
      </tp>
      <tp t="s">
        <v>N/A</v>
        <stp/>
        <stp>DELTA</stp>
        <stp>.IVW201120C61.25</stp>
        <tr r="M331" s="1"/>
      </tp>
      <tp t="s">
        <v>N/A</v>
        <stp/>
        <stp>EXTRINSIC</stp>
        <stp>.VT201120C87</stp>
        <tr r="S737" s="1"/>
      </tp>
      <tp t="s">
        <v>N/A</v>
        <stp/>
        <stp>EXTRINSIC</stp>
        <stp>.VT201120C86</stp>
        <tr r="S735" s="1"/>
      </tp>
      <tp t="s">
        <v>N/A</v>
        <stp/>
        <stp>GAMMA</stp>
        <stp>.XLU201120P66</stp>
        <tr r="N851" s="1"/>
      </tp>
      <tp t="s">
        <v>N/A</v>
        <stp/>
        <stp>GAMMA</stp>
        <stp>.XLU201120P67</stp>
        <tr r="N855" s="1"/>
      </tp>
      <tp t="s">
        <v>N/A</v>
        <stp/>
        <stp>DELTA</stp>
        <stp>.XOP201120P49</stp>
        <tr r="M899" s="1"/>
      </tp>
      <tp t="s">
        <v>N/A</v>
        <stp/>
        <stp>DELTA</stp>
        <stp>.XOP201120P48</stp>
        <tr r="M895" s="1"/>
      </tp>
      <tp t="s">
        <v>N/A</v>
        <stp/>
        <stp>DELTA</stp>
        <stp>.XOP201120P47</stp>
        <tr r="M891" s="1"/>
      </tp>
      <tp t="s">
        <v>N/A</v>
        <stp/>
        <stp>THETA</stp>
        <stp>.IVW201120P61.25</stp>
        <tr r="O332" s="1"/>
      </tp>
      <tp t="s">
        <v>N/A</v>
        <stp/>
        <stp>THETA</stp>
        <stp>.SMH201120P194.5</stp>
        <tr r="O561" s="1"/>
      </tp>
      <tp>
        <v>0</v>
        <stp/>
        <stp>GAMMA</stp>
        <stp>TBT</stp>
        <tr r="N683" s="1"/>
      </tp>
      <tp>
        <v>0</v>
        <stp/>
        <stp>GAMMA</stp>
        <stp>TBF</stp>
        <tr r="N680" s="1"/>
      </tp>
      <tp t="s">
        <v>N/A</v>
        <stp/>
        <stp>GAMMA</stp>
        <stp>.XLP201120P67</stp>
        <tr r="N845" s="1"/>
      </tp>
      <tp t="s">
        <v>N/A</v>
        <stp/>
        <stp>VEGA</stp>
        <stp>.QUAL201120P112</stp>
        <tr r="P504" s="1"/>
      </tp>
      <tp t="s">
        <v>N/A</v>
        <stp/>
        <stp>VEGA</stp>
        <stp>.QUAL201120C112</stp>
        <tr r="P503" s="1"/>
      </tp>
      <tp t="s">
        <v>N/A</v>
        <stp/>
        <stp>VEGA</stp>
        <stp>.QUAL201120P110</stp>
        <tr r="P500" s="1"/>
      </tp>
      <tp t="s">
        <v>N/A</v>
        <stp/>
        <stp>VEGA</stp>
        <stp>.QUAL201120C110</stp>
        <tr r="P499" s="1"/>
      </tp>
      <tp t="s">
        <v>N/A</v>
        <stp/>
        <stp>VEGA</stp>
        <stp>.QUAL201120P111</stp>
        <tr r="P502" s="1"/>
      </tp>
      <tp t="s">
        <v>N/A</v>
        <stp/>
        <stp>VEGA</stp>
        <stp>.QUAL201120C111</stp>
        <tr r="P501" s="1"/>
      </tp>
      <tp t="s">
        <v>N/A</v>
        <stp/>
        <stp>DELTA</stp>
        <stp>.SMH201120C194.5</stp>
        <tr r="M560" s="1"/>
      </tp>
      <tp>
        <v>0</v>
        <stp/>
        <stp>GAMMA</stp>
        <stp>TAN</stp>
        <tr r="N659" s="1"/>
      </tp>
      <tp t="s">
        <v>N/A</v>
        <stp/>
        <stp>THETA</stp>
        <stp>.XLI201120C86</stp>
        <tr r="O822" s="1"/>
      </tp>
      <tp t="s">
        <v>N/A</v>
        <stp/>
        <stp>THETA</stp>
        <stp>.XLI201120C84</stp>
        <tr r="O814" s="1"/>
      </tp>
      <tp t="s">
        <v>N/A</v>
        <stp/>
        <stp>THETA</stp>
        <stp>.XLI201120C85</stp>
        <tr r="O818" s="1"/>
      </tp>
      <tp t="s">
        <v>N/A</v>
        <stp/>
        <stp>THETA</stp>
        <stp>.XLE201120C34</stp>
        <tr r="O806" s="1"/>
      </tp>
      <tp t="s">
        <v>N/A</v>
        <stp/>
        <stp>GAMMA</stp>
        <stp>.IWF201120C227.5</stp>
        <tr r="N343" s="1"/>
      </tp>
      <tp t="s">
        <v>N/A</v>
        <stp/>
        <stp>THETA</stp>
        <stp>.XLC201120C63</stp>
        <tr r="O797" s="1"/>
      </tp>
      <tp t="s">
        <v>N/A</v>
        <stp/>
        <stp>THETA</stp>
        <stp>.XLB201120C70</stp>
        <tr r="O794" s="1"/>
      </tp>
      <tp t="s">
        <v>N/A</v>
        <stp/>
        <stp>THETA</stp>
        <stp>.XLC201120C64</stp>
        <tr r="O801" s="1"/>
      </tp>
      <tp t="s">
        <v>N/A</v>
        <stp/>
        <stp>GAMMA</stp>
        <stp>.IVV201120C357.5</stp>
        <tr r="N318" s="1"/>
      </tp>
      <tp t="s">
        <v>N/A</v>
        <stp/>
        <stp>GAMMA</stp>
        <stp>.QLD201120P98</stp>
        <tr r="N468" s="1"/>
      </tp>
      <tp t="s">
        <v>N/A</v>
        <stp/>
        <stp>GAMMA</stp>
        <stp>.QLD201120P99</stp>
        <tr r="N470" s="1"/>
      </tp>
      <tp t="s">
        <v>N/A</v>
        <stp/>
        <stp>THETA</stp>
        <stp>.XLF201120C27</stp>
        <tr r="O811" s="1"/>
      </tp>
      <tp t="s">
        <v>N/A</v>
        <stp/>
        <stp>THETA</stp>
        <stp>.ILF201120C25</stp>
        <tr r="O278" s="1"/>
      </tp>
      <tp t="s">
        <v>N/A</v>
        <stp/>
        <stp>THETA</stp>
        <stp>.XLB201120C69</stp>
        <tr r="O790" s="1"/>
      </tp>
      <tp t="s">
        <v>N/A</v>
        <stp/>
        <stp>GAMMA</stp>
        <stp>.QLD201120P96</stp>
        <tr r="N464" s="1"/>
      </tp>
      <tp t="s">
        <v>N/A</v>
        <stp/>
        <stp>GAMMA</stp>
        <stp>.QLD201120P97</stp>
        <tr r="N466" s="1"/>
      </tp>
      <tp t="s">
        <v>N/A</v>
        <stp/>
        <stp>THETA</stp>
        <stp>.IVW201120C61.25</stp>
        <tr r="O331" s="1"/>
      </tp>
      <tp t="s">
        <v>N/A</v>
        <stp/>
        <stp>DELTA</stp>
        <stp>.IVW201120P61.25</stp>
        <tr r="M332" s="1"/>
      </tp>
      <tp t="s">
        <v>N/A</v>
        <stp/>
        <stp>GAMMA</stp>
        <stp>.XLI201120P86</stp>
        <tr r="N823" s="1"/>
      </tp>
      <tp t="s">
        <v>N/A</v>
        <stp/>
        <stp>GAMMA</stp>
        <stp>.XLI201120P84</stp>
        <tr r="N815" s="1"/>
      </tp>
      <tp t="s">
        <v>N/A</v>
        <stp/>
        <stp>GAMMA</stp>
        <stp>.XLI201120P85</stp>
        <tr r="N819" s="1"/>
      </tp>
      <tp t="s">
        <v>N/A</v>
        <stp/>
        <stp>DELTA</stp>
        <stp>.SMH201120P194.5</stp>
        <tr r="M561" s="1"/>
      </tp>
      <tp t="s">
        <v>N/A</v>
        <stp/>
        <stp>GAMMA</stp>
        <stp>.XLE201120P34</stp>
        <tr r="N807" s="1"/>
      </tp>
      <tp t="s">
        <v>N/A</v>
        <stp/>
        <stp>GAMMA</stp>
        <stp>.XLB201120P69</stp>
        <tr r="N791" s="1"/>
      </tp>
      <tp t="s">
        <v>N/A</v>
        <stp/>
        <stp>THETA</stp>
        <stp>.QLD201120C96</stp>
        <tr r="O463" s="1"/>
      </tp>
      <tp t="s">
        <v>N/A</v>
        <stp/>
        <stp>THETA</stp>
        <stp>.QLD201120C97</stp>
        <tr r="O465" s="1"/>
      </tp>
      <tp t="s">
        <v>N/A</v>
        <stp/>
        <stp>THETA</stp>
        <stp>.QLD201120C98</stp>
        <tr r="O467" s="1"/>
      </tp>
      <tp t="s">
        <v>N/A</v>
        <stp/>
        <stp>THETA</stp>
        <stp>.QLD201120C99</stp>
        <tr r="O469" s="1"/>
      </tp>
      <tp t="s">
        <v>N/A</v>
        <stp/>
        <stp>GAMMA</stp>
        <stp>.XLF201120P27</stp>
        <tr r="N812" s="1"/>
      </tp>
      <tp t="s">
        <v>N/A</v>
        <stp/>
        <stp>GAMMA</stp>
        <stp>.ILF201120P25</stp>
        <tr r="N279" s="1"/>
      </tp>
      <tp t="s">
        <v>N/A</v>
        <stp/>
        <stp>THETA</stp>
        <stp>.SMH201120C194.5</stp>
        <tr r="O560" s="1"/>
      </tp>
      <tp t="s">
        <v>N/A</v>
        <stp/>
        <stp>GAMMA</stp>
        <stp>.XLC201120P63</stp>
        <tr r="N798" s="1"/>
      </tp>
      <tp t="s">
        <v>N/A</v>
        <stp/>
        <stp>GAMMA</stp>
        <stp>.XLB201120P70</stp>
        <tr r="N795" s="1"/>
      </tp>
      <tp t="s">
        <v>N/A</v>
        <stp/>
        <stp>GAMMA</stp>
        <stp>.XLC201120P64</stp>
        <tr r="N802" s="1"/>
      </tp>
      <tp>
        <v>6.1</v>
        <stp/>
        <stp>ASK</stp>
        <stp>.DRIP201120C45</stp>
        <tr r="I82" s="1"/>
      </tp>
      <tp t="s">
        <v>N/A</v>
        <stp/>
        <stp>RHO</stp>
        <stp>.IGIB201120C61</stp>
        <tr r="Q262" s="1"/>
      </tp>
      <tp>
        <v>4.9000000000000004</v>
        <stp/>
        <stp>BID</stp>
        <stp>.DRIP201120C45</stp>
        <tr r="H82" s="1"/>
      </tp>
      <tp t="s">
        <v>N/A</v>
        <stp/>
        <stp>STRIKE</stp>
        <stp>.EWW201120P39</stp>
        <tr r="W158" s="1"/>
      </tp>
      <tp t="s">
        <v>N/A</v>
        <stp/>
        <stp>DESCRIPTION</stp>
        <stp>.DFEN201120P13</stp>
        <tr r="B56" s="1"/>
      </tp>
      <tp t="s">
        <v>N/A</v>
        <stp/>
        <stp>DESCRIPTION</stp>
        <stp>.DFEN201120P14</stp>
        <tr r="B58" s="1"/>
      </tp>
      <tp>
        <v>0</v>
        <stp/>
        <stp>VOLUME</stp>
        <stp>.QLD201120P99</stp>
        <tr r="F470" s="1"/>
      </tp>
      <tp>
        <v>1</v>
        <stp/>
        <stp>VOLUME</stp>
        <stp>.QLD201120P98</stp>
        <tr r="F468" s="1"/>
      </tp>
      <tp>
        <v>200</v>
        <stp/>
        <stp>VOLUME</stp>
        <stp>.QLD201120P97</stp>
        <tr r="F466" s="1"/>
      </tp>
      <tp>
        <v>2</v>
        <stp/>
        <stp>VOLUME</stp>
        <stp>.QLD201120P96</stp>
        <tr r="F464" s="1"/>
      </tp>
      <tp t="s">
        <v>N/A</v>
        <stp/>
        <stp>BID</stp>
        <stp>.VGIT201120C70</stp>
        <tr r="H719" s="1"/>
      </tp>
      <tp t="s">
        <v>N/A</v>
        <stp/>
        <stp>LOW</stp>
        <stp>.VCIT201120C96</stp>
        <tr r="K702" s="1"/>
      </tp>
      <tp t="s">
        <v>N/A</v>
        <stp/>
        <stp>STRIKE</stp>
        <stp>.EWP201120P26</stp>
        <tr r="W147" s="1"/>
      </tp>
      <tp t="s">
        <v>N/A</v>
        <stp/>
        <stp>STRIKE</stp>
        <stp>.SDS201120C14</stp>
        <tr r="W540" s="1"/>
      </tp>
      <tp t="s">
        <v>N/A</v>
        <stp/>
        <stp>ASK</stp>
        <stp>.VGIT201120C70</stp>
        <tr r="I719" s="1"/>
      </tp>
      <tp t="s">
        <v>N/A</v>
        <stp/>
        <stp>STRIKE</stp>
        <stp>.EWT201120P48</stp>
        <tr r="W150" s="1"/>
      </tp>
      <tp t="s">
        <v>N/A</v>
        <stp/>
        <stp>ASK</stp>
        <stp>.VCIT201120C96</stp>
        <tr r="I702" s="1"/>
      </tp>
      <tp t="s">
        <v>N/A</v>
        <stp/>
        <stp>VOLUME</stp>
        <stp>.XLI201120P86</stp>
        <tr r="F823" s="1"/>
      </tp>
      <tp>
        <v>4</v>
        <stp/>
        <stp>VOLUME</stp>
        <stp>.XLI201120P85</stp>
        <tr r="F819" s="1"/>
      </tp>
      <tp t="s">
        <v>N/A</v>
        <stp/>
        <stp>VOLUME</stp>
        <stp>.XLI201120P84</stp>
        <tr r="F815" s="1"/>
      </tp>
      <tp t="s">
        <v>N/A</v>
        <stp/>
        <stp>PUT_CALL_RATIO</stp>
        <stp>.XOP201120P47</stp>
        <tr r="C891" s="1"/>
      </tp>
      <tp t="s">
        <v>N/A</v>
        <stp/>
        <stp>PUT_CALL_RATIO</stp>
        <stp>.XOP201120P49</stp>
        <tr r="C899" s="1"/>
      </tp>
      <tp t="s">
        <v>N/A</v>
        <stp/>
        <stp>PUT_CALL_RATIO</stp>
        <stp>.XOP201120P48</stp>
        <tr r="C895" s="1"/>
      </tp>
      <tp t="s">
        <v>N/A</v>
        <stp/>
        <stp>STRIKE</stp>
        <stp>.EWY201120P73</stp>
        <tr r="W169" s="1"/>
      </tp>
      <tp t="s">
        <v>N/A</v>
        <stp/>
        <stp>STRIKE</stp>
        <stp>.EWY201120P72</stp>
        <tr r="W165" s="1"/>
      </tp>
      <tp t="s">
        <v>N/A</v>
        <stp/>
        <stp>BID</stp>
        <stp>.VCIT201120C96</stp>
        <tr r="H702" s="1"/>
      </tp>
      <tp t="s">
        <v>N/A</v>
        <stp/>
        <stp>LOW</stp>
        <stp>.VGIT201120C70</stp>
        <tr r="K719" s="1"/>
      </tp>
      <tp>
        <v>2.5499999999999998</v>
        <stp/>
        <stp>LOW</stp>
        <stp>.DRIP201120C45</stp>
        <tr r="K82" s="1"/>
      </tp>
      <tp t="s">
        <v>N/A</v>
        <stp/>
        <stp>VOLUME</stp>
        <stp>.XLC201120P63</stp>
        <tr r="F798" s="1"/>
      </tp>
      <tp t="s">
        <v>N/A</v>
        <stp/>
        <stp>VOLUME</stp>
        <stp>.XLB201120P70</stp>
        <tr r="F795" s="1"/>
      </tp>
      <tp t="s">
        <v>N/A</v>
        <stp/>
        <stp>VOLUME</stp>
        <stp>.XLC201120P64</stp>
        <tr r="F802" s="1"/>
      </tp>
      <tp t="s">
        <v>N/A</v>
        <stp/>
        <stp>STRIKE</stp>
        <stp>.GDX201120C37</stp>
        <tr r="W198" s="1"/>
      </tp>
      <tp>
        <v>12</v>
        <stp/>
        <stp>VOLUME</stp>
        <stp>.XLB201120P69</stp>
        <tr r="F791" s="1"/>
      </tp>
      <tp>
        <v>1679</v>
        <stp/>
        <stp>VOLUME</stp>
        <stp>.XLF201120P27</stp>
        <tr r="F812" s="1"/>
      </tp>
      <tp t="s">
        <v>N/A</v>
        <stp/>
        <stp>VOLUME</stp>
        <stp>.ILF201120P25</stp>
        <tr r="F279" s="1"/>
      </tp>
      <tp t="s">
        <v>N/A</v>
        <stp/>
        <stp>RHO</stp>
        <stp>.NAIL201120C45</stp>
        <tr r="Q441" s="1"/>
      </tp>
      <tp t="s">
        <v>N/A</v>
        <stp/>
        <stp>RHO</stp>
        <stp>.NAIL201120C44</stp>
        <tr r="Q439" s="1"/>
      </tp>
      <tp t="s">
        <v>N/A</v>
        <stp/>
        <stp>RHO</stp>
        <stp>.NAIL201120C47</stp>
        <tr r="Q445" s="1"/>
      </tp>
      <tp t="s">
        <v>N/A</v>
        <stp/>
        <stp>RHO</stp>
        <stp>.NAIL201120C46</stp>
        <tr r="Q443" s="1"/>
      </tp>
      <tp t="s">
        <v>N/A</v>
        <stp/>
        <stp>RHO</stp>
        <stp>.NAIL201120C49</stp>
        <tr r="Q449" s="1"/>
      </tp>
      <tp t="s">
        <v>N/A</v>
        <stp/>
        <stp>RHO</stp>
        <stp>.NAIL201120C48</stp>
        <tr r="Q447" s="1"/>
      </tp>
      <tp t="s">
        <v>N/A</v>
        <stp/>
        <stp>DESCRIPTION</stp>
        <stp>.KWEB201120P74</stp>
        <tr r="B403" s="1"/>
      </tp>
      <tp t="s">
        <v>N/A</v>
        <stp/>
        <stp>DESCRIPTION</stp>
        <stp>.KWEB201120P73</stp>
        <tr r="B401" s="1"/>
      </tp>
      <tp t="s">
        <v>N/A</v>
        <stp/>
        <stp>DESCRIPTION</stp>
        <stp>.KWEB201120P72</stp>
        <tr r="B399" s="1"/>
      </tp>
      <tp t="s">
        <v>N/A</v>
        <stp/>
        <stp>STRIKE</stp>
        <stp>.EWZ201120P32</stp>
        <tr r="W176" s="1"/>
      </tp>
      <tp t="s">
        <v>N/A</v>
        <stp/>
        <stp>RHO</stp>
        <stp>.ARKW201120P116</stp>
        <tr r="Q36" s="1"/>
      </tp>
      <tp t="s">
        <v>N/A</v>
        <stp/>
        <stp>RHO</stp>
        <stp>.ARKW201120C116</stp>
        <tr r="Q35" s="1"/>
      </tp>
      <tp t="s">
        <v>N/A</v>
        <stp/>
        <stp>RHO</stp>
        <stp>.ARKW201120P117</stp>
        <tr r="Q38" s="1"/>
      </tp>
      <tp t="s">
        <v>N/A</v>
        <stp/>
        <stp>RHO</stp>
        <stp>.ARKW201120C117</stp>
        <tr r="Q37" s="1"/>
      </tp>
      <tp t="s">
        <v>N/A</v>
        <stp/>
        <stp>RHO</stp>
        <stp>.ARKW201120P118</stp>
        <tr r="Q40" s="1"/>
      </tp>
      <tp t="s">
        <v>N/A</v>
        <stp/>
        <stp>RHO</stp>
        <stp>.ARKW201120C118</stp>
        <tr r="Q39" s="1"/>
      </tp>
      <tp t="s">
        <v>N/A</v>
        <stp/>
        <stp>RHO</stp>
        <stp>.ARKW201120P119</stp>
        <tr r="Q42" s="1"/>
      </tp>
      <tp t="s">
        <v>N/A</v>
        <stp/>
        <stp>RHO</stp>
        <stp>.ARKW201120C119</stp>
        <tr r="Q41" s="1"/>
      </tp>
      <tp>
        <v>404</v>
        <stp/>
        <stp>VOLUME</stp>
        <stp>.XLE201120P34</stp>
        <tr r="F807" s="1"/>
      </tp>
      <tp>
        <v>1.65</v>
        <stp/>
        <stp>LOW</stp>
        <stp>.NAIL201120C46</stp>
        <tr r="K443" s="1"/>
      </tp>
      <tp>
        <v>1.5</v>
        <stp/>
        <stp>LOW</stp>
        <stp>.NAIL201120C47</stp>
        <tr r="K445" s="1"/>
      </tp>
      <tp>
        <v>2.2000000000000002</v>
        <stp/>
        <stp>LOW</stp>
        <stp>.NAIL201120C44</stp>
        <tr r="K439" s="1"/>
      </tp>
      <tp>
        <v>2</v>
        <stp/>
        <stp>LOW</stp>
        <stp>.NAIL201120C45</stp>
        <tr r="K441" s="1"/>
      </tp>
      <tp>
        <v>1.18</v>
        <stp/>
        <stp>LOW</stp>
        <stp>.NAIL201120C48</stp>
        <tr r="K447" s="1"/>
      </tp>
      <tp>
        <v>1</v>
        <stp/>
        <stp>LOW</stp>
        <stp>.NAIL201120C49</stp>
        <tr r="K449" s="1"/>
      </tp>
      <tp t="s">
        <v>N/A</v>
        <stp/>
        <stp>ASK</stp>
        <stp>.IGIB201120C61</stp>
        <tr r="I262" s="1"/>
      </tp>
      <tp t="s">
        <v>N/A</v>
        <stp/>
        <stp>BID</stp>
        <stp>.IGIB201120C61</stp>
        <tr r="H262" s="1"/>
      </tp>
      <tp t="s">
        <v>N/A</v>
        <stp/>
        <stp>RHO</stp>
        <stp>.DRIP201120C45</stp>
        <tr r="Q82" s="1"/>
      </tp>
      <tp t="s">
        <v>N/A</v>
        <stp/>
        <stp>STRIKE</stp>
        <stp>.EWG201120P30</stp>
        <tr r="W128" s="1"/>
      </tp>
      <tp t="s">
        <v>N/A</v>
        <stp/>
        <stp>STRIKE</stp>
        <stp>.EWA201120P22</stp>
        <tr r="W122" s="1"/>
      </tp>
      <tp t="s">
        <v>N/A</v>
        <stp/>
        <stp>RHO</stp>
        <stp>.VGIT201120C70</stp>
        <tr r="Q719" s="1"/>
      </tp>
      <tp t="s">
        <v>N/A</v>
        <stp/>
        <stp>STRIKE</stp>
        <stp>.EWC201120P29</stp>
        <tr r="W125" s="1"/>
      </tp>
      <tp t="s">
        <v>N/A</v>
        <stp/>
        <stp>STRIKE</stp>
        <stp>.RWM201120P29</stp>
        <tr r="W519" s="1"/>
      </tp>
      <tp t="s">
        <v>N/A</v>
        <stp/>
        <stp>DESCRIPTION</stp>
        <stp>.SRVR201120C36</stp>
        <tr r="B640" s="1"/>
      </tp>
      <tp t="s">
        <v>N/A</v>
        <stp/>
        <stp>DESCRIPTION</stp>
        <stp>.SRVR201120C35</stp>
        <tr r="B638" s="1"/>
      </tp>
      <tp>
        <v>0</v>
        <stp/>
        <stp>VOLUME</stp>
        <stp>.XLU201120P67</stp>
        <tr r="F855" s="1"/>
      </tp>
      <tp>
        <v>1017</v>
        <stp/>
        <stp>VOLUME</stp>
        <stp>.XLU201120P66</stp>
        <tr r="F851" s="1"/>
      </tp>
      <tp t="s">
        <v>N/A</v>
        <stp/>
        <stp>RHO</stp>
        <stp>.VCIT201120C96</stp>
        <tr r="Q702" s="1"/>
      </tp>
      <tp t="s">
        <v>N/A</v>
        <stp/>
        <stp>STRIKE</stp>
        <stp>.EWJ201120P64</stp>
        <tr r="W141" s="1"/>
      </tp>
      <tp t="s">
        <v>N/A</v>
        <stp/>
        <stp>STRIKE</stp>
        <stp>.EWJ201120P63</stp>
        <tr r="W137" s="1"/>
      </tp>
      <tp t="s">
        <v>N/A</v>
        <stp/>
        <stp>LOW</stp>
        <stp>.IGIB201120C61</stp>
        <tr r="K262" s="1"/>
      </tp>
      <tp t="s">
        <v>N/A</v>
        <stp/>
        <stp>STRIKE</stp>
        <stp>.EWI201120P27</stp>
        <tr r="W134" s="1"/>
      </tp>
      <tp t="s">
        <v>N/A</v>
        <stp/>
        <stp>STRIKE</stp>
        <stp>.VWO201120P47</stp>
        <tr r="W752" s="1"/>
      </tp>
      <tp>
        <v>1.35</v>
        <stp/>
        <stp>ASK</stp>
        <stp>.NAIL201120C48</stp>
        <tr r="I447" s="1"/>
      </tp>
      <tp>
        <v>1.1000000000000001</v>
        <stp/>
        <stp>ASK</stp>
        <stp>.NAIL201120C49</stp>
        <tr r="I449" s="1"/>
      </tp>
      <tp>
        <v>2</v>
        <stp/>
        <stp>ASK</stp>
        <stp>.NAIL201120C46</stp>
        <tr r="I443" s="1"/>
      </tp>
      <tp>
        <v>1.7</v>
        <stp/>
        <stp>ASK</stp>
        <stp>.NAIL201120C47</stp>
        <tr r="I445" s="1"/>
      </tp>
      <tp>
        <v>2.85</v>
        <stp/>
        <stp>ASK</stp>
        <stp>.NAIL201120C44</stp>
        <tr r="I439" s="1"/>
      </tp>
      <tp>
        <v>2.4</v>
        <stp/>
        <stp>ASK</stp>
        <stp>.NAIL201120C45</stp>
        <tr r="I441" s="1"/>
      </tp>
      <tp t="s">
        <v>N/A</v>
        <stp/>
        <stp>STRIKE</stp>
        <stp>.EWH201120P24</stp>
        <tr r="W131" s="1"/>
      </tp>
      <tp>
        <v>2.2999999999999998</v>
        <stp/>
        <stp>BID</stp>
        <stp>.NAIL201120C44</stp>
        <tr r="H439" s="1"/>
      </tp>
      <tp>
        <v>1.9</v>
        <stp/>
        <stp>BID</stp>
        <stp>.NAIL201120C45</stp>
        <tr r="H441" s="1"/>
      </tp>
      <tp>
        <v>1.5</v>
        <stp/>
        <stp>BID</stp>
        <stp>.NAIL201120C46</stp>
        <tr r="H443" s="1"/>
      </tp>
      <tp>
        <v>1.25</v>
        <stp/>
        <stp>BID</stp>
        <stp>.NAIL201120C47</stp>
        <tr r="H445" s="1"/>
      </tp>
      <tp>
        <v>1</v>
        <stp/>
        <stp>BID</stp>
        <stp>.NAIL201120C48</stp>
        <tr r="H447" s="1"/>
      </tp>
      <tp>
        <v>0.8</v>
        <stp/>
        <stp>BID</stp>
        <stp>.NAIL201120C49</stp>
        <tr r="H449" s="1"/>
      </tp>
      <tp>
        <v>2</v>
        <stp/>
        <stp>VOLUME</stp>
        <stp>.XLP201120P67</stp>
        <tr r="F845" s="1"/>
      </tp>
      <tp t="s">
        <v>N/A</v>
        <stp/>
        <stp>STRIKE</stp>
        <stp>.EWL201120P43</stp>
        <tr r="W144" s="1"/>
      </tp>
      <tp t="s">
        <v>N/A</v>
        <stp/>
        <stp>IMPL_VOL</stp>
        <stp>.XLI201120C86</stp>
        <tr r="D822" s="1"/>
      </tp>
      <tp t="s">
        <v>N/A</v>
        <stp/>
        <stp>OPEN_INT</stp>
        <stp>.FVD201120C35</stp>
        <tr r="G186" s="1"/>
      </tp>
      <tp t="s">
        <v>N/A</v>
        <stp/>
        <stp>IMPL_VOL</stp>
        <stp>.XLI201120C84</stp>
        <tr r="D814" s="1"/>
      </tp>
      <tp t="s">
        <v>N/A</v>
        <stp/>
        <stp>IMPL_VOL</stp>
        <stp>.XLI201120C85</stp>
        <tr r="D818" s="1"/>
      </tp>
      <tp t="s">
        <v>N/A</v>
        <stp/>
        <stp>INTRINSIC</stp>
        <stp>.MCHI201120P80</stp>
        <tr r="R413" s="1"/>
      </tp>
      <tp t="s">
        <v>N/A</v>
        <stp/>
        <stp>PROB_OF_EXPIRING</stp>
        <stp>.VGK201120C57</stp>
        <tr r="T722" s="1"/>
      </tp>
      <tp t="s">
        <v>N/A</v>
        <stp/>
        <stp>OPEN_INT</stp>
        <stp>.VEA201120P44</stp>
        <tr r="G709" s="1"/>
      </tp>
      <tp t="s">
        <v>N/A</v>
        <stp/>
        <stp>PROB_OF_TOUCHING</stp>
        <stp>.XME201120C27</stp>
        <tr r="V887" s="1"/>
      </tp>
      <tp t="s">
        <v>N/A</v>
        <stp/>
        <stp>EXTRINSIC</stp>
        <stp>.IEMG201120C58</stp>
        <tr r="S259" s="1"/>
      </tp>
      <tp t="s">
        <v>N/A</v>
        <stp/>
        <stp>EXTRINSIC</stp>
        <stp>.IEMG201120C57</stp>
        <tr r="S257" s="1"/>
      </tp>
      <tp t="s">
        <v>N/A</v>
        <stp/>
        <stp>INTRINSIC</stp>
        <stp>.SCHD201120P62</stp>
        <tr r="R524" s="1"/>
      </tp>
      <tp t="s">
        <v>N/A</v>
        <stp/>
        <stp>INTRINSIC</stp>
        <stp>.SCHD201120P61</stp>
        <tr r="R522" s="1"/>
      </tp>
      <tp t="s">
        <v>N/A</v>
        <stp/>
        <stp>VOLUME</stp>
        <stp>.MDY201120C385</stp>
        <tr r="F419" s="1"/>
      </tp>
      <tp>
        <v>0</v>
        <stp/>
        <stp>VOLUME</stp>
        <stp>.MDY201120P385</stp>
        <tr r="F420" s="1"/>
      </tp>
      <tp t="s">
        <v>N/A</v>
        <stp/>
        <stp>VOLUME</stp>
        <stp>.MDY201120C380</stp>
        <tr r="F415" s="1"/>
      </tp>
      <tp t="s">
        <v>N/A</v>
        <stp/>
        <stp>VOLUME</stp>
        <stp>.MDY201120P380</stp>
        <tr r="F416" s="1"/>
      </tp>
      <tp t="s">
        <v>N/A</v>
        <stp/>
        <stp>IMPL_VOL</stp>
        <stp>.XLC201120C63</stp>
        <tr r="D797" s="1"/>
      </tp>
      <tp t="s">
        <v>N/A</v>
        <stp/>
        <stp>IMPL_VOL</stp>
        <stp>.XLB201120C70</stp>
        <tr r="D794" s="1"/>
      </tp>
      <tp t="s">
        <v>N/A</v>
        <stp/>
        <stp>IMPL_VOL</stp>
        <stp>.XLC201120C64</stp>
        <tr r="D801" s="1"/>
      </tp>
      <tp t="s">
        <v>N/A</v>
        <stp/>
        <stp>PROB_OTM</stp>
        <stp>.SCZ201120C63</stp>
        <tr r="U535" s="1"/>
      </tp>
      <tp t="s">
        <v>N/A</v>
        <stp/>
        <stp>INTRINSIC</stp>
        <stp>.SCHF201120P34</stp>
        <tr r="R530" s="1"/>
      </tp>
      <tp t="s">
        <v>N/A</v>
        <stp/>
        <stp>IMPL_VOL</stp>
        <stp>.XLF201120C27</stp>
        <tr r="D811" s="1"/>
      </tp>
      <tp t="s">
        <v>N/A</v>
        <stp/>
        <stp>IMPL_VOL</stp>
        <stp>.ILF201120C25</stp>
        <tr r="D278" s="1"/>
      </tp>
      <tp t="s">
        <v>N/A</v>
        <stp/>
        <stp>IMPL_VOL</stp>
        <stp>.XLB201120C69</stp>
        <tr r="D790" s="1"/>
      </tp>
      <tp t="s">
        <v>N/A</v>
        <stp/>
        <stp>INTRINSIC</stp>
        <stp>.SPHD201120P36</stp>
        <tr r="R583" s="1"/>
      </tp>
      <tp t="s">
        <v>N/A</v>
        <stp/>
        <stp>INTRINSIC</stp>
        <stp>.SCHE201120P29</stp>
        <tr r="R527" s="1"/>
      </tp>
      <tp t="s">
        <v>N/A</v>
        <stp/>
        <stp>IMPL_VOL</stp>
        <stp>.XLE201120C34</stp>
        <tr r="D806" s="1"/>
      </tp>
      <tp t="s">
        <v>N/A</v>
        <stp/>
        <stp>PROB_OF_EXPIRING</stp>
        <stp>.ITB201120P55</stp>
        <tr r="T292" s="1"/>
      </tp>
      <tp t="s">
        <v>N/A</v>
        <stp/>
        <stp>PROB_OF_EXPIRING</stp>
        <stp>.ITB201120P56</stp>
        <tr r="T296" s="1"/>
      </tp>
      <tp t="s">
        <v>N/A</v>
        <stp/>
        <stp>IMPL_VOL</stp>
        <stp>.QLD201120C96</stp>
        <tr r="D463" s="1"/>
      </tp>
      <tp t="s">
        <v>N/A</v>
        <stp/>
        <stp>IMPL_VOL</stp>
        <stp>.QLD201120C97</stp>
        <tr r="D465" s="1"/>
      </tp>
      <tp t="s">
        <v>N/A</v>
        <stp/>
        <stp>IMPL_VOL</stp>
        <stp>.QLD201120C98</stp>
        <tr r="D467" s="1"/>
      </tp>
      <tp t="s">
        <v>N/A</v>
        <stp/>
        <stp>IMPL_VOL</stp>
        <stp>.QLD201120C99</stp>
        <tr r="D469" s="1"/>
      </tp>
      <tp>
        <v>230</v>
        <stp/>
        <stp>VOLUME</stp>
        <stp>.SPY201118P359</stp>
        <tr r="F604" s="1"/>
      </tp>
      <tp>
        <v>188</v>
        <stp/>
        <stp>VOLUME</stp>
        <stp>.SPY201120P361</stp>
        <tr r="F628" s="1"/>
      </tp>
      <tp>
        <v>1836</v>
        <stp/>
        <stp>VOLUME</stp>
        <stp>.SPY201118C359</stp>
        <tr r="F603" s="1"/>
      </tp>
      <tp>
        <v>2959</v>
        <stp/>
        <stp>VOLUME</stp>
        <stp>.SPY201120C361</stp>
        <tr r="F627" s="1"/>
      </tp>
      <tp>
        <v>182</v>
        <stp/>
        <stp>VOLUME</stp>
        <stp>.SPY201118P358</stp>
        <tr r="F602" s="1"/>
      </tp>
      <tp>
        <v>2044</v>
        <stp/>
        <stp>VOLUME</stp>
        <stp>.SPY201120P360</stp>
        <tr r="F626" s="1"/>
      </tp>
      <tp>
        <v>1801</v>
        <stp/>
        <stp>VOLUME</stp>
        <stp>.SPY201118C358</stp>
        <tr r="F601" s="1"/>
      </tp>
      <tp>
        <v>16734</v>
        <stp/>
        <stp>VOLUME</stp>
        <stp>.SPY201120C360</stp>
        <tr r="F625" s="1"/>
      </tp>
      <tp>
        <v>4804</v>
        <stp/>
        <stp>VOLUME</stp>
        <stp>.SPY201118P353</stp>
        <tr r="F592" s="1"/>
      </tp>
      <tp>
        <v>2910</v>
        <stp/>
        <stp>VOLUME</stp>
        <stp>.SPY201118C353</stp>
        <tr r="F591" s="1"/>
      </tp>
      <tp>
        <v>672</v>
        <stp/>
        <stp>VOLUME</stp>
        <stp>.SPY201118P357</stp>
        <tr r="F600" s="1"/>
      </tp>
      <tp>
        <v>2921</v>
        <stp/>
        <stp>VOLUME</stp>
        <stp>.SPY201118C357</stp>
        <tr r="F599" s="1"/>
      </tp>
      <tp>
        <v>1509</v>
        <stp/>
        <stp>VOLUME</stp>
        <stp>.SPY201118P356</stp>
        <tr r="F598" s="1"/>
      </tp>
      <tp>
        <v>2848</v>
        <stp/>
        <stp>VOLUME</stp>
        <stp>.SPY201118C356</stp>
        <tr r="F597" s="1"/>
      </tp>
      <tp>
        <v>3059</v>
        <stp/>
        <stp>VOLUME</stp>
        <stp>.SPY201118P355</stp>
        <tr r="F596" s="1"/>
      </tp>
      <tp>
        <v>3702</v>
        <stp/>
        <stp>VOLUME</stp>
        <stp>.SPY201118C355</stp>
        <tr r="F595" s="1"/>
      </tp>
      <tp>
        <v>3577</v>
        <stp/>
        <stp>VOLUME</stp>
        <stp>.SPY201118P354</stp>
        <tr r="F594" s="1"/>
      </tp>
      <tp>
        <v>2283</v>
        <stp/>
        <stp>VOLUME</stp>
        <stp>.SPY201118C354</stp>
        <tr r="F593" s="1"/>
      </tp>
      <tp>
        <v>12325</v>
        <stp/>
        <stp>OPEN_INT</stp>
        <stp>.EEM201120P48</stp>
        <tr r="G98" s="1"/>
      </tp>
      <tp>
        <v>10898</v>
        <stp/>
        <stp>VOLUME</stp>
        <stp>.SPY201120P353</stp>
        <tr r="F610" s="1"/>
      </tp>
      <tp>
        <v>5058</v>
        <stp/>
        <stp>VOLUME</stp>
        <stp>.SPY201120C353</stp>
        <tr r="F609" s="1"/>
      </tp>
      <tp>
        <v>2326</v>
        <stp/>
        <stp>VOLUME</stp>
        <stp>.SPY201120P357</stp>
        <tr r="F618" s="1"/>
      </tp>
      <tp>
        <v>8532</v>
        <stp/>
        <stp>VOLUME</stp>
        <stp>.SPY201120C357</stp>
        <tr r="F617" s="1"/>
      </tp>
      <tp>
        <v>5431</v>
        <stp/>
        <stp>VOLUME</stp>
        <stp>.SPY201120P356</stp>
        <tr r="F616" s="1"/>
      </tp>
      <tp>
        <v>12168</v>
        <stp/>
        <stp>VOLUME</stp>
        <stp>.SPY201120C356</stp>
        <tr r="F615" s="1"/>
      </tp>
      <tp>
        <v>11331</v>
        <stp/>
        <stp>VOLUME</stp>
        <stp>.SPY201120P355</stp>
        <tr r="F614" s="1"/>
      </tp>
      <tp>
        <v>32255</v>
        <stp/>
        <stp>VOLUME</stp>
        <stp>.SPY201120C355</stp>
        <tr r="F613" s="1"/>
      </tp>
      <tp>
        <v>7580</v>
        <stp/>
        <stp>VOLUME</stp>
        <stp>.SPY201120P354</stp>
        <tr r="F612" s="1"/>
      </tp>
      <tp>
        <v>6179</v>
        <stp/>
        <stp>VOLUME</stp>
        <stp>.SPY201120C354</stp>
        <tr r="F611" s="1"/>
      </tp>
      <tp>
        <v>1444</v>
        <stp/>
        <stp>VOLUME</stp>
        <stp>.SPY201120P359</stp>
        <tr r="F624" s="1"/>
      </tp>
      <tp>
        <v>3581</v>
        <stp/>
        <stp>VOLUME</stp>
        <stp>.SPY201120C359</stp>
        <tr r="F623" s="1"/>
      </tp>
      <tp>
        <v>123</v>
        <stp/>
        <stp>VOLUME</stp>
        <stp>.SPY201118P360</stp>
        <tr r="F606" s="1"/>
      </tp>
      <tp>
        <v>1030</v>
        <stp/>
        <stp>VOLUME</stp>
        <stp>.SPY201120P358</stp>
        <tr r="F622" s="1"/>
      </tp>
      <tp>
        <v>2577</v>
        <stp/>
        <stp>VOLUME</stp>
        <stp>.SPY201118C360</stp>
        <tr r="F605" s="1"/>
      </tp>
      <tp>
        <v>5906</v>
        <stp/>
        <stp>VOLUME</stp>
        <stp>.SPY201120C358</stp>
        <tr r="F621" s="1"/>
      </tp>
      <tp t="s">
        <v>N/A</v>
        <stp/>
        <stp>INTRINSIC</stp>
        <stp>.ASHR201120P38</stp>
        <tr r="R47" s="1"/>
      </tp>
      <tp t="s">
        <v>N/A</v>
        <stp/>
        <stp>EXTRINSIC</stp>
        <stp>.USMV201120C67</stp>
        <tr r="S699" s="1"/>
      </tp>
      <tp t="s">
        <v>N/A</v>
        <stp/>
        <stp>IMPL_VOL</stp>
        <stp>.XLU201120C66</stp>
        <tr r="D850" s="1"/>
      </tp>
      <tp t="s">
        <v>N/A</v>
        <stp/>
        <stp>IMPL_VOL</stp>
        <stp>.XLU201120C67</stp>
        <tr r="D854" s="1"/>
      </tp>
      <tp t="s">
        <v>N/A</v>
        <stp/>
        <stp>STRIKE</stp>
        <stp>.IVE201120C122</stp>
        <tr r="W305" s="1"/>
      </tp>
      <tp t="s">
        <v>N/A</v>
        <stp/>
        <stp>STRIKE</stp>
        <stp>.IVE201120P122</stp>
        <tr r="W306" s="1"/>
      </tp>
      <tp t="s">
        <v>N/A</v>
        <stp/>
        <stp>STRIKE</stp>
        <stp>.IVE201120C123</stp>
        <tr r="W307" s="1"/>
      </tp>
      <tp t="s">
        <v>N/A</v>
        <stp/>
        <stp>STRIKE</stp>
        <stp>.IVE201120P123</stp>
        <tr r="W308" s="1"/>
      </tp>
      <tp t="s">
        <v>N/A</v>
        <stp/>
        <stp>STRIKE</stp>
        <stp>.IVE201120C121</stp>
        <tr r="W303" s="1"/>
      </tp>
      <tp t="s">
        <v>N/A</v>
        <stp/>
        <stp>STRIKE</stp>
        <stp>.IVE201120P121</stp>
        <tr r="W304" s="1"/>
      </tp>
      <tp t="s">
        <v>N/A</v>
        <stp/>
        <stp>STRIKE</stp>
        <stp>.IWF201120C225</stp>
        <tr r="W341" s="1"/>
      </tp>
      <tp t="s">
        <v>N/A</v>
        <stp/>
        <stp>STRIKE</stp>
        <stp>.IWF201120P225</stp>
        <tr r="W342" s="1"/>
      </tp>
      <tp t="s">
        <v>N/A</v>
        <stp/>
        <stp>PROB_OF_EXPIRING</stp>
        <stp>.PGX201120C15</stp>
        <tr r="T455" s="1"/>
      </tp>
      <tp t="s">
        <v>N/A</v>
        <stp/>
        <stp>OPEN_INT</stp>
        <stp>.DVY201120C91</stp>
        <tr r="G85" s="1"/>
      </tp>
      <tp t="s">
        <v>N/A</v>
        <stp/>
        <stp>OPEN_INT</stp>
        <stp>.DVY201120C92</stp>
        <tr r="G87" s="1"/>
      </tp>
      <tp t="s">
        <v>N/A</v>
        <stp/>
        <stp>OPEN_INT</stp>
        <stp>.DVY201120C93</stp>
        <tr r="G89" s="1"/>
      </tp>
      <tp t="s">
        <v>N/A</v>
        <stp/>
        <stp>IMPL_VOL</stp>
        <stp>.XLP201120C67</stp>
        <tr r="D844" s="1"/>
      </tp>
      <tp t="s">
        <v>N/A</v>
        <stp/>
        <stp>OPEN_INT</stp>
        <stp>.VEU201120P55</stp>
        <tr r="G712" s="1"/>
      </tp>
      <tp t="s">
        <v>N/A</v>
        <stp/>
        <stp>INTRINSIC</stp>
        <stp>.SCHP201120P61</stp>
        <tr r="R533" s="1"/>
      </tp>
      <tp>
        <v>7</v>
        <stp/>
        <stp>OPEN_INT</stp>
        <stp>.FEZ201120P40</stp>
        <tr r="G184" s="1"/>
      </tp>
      <tp t="s">
        <v>N/A</v>
        <stp/>
        <stp>PROB_OF_TOUCHING</stp>
        <stp>.INDA201120C36</stp>
        <tr r="V281" s="1"/>
      </tp>
      <tp t="s">
        <v>N/A</v>
        <stp/>
        <stp>PROB_OF_TOUCHING</stp>
        <stp>.ACWI201120P86</stp>
        <tr r="V11" s="1"/>
      </tp>
      <tp t="s">
        <v>N/A</v>
        <stp/>
        <stp>PROB_OF_TOUCHING</stp>
        <stp>.ACWI201120P85</stp>
        <tr r="V9" s="1"/>
      </tp>
      <tp t="s">
        <v>N/A</v>
        <stp/>
        <stp>IMPL_VOL</stp>
        <stp>.XLRE201120P37</stp>
        <tr r="D848" s="1"/>
      </tp>
      <tp t="s">
        <v>N/A</v>
        <stp/>
        <stp>DESCRIPTION</stp>
        <stp>.SMH201120P197.5</stp>
        <tr r="B573" s="1"/>
      </tp>
      <tp t="s">
        <v>N/A</v>
        <stp/>
        <stp>PROB_OTM</stp>
        <stp>.AAXJ201120C83</stp>
        <tr r="U3" s="1"/>
      </tp>
      <tp t="s">
        <v>N/A</v>
        <stp/>
        <stp>PROB_OTM</stp>
        <stp>.ARKK201120P97</stp>
        <tr r="U27" s="1"/>
      </tp>
      <tp t="s">
        <v>N/A</v>
        <stp/>
        <stp>PROB_OTM</stp>
        <stp>.AAXJ201120C84</stp>
        <tr r="U5" s="1"/>
      </tp>
      <tp t="s">
        <v>N/A</v>
        <stp/>
        <stp>PROB_OTM</stp>
        <stp>.ARKK201120P99</stp>
        <tr r="U31" s="1"/>
      </tp>
      <tp t="s">
        <v>N/A</v>
        <stp/>
        <stp>PROB_OTM</stp>
        <stp>.ARKK201120P98</stp>
        <tr r="U29" s="1"/>
      </tp>
      <tp t="s">
        <v>N/A</v>
        <stp/>
        <stp>IMPL_VOL</stp>
        <stp>.DGRO201120P43</stp>
        <tr r="D61" s="1"/>
      </tp>
      <tp t="s">
        <v>N/A</v>
        <stp/>
        <stp>PROB_OF_EXPIRING</stp>
        <stp>.ITOT201120C81</stp>
        <tr r="T300" s="1"/>
      </tp>
      <tp t="s">
        <v>N/A</v>
        <stp/>
        <stp>PROB_OF_EXPIRING</stp>
        <stp>.ITOT201120C80</stp>
        <tr r="T298" s="1"/>
      </tp>
      <tp t="s">
        <v>SPY 100 20 NOV 20 357.5 CALL</v>
        <stp/>
        <stp>DESCRIPTION</stp>
        <stp>.SPY201120C357.5</stp>
        <tr r="B619" s="1"/>
      </tp>
      <tp t="s">
        <v>N/A</v>
        <stp/>
        <stp>PROB_OTM</stp>
        <stp>.GDXJ201120C54</stp>
        <tr r="U211" s="1"/>
      </tp>
      <tp t="s">
        <v>N/A</v>
        <stp/>
        <stp>PROB_OTM</stp>
        <stp>.GDXJ201120C53</stp>
        <tr r="U207" s="1"/>
      </tp>
      <tp t="s">
        <v>N/A</v>
        <stp/>
        <stp>PROB_OTM</stp>
        <stp>.GDXJ201120C52</stp>
        <tr r="U203" s="1"/>
      </tp>
      <tp>
        <v>1.8</v>
        <stp/>
        <stp>LOW</stp>
        <stp>.XLK201120C120.5</stp>
        <tr r="K829" s="1"/>
      </tp>
      <tp>
        <v>1.21</v>
        <stp/>
        <stp>LOW</stp>
        <stp>.XLV201120C110.5</stp>
        <tr r="K859" s="1"/>
      </tp>
      <tp>
        <v>2310</v>
        <stp/>
        <stp>OPEN_INT</stp>
        <stp>.JETS201120P20</stp>
        <tr r="G379" s="1"/>
      </tp>
      <tp>
        <v>295</v>
        <stp/>
        <stp>VOLUME</stp>
        <stp>.ARKK201120P100</stp>
        <tr r="F33" s="1"/>
      </tp>
      <tp>
        <v>224</v>
        <stp/>
        <stp>VOLUME</stp>
        <stp>.ARKK201120C100</stp>
        <tr r="F32" s="1"/>
      </tp>
      <tp t="s">
        <v>N/A</v>
        <stp/>
        <stp>STRIKE</stp>
        <stp>.ARKW201120C116</stp>
        <tr r="W35" s="1"/>
      </tp>
      <tp t="s">
        <v>N/A</v>
        <stp/>
        <stp>STRIKE</stp>
        <stp>.ARKW201120P116</stp>
        <tr r="W36" s="1"/>
      </tp>
      <tp t="s">
        <v>N/A</v>
        <stp/>
        <stp>STRIKE</stp>
        <stp>.ARKW201120C117</stp>
        <tr r="W37" s="1"/>
      </tp>
      <tp t="s">
        <v>N/A</v>
        <stp/>
        <stp>STRIKE</stp>
        <stp>.ARKW201120P117</stp>
        <tr r="W38" s="1"/>
      </tp>
      <tp t="s">
        <v>N/A</v>
        <stp/>
        <stp>STRIKE</stp>
        <stp>.ARKW201120C118</stp>
        <tr r="W39" s="1"/>
      </tp>
      <tp t="s">
        <v>N/A</v>
        <stp/>
        <stp>STRIKE</stp>
        <stp>.ARKW201120P118</stp>
        <tr r="W40" s="1"/>
      </tp>
      <tp t="s">
        <v>N/A</v>
        <stp/>
        <stp>STRIKE</stp>
        <stp>.ARKW201120C119</stp>
        <tr r="W41" s="1"/>
      </tp>
      <tp t="s">
        <v>N/A</v>
        <stp/>
        <stp>STRIKE</stp>
        <stp>.ARKW201120P119</stp>
        <tr r="W42" s="1"/>
      </tp>
      <tp t="s">
        <v>N/A</v>
        <stp/>
        <stp>DESCRIPTION</stp>
        <stp>.SMH201120C197.5</stp>
        <tr r="B572" s="1"/>
      </tp>
      <tp t="s">
        <v>N/A</v>
        <stp/>
        <stp>PROB_OF_TOUCHING</stp>
        <stp>.SPDW201120C32</stp>
        <tr r="V579" s="1"/>
      </tp>
      <tp t="s">
        <v>N/A</v>
        <stp/>
        <stp>PROB_OF_TOUCHING</stp>
        <stp>.INDY201120C38</stp>
        <tr r="V286" s="1"/>
      </tp>
      <tp t="s">
        <v>SPY 100 20 NOV 20 357.5 PUT</v>
        <stp/>
        <stp>DESCRIPTION</stp>
        <stp>.SPY201120P357.5</stp>
        <tr r="B620" s="1"/>
      </tp>
      <tp>
        <v>1.56</v>
        <stp/>
        <stp>LOW</stp>
        <stp>.XLK201120P120.5</stp>
        <tr r="K830" s="1"/>
      </tp>
      <tp>
        <v>1</v>
        <stp/>
        <stp>LOW</stp>
        <stp>.XLV201120P110.5</stp>
        <tr r="K860" s="1"/>
      </tp>
      <tp t="s">
        <v>N/A</v>
        <stp/>
        <stp>PROB_OF_TOUCHING</stp>
        <stp>.ACWX201120P50</stp>
        <tr r="V14" s="1"/>
      </tp>
      <tp t="s">
        <v>N/A</v>
        <stp/>
        <stp>DELTA</stp>
        <stp>.QQQ201120P287.5</stp>
        <tr r="M481" s="1"/>
      </tp>
      <tp t="s">
        <v>N/A</v>
        <stp/>
        <stp>THETA</stp>
        <stp>.QQQ201120C287.5</stp>
        <tr r="O480" s="1"/>
      </tp>
      <tp t="s">
        <v>N/A</v>
        <stp/>
        <stp>GAMMA</stp>
        <stp>.MDY201120C382.5</stp>
        <tr r="N417" s="1"/>
      </tp>
      <tp t="s">
        <v>N/A</v>
        <stp/>
        <stp>DELTA</stp>
        <stp>.VNQ201120P85</stp>
        <tr r="M728" s="1"/>
      </tp>
      <tp t="s">
        <v>N/A</v>
        <stp/>
        <stp>DELTA</stp>
        <stp>.VNQ201120P84</stp>
        <tr r="M726" s="1"/>
      </tp>
      <tp>
        <v>2.06</v>
        <stp/>
        <stp>ASK</stp>
        <stp>.GDXJ201120C52.5</stp>
        <tr r="I205" s="1"/>
      </tp>
      <tp>
        <v>1.03</v>
        <stp/>
        <stp>ASK</stp>
        <stp>.GDXJ201120P52.5</stp>
        <tr r="I206" s="1"/>
      </tp>
      <tp t="s">
        <v>N/A</v>
        <stp/>
        <stp>THETA</stp>
        <stp>.SMH201120P195.5</stp>
        <tr r="O565" s="1"/>
      </tp>
      <tp t="s">
        <v>N/A</v>
        <stp/>
        <stp>DELTA</stp>
        <stp>.SMH201120C195.5</stp>
        <tr r="M564" s="1"/>
      </tp>
      <tp t="s">
        <v>N/A</v>
        <stp/>
        <stp>THETA</stp>
        <stp>.QQQ201120P287.5</stp>
        <tr r="O481" s="1"/>
      </tp>
      <tp t="s">
        <v>N/A</v>
        <stp/>
        <stp>DELTA</stp>
        <stp>.QQQ201120C287.5</stp>
        <tr r="M480" s="1"/>
      </tp>
      <tp t="s">
        <v>N/A</v>
        <stp/>
        <stp>THETA</stp>
        <stp>.XME201120C27</stp>
        <tr r="O887" s="1"/>
      </tp>
      <tp>
        <v>1</v>
        <stp/>
        <stp>DELTA</stp>
        <stp>TBT</stp>
        <tr r="M683" s="1"/>
      </tp>
      <tp>
        <v>1</v>
        <stp/>
        <stp>DELTA</stp>
        <stp>TBF</stp>
        <tr r="M680" s="1"/>
      </tp>
      <tp t="s">
        <v>N/A</v>
        <stp/>
        <stp>VEGA</stp>
        <stp>.MTUM201120C152</stp>
        <tr r="P433" s="1"/>
      </tp>
      <tp t="s">
        <v>N/A</v>
        <stp/>
        <stp>VEGA</stp>
        <stp>.MTUM201120P152</stp>
        <tr r="P434" s="1"/>
      </tp>
      <tp t="s">
        <v>N/A</v>
        <stp/>
        <stp>VEGA</stp>
        <stp>.MTUM201120C151</stp>
        <tr r="P431" s="1"/>
      </tp>
      <tp t="s">
        <v>N/A</v>
        <stp/>
        <stp>VEGA</stp>
        <stp>.MTUM201120P151</stp>
        <tr r="P432" s="1"/>
      </tp>
      <tp t="s">
        <v>N/A</v>
        <stp/>
        <stp>VEGA</stp>
        <stp>.MTUM201120C150</stp>
        <tr r="P429" s="1"/>
      </tp>
      <tp t="s">
        <v>N/A</v>
        <stp/>
        <stp>VEGA</stp>
        <stp>.MTUM201120P150</stp>
        <tr r="P430" s="1"/>
      </tp>
      <tp t="s">
        <v>N/A</v>
        <stp/>
        <stp>GAMMA</stp>
        <stp>.MDY201120P382.5</stp>
        <tr r="N418" s="1"/>
      </tp>
      <tp>
        <v>1</v>
        <stp/>
        <stp>DELTA</stp>
        <stp>TAN</stp>
        <tr r="M659" s="1"/>
      </tp>
      <tp t="s">
        <v>N/A</v>
        <stp/>
        <stp>VEGA</stp>
        <stp>.MTUM201120C149</stp>
        <tr r="P427" s="1"/>
      </tp>
      <tp t="s">
        <v>N/A</v>
        <stp/>
        <stp>VEGA</stp>
        <stp>.MTUM201120P149</stp>
        <tr r="P428" s="1"/>
      </tp>
      <tp>
        <v>21.96</v>
        <stp/>
        <stp>LAST</stp>
        <stp>BKLN</stp>
        <tr r="E48" s="1"/>
      </tp>
      <tp>
        <v>1</v>
        <stp/>
        <stp>DELTA</stp>
        <stp>TLT</stp>
        <tr r="M689" s="1"/>
      </tp>
      <tp t="s">
        <v>N/A</v>
        <stp/>
        <stp>DELTA</stp>
        <stp>.SMH201120P195.5</stp>
        <tr r="M565" s="1"/>
      </tp>
      <tp t="s">
        <v>N/A</v>
        <stp/>
        <stp>GAMMA</stp>
        <stp>.XME201120P27</stp>
        <tr r="N888" s="1"/>
      </tp>
      <tp>
        <v>1</v>
        <stp/>
        <stp>DELTA</stp>
        <stp>TIP</stp>
        <tr r="M686" s="1"/>
      </tp>
      <tp t="s">
        <v>N/A</v>
        <stp/>
        <stp>THETA</stp>
        <stp>.SMH201120C195.5</stp>
        <tr r="O564" s="1"/>
      </tp>
      <tp>
        <v>0.05</v>
        <stp/>
        <stp>BID</stp>
        <stp>.SCHP201120C61</stp>
        <tr r="H532" s="1"/>
      </tp>
      <tp t="s">
        <v>N/A</v>
        <stp/>
        <stp>RHO</stp>
        <stp>.SCHE201120C29</stp>
        <tr r="Q526" s="1"/>
      </tp>
      <tp t="s">
        <v>N/A</v>
        <stp/>
        <stp>RHO</stp>
        <stp>.SPHD201120C36</stp>
        <tr r="Q582" s="1"/>
      </tp>
      <tp>
        <v>0.25</v>
        <stp/>
        <stp>ASK</stp>
        <stp>.SCHP201120C61</stp>
        <tr r="I532" s="1"/>
      </tp>
      <tp t="s">
        <v>N/A</v>
        <stp/>
        <stp>RHO</stp>
        <stp>.SCHF201120C34</stp>
        <tr r="Q529" s="1"/>
      </tp>
      <tp t="s">
        <v>N/A</v>
        <stp/>
        <stp>RHO</stp>
        <stp>.SCHD201120C61</stp>
        <tr r="Q521" s="1"/>
      </tp>
      <tp>
        <v>0.42</v>
        <stp/>
        <stp>ASK</stp>
        <stp>.ASHR201120C38</stp>
        <tr r="I46" s="1"/>
      </tp>
      <tp t="s">
        <v>N/A</v>
        <stp/>
        <stp>RHO</stp>
        <stp>.SCHD201120C62</stp>
        <tr r="Q523" s="1"/>
      </tp>
      <tp t="s">
        <v>N/A</v>
        <stp/>
        <stp>PUT_CALL_RATIO</stp>
        <stp>.VNQ201120P85</stp>
        <tr r="C728" s="1"/>
      </tp>
      <tp t="s">
        <v>N/A</v>
        <stp/>
        <stp>PUT_CALL_RATIO</stp>
        <stp>.VNQ201120P84</stp>
        <tr r="C726" s="1"/>
      </tp>
      <tp t="s">
        <v>N/A</v>
        <stp/>
        <stp>RHO</stp>
        <stp>.MCHI201120C80</stp>
        <tr r="Q412" s="1"/>
      </tp>
      <tp>
        <v>0.35</v>
        <stp/>
        <stp>BID</stp>
        <stp>.ASHR201120C38</stp>
        <tr r="H46" s="1"/>
      </tp>
      <tp t="s">
        <v>N/A</v>
        <stp/>
        <stp>STRIKE</stp>
        <stp>.VEU201120C55</stp>
        <tr r="W711" s="1"/>
      </tp>
      <tp t="s">
        <v>N/A</v>
        <stp/>
        <stp>STRIKE</stp>
        <stp>.DVY201120P93</stp>
        <tr r="W90" s="1"/>
      </tp>
      <tp t="s">
        <v>N/A</v>
        <stp/>
        <stp>STRIKE</stp>
        <stp>.DVY201120P92</stp>
        <tr r="W88" s="1"/>
      </tp>
      <tp t="s">
        <v>N/A</v>
        <stp/>
        <stp>STRIKE</stp>
        <stp>.DVY201120P91</stp>
        <tr r="W86" s="1"/>
      </tp>
      <tp>
        <v>0.38</v>
        <stp/>
        <stp>LOW</stp>
        <stp>.ASHR201120C38</stp>
        <tr r="K46" s="1"/>
      </tp>
      <tp t="s">
        <v>N/A</v>
        <stp/>
        <stp>DESCRIPTION</stp>
        <stp>.INDA201120P36</stp>
        <tr r="B282" s="1"/>
      </tp>
      <tp t="s">
        <v>N/A</v>
        <stp/>
        <stp>STRIKE</stp>
        <stp>.FEZ201120C40</stp>
        <tr r="W183" s="1"/>
      </tp>
      <tp t="s">
        <v>N/A</v>
        <stp/>
        <stp>DESCRIPTION</stp>
        <stp>.ACWI201120C85</stp>
        <tr r="B8" s="1"/>
      </tp>
      <tp t="s">
        <v>N/A</v>
        <stp/>
        <stp>DESCRIPTION</stp>
        <stp>.ACWI201120C86</stp>
        <tr r="B10" s="1"/>
      </tp>
      <tp>
        <v>0</v>
        <stp/>
        <stp>LOW</stp>
        <stp>.SCHP201120C61</stp>
        <tr r="K532" s="1"/>
      </tp>
      <tp>
        <v>0</v>
        <stp/>
        <stp>VOLUME</stp>
        <stp>.XME201120P27</stp>
        <tr r="F888" s="1"/>
      </tp>
      <tp t="s">
        <v>N/A</v>
        <stp/>
        <stp>ASK</stp>
        <stp>.SCHF201120C34</stp>
        <tr r="I529" s="1"/>
      </tp>
      <tp t="s">
        <v>N/A</v>
        <stp/>
        <stp>RHO</stp>
        <stp>.SCHP201120C61</stp>
        <tr r="Q532" s="1"/>
      </tp>
      <tp t="s">
        <v>N/A</v>
        <stp/>
        <stp>STRIKE</stp>
        <stp>.FVD201120P35</stp>
        <tr r="W187" s="1"/>
      </tp>
      <tp t="s">
        <v>N/A</v>
        <stp/>
        <stp>DESCRIPTION</stp>
        <stp>.INDY201120P38</stp>
        <tr r="B287" s="1"/>
      </tp>
      <tp t="s">
        <v>N/A</v>
        <stp/>
        <stp>BID</stp>
        <stp>.SCHE201120C29</stp>
        <tr r="H526" s="1"/>
      </tp>
      <tp t="s">
        <v>N/A</v>
        <stp/>
        <stp>BID</stp>
        <stp>.SPHD201120C36</stp>
        <tr r="H582" s="1"/>
      </tp>
      <tp t="s">
        <v>N/A</v>
        <stp/>
        <stp>ASK</stp>
        <stp>.SPHD201120C36</stp>
        <tr r="I582" s="1"/>
      </tp>
      <tp t="s">
        <v>N/A</v>
        <stp/>
        <stp>ASK</stp>
        <stp>.SCHE201120C29</stp>
        <tr r="I526" s="1"/>
      </tp>
      <tp t="s">
        <v>N/A</v>
        <stp/>
        <stp>STRIKE</stp>
        <stp>.VEA201120C44</stp>
        <tr r="W708" s="1"/>
      </tp>
      <tp t="s">
        <v>N/A</v>
        <stp/>
        <stp>BID</stp>
        <stp>.SCHF201120C34</stp>
        <tr r="H529" s="1"/>
      </tp>
      <tp>
        <v>1.2</v>
        <stp/>
        <stp>ASK</stp>
        <stp>.MCHI201120C80</stp>
        <tr r="I412" s="1"/>
      </tp>
      <tp t="s">
        <v>N/A</v>
        <stp/>
        <stp>BID</stp>
        <stp>.SCHD201120C61</stp>
        <tr r="H521" s="1"/>
      </tp>
      <tp t="s">
        <v>N/A</v>
        <stp/>
        <stp>BID</stp>
        <stp>.SCHD201120C62</stp>
        <tr r="H523" s="1"/>
      </tp>
      <tp t="s">
        <v>N/A</v>
        <stp/>
        <stp>DESCRIPTION</stp>
        <stp>.ACWX201120C50</stp>
        <tr r="B13" s="1"/>
      </tp>
      <tp>
        <v>1.05</v>
        <stp/>
        <stp>BID</stp>
        <stp>.MCHI201120C80</stp>
        <tr r="H412" s="1"/>
      </tp>
      <tp t="s">
        <v>N/A</v>
        <stp/>
        <stp>ASK</stp>
        <stp>.SCHD201120C62</stp>
        <tr r="I523" s="1"/>
      </tp>
      <tp t="s">
        <v>N/A</v>
        <stp/>
        <stp>ASK</stp>
        <stp>.SCHD201120C61</stp>
        <tr r="I521" s="1"/>
      </tp>
      <tp t="s">
        <v>N/A</v>
        <stp/>
        <stp>RHO</stp>
        <stp>.ASHR201120C38</stp>
        <tr r="Q46" s="1"/>
      </tp>
      <tp t="s">
        <v>N/A</v>
        <stp/>
        <stp>LOW</stp>
        <stp>.MCHI201120C80</stp>
        <tr r="K412" s="1"/>
      </tp>
      <tp t="s">
        <v>N/A</v>
        <stp/>
        <stp>LOW</stp>
        <stp>.SCHD201120C62</stp>
        <tr r="K523" s="1"/>
      </tp>
      <tp t="s">
        <v>N/A</v>
        <stp/>
        <stp>LOW</stp>
        <stp>.SCHD201120C61</stp>
        <tr r="K521" s="1"/>
      </tp>
      <tp t="s">
        <v>N/A</v>
        <stp/>
        <stp>LOW</stp>
        <stp>.SCHF201120C34</stp>
        <tr r="K529" s="1"/>
      </tp>
      <tp t="s">
        <v>N/A</v>
        <stp/>
        <stp>STRIKE</stp>
        <stp>.EEM201120C48</stp>
        <tr r="W97" s="1"/>
      </tp>
      <tp t="s">
        <v>N/A</v>
        <stp/>
        <stp>LOW</stp>
        <stp>.SCHE201120C29</stp>
        <tr r="K526" s="1"/>
      </tp>
      <tp t="s">
        <v>N/A</v>
        <stp/>
        <stp>DESCRIPTION</stp>
        <stp>.SPDW201120P32</stp>
        <tr r="B580" s="1"/>
      </tp>
      <tp t="s">
        <v>N/A</v>
        <stp/>
        <stp>LOW</stp>
        <stp>.SPHD201120C36</stp>
        <tr r="K582" s="1"/>
      </tp>
      <tp t="s">
        <v>N/A</v>
        <stp/>
        <stp>PROB_OF_TOUCHING</stp>
        <stp>.XLF201120C27</stp>
        <tr r="V811" s="1"/>
      </tp>
      <tp t="s">
        <v>N/A</v>
        <stp/>
        <stp>PROB_OF_TOUCHING</stp>
        <stp>.ILF201120C25</stp>
        <tr r="V278" s="1"/>
      </tp>
      <tp t="s">
        <v>N/A</v>
        <stp/>
        <stp>PROB_OF_TOUCHING</stp>
        <stp>.XLB201120C69</stp>
        <tr r="V790" s="1"/>
      </tp>
      <tp t="s">
        <v>N/A</v>
        <stp/>
        <stp>PROB_OF_EXPIRING</stp>
        <stp>.VFH201120C67</stp>
        <tr r="T716" s="1"/>
      </tp>
      <tp t="s">
        <v>N/A</v>
        <stp/>
        <stp>PROB_OF_EXPIRING</stp>
        <stp>.VFH201120C66</stp>
        <tr r="T714" s="1"/>
      </tp>
      <tp t="s">
        <v>N/A</v>
        <stp/>
        <stp>PROB_OF_TOUCHING</stp>
        <stp>.XLC201120C63</stp>
        <tr r="V797" s="1"/>
      </tp>
      <tp t="s">
        <v>N/A</v>
        <stp/>
        <stp>PROB_OF_TOUCHING</stp>
        <stp>.XLB201120C70</stp>
        <tr r="V794" s="1"/>
      </tp>
      <tp t="s">
        <v>N/A</v>
        <stp/>
        <stp>PROB_OF_TOUCHING</stp>
        <stp>.XLC201120C64</stp>
        <tr r="V801" s="1"/>
      </tp>
      <tp t="s">
        <v>N/A</v>
        <stp/>
        <stp>EXTRINSIC</stp>
        <stp>.EMLC201120C32</stp>
        <tr r="S115" s="1"/>
      </tp>
      <tp t="s">
        <v>N/A</v>
        <stp/>
        <stp>PROB_OF_TOUCHING</stp>
        <stp>.XLE201120C34</stp>
        <tr r="V806" s="1"/>
      </tp>
      <tp t="s">
        <v>N/A</v>
        <stp/>
        <stp>EXTRINSIC</stp>
        <stp>.SPLG201120C42</stp>
        <tr r="S585" s="1"/>
      </tp>
      <tp t="s">
        <v>N/A</v>
        <stp/>
        <stp>OPEN_INT</stp>
        <stp>.EWG201120C30</stp>
        <tr r="G127" s="1"/>
      </tp>
      <tp t="s">
        <v>N/A</v>
        <stp/>
        <stp>OPEN_INT</stp>
        <stp>.EWA201120C22</stp>
        <tr r="G121" s="1"/>
      </tp>
      <tp t="s">
        <v>N/A</v>
        <stp/>
        <stp>PROB_OF_TOUCHING</stp>
        <stp>.XLI201120C86</stp>
        <tr r="V822" s="1"/>
      </tp>
      <tp t="s">
        <v>N/A</v>
        <stp/>
        <stp>PROB_OF_TOUCHING</stp>
        <stp>.XLI201120C84</stp>
        <tr r="V814" s="1"/>
      </tp>
      <tp t="s">
        <v>N/A</v>
        <stp/>
        <stp>PROB_OF_TOUCHING</stp>
        <stp>.XLI201120C85</stp>
        <tr r="V818" s="1"/>
      </tp>
      <tp t="s">
        <v>N/A</v>
        <stp/>
        <stp>INTRINSIC</stp>
        <stp>.IGIB201120P61</stp>
        <tr r="R263" s="1"/>
      </tp>
      <tp t="s">
        <v>N/A</v>
        <stp/>
        <stp>IMPL_VOL</stp>
        <stp>.XME201120C27</stp>
        <tr r="D887" s="1"/>
      </tp>
      <tp t="s">
        <v>N/A</v>
        <stp/>
        <stp>OPEN_INT</stp>
        <stp>.EWC201120C29</stp>
        <tr r="G124" s="1"/>
      </tp>
      <tp t="s">
        <v>N/A</v>
        <stp/>
        <stp>EXTRINSIC</stp>
        <stp>.HYLB201120C49</stp>
        <tr r="S226" s="1"/>
      </tp>
      <tp t="s">
        <v>N/A</v>
        <stp/>
        <stp>PROB_OF_EXPIRING</stp>
        <stp>.EFA201120C69</stp>
        <tr r="T102" s="1"/>
      </tp>
      <tp>
        <v>66</v>
        <stp/>
        <stp>OPEN_INT</stp>
        <stp>.RWM201120C29</stp>
        <tr r="G518" s="1"/>
      </tp>
      <tp t="s">
        <v>N/A</v>
        <stp/>
        <stp>PROB_OF_EXPIRING</stp>
        <stp>.EFA201120C70</stp>
        <tr r="T106" s="1"/>
      </tp>
      <tp t="s">
        <v>N/A</v>
        <stp/>
        <stp>PROB_OF_TOUCHING</stp>
        <stp>.QLD201120C96</stp>
        <tr r="V463" s="1"/>
      </tp>
      <tp t="s">
        <v>N/A</v>
        <stp/>
        <stp>PROB_OF_TOUCHING</stp>
        <stp>.QLD201120C97</stp>
        <tr r="V465" s="1"/>
      </tp>
      <tp t="s">
        <v>N/A</v>
        <stp/>
        <stp>PROB_OF_TOUCHING</stp>
        <stp>.QLD201120C98</stp>
        <tr r="V467" s="1"/>
      </tp>
      <tp t="s">
        <v>N/A</v>
        <stp/>
        <stp>PROB_OF_TOUCHING</stp>
        <stp>.QLD201120C99</stp>
        <tr r="V469" s="1"/>
      </tp>
      <tp t="s">
        <v>N/A</v>
        <stp/>
        <stp>INTRINSIC</stp>
        <stp>.NAIL201120P48</stp>
        <tr r="R448" s="1"/>
      </tp>
      <tp t="s">
        <v>N/A</v>
        <stp/>
        <stp>INTRINSIC</stp>
        <stp>.NAIL201120P49</stp>
        <tr r="R450" s="1"/>
      </tp>
      <tp t="s">
        <v>N/A</v>
        <stp/>
        <stp>INTRINSIC</stp>
        <stp>.NAIL201120P46</stp>
        <tr r="R444" s="1"/>
      </tp>
      <tp t="s">
        <v>N/A</v>
        <stp/>
        <stp>INTRINSIC</stp>
        <stp>.NAIL201120P47</stp>
        <tr r="R446" s="1"/>
      </tp>
      <tp t="s">
        <v>N/A</v>
        <stp/>
        <stp>INTRINSIC</stp>
        <stp>.NAIL201120P44</stp>
        <tr r="R440" s="1"/>
      </tp>
      <tp t="s">
        <v>N/A</v>
        <stp/>
        <stp>INTRINSIC</stp>
        <stp>.NAIL201120P45</stp>
        <tr r="R442" s="1"/>
      </tp>
      <tp>
        <v>1350</v>
        <stp/>
        <stp>OPEN_INT</stp>
        <stp>.EWJ201120C63</stp>
        <tr r="G136" s="1"/>
      </tp>
      <tp>
        <v>462</v>
        <stp/>
        <stp>OPEN_INT</stp>
        <stp>.EWJ201120C64</stp>
        <tr r="G140" s="1"/>
      </tp>
      <tp>
        <v>400</v>
        <stp/>
        <stp>OPEN_INT</stp>
        <stp>.EWI201120C27</stp>
        <tr r="G133" s="1"/>
      </tp>
      <tp t="s">
        <v>N/A</v>
        <stp/>
        <stp>OPEN_INT</stp>
        <stp>.VWO201120C47</stp>
        <tr r="G751" s="1"/>
      </tp>
      <tp t="s">
        <v>N/A</v>
        <stp/>
        <stp>PROB_OTM</stp>
        <stp>.TBT201120C17</stp>
        <tr r="U684" s="1"/>
      </tp>
      <tp t="s">
        <v>N/A</v>
        <stp/>
        <stp>OPEN_INT</stp>
        <stp>.EWH201120C24</stp>
        <tr r="G130" s="1"/>
      </tp>
      <tp t="s">
        <v>N/A</v>
        <stp/>
        <stp>EXTRINSIC</stp>
        <stp>.BKLN201120C22</stp>
        <tr r="S49" s="1"/>
      </tp>
      <tp t="s">
        <v>N/A</v>
        <stp/>
        <stp>EXTRINSIC</stp>
        <stp>.ICLN201120C22</stp>
        <tr r="S246" s="1"/>
      </tp>
      <tp t="s">
        <v>N/A</v>
        <stp/>
        <stp>STRIKE</stp>
        <stp>.SH201120P19</stp>
        <tr r="W544" s="1"/>
      </tp>
      <tp t="s">
        <v>N/A</v>
        <stp/>
        <stp>OPEN_INT</stp>
        <stp>.EWL201120C43</stp>
        <tr r="G143" s="1"/>
      </tp>
      <tp t="s">
        <v>N/A</v>
        <stp/>
        <stp>PROB_OF_TOUCHING</stp>
        <stp>.XLP201120C67</stp>
        <tr r="V844" s="1"/>
      </tp>
      <tp t="s">
        <v>N/A</v>
        <stp/>
        <stp>EXTRINSIC</stp>
        <stp>.SPLV201120C55</stp>
        <tr r="S588" s="1"/>
      </tp>
      <tp t="s">
        <v>N/A</v>
        <stp/>
        <stp>INTRINSIC</stp>
        <stp>.VGIT201120P70</stp>
        <tr r="R720" s="1"/>
      </tp>
      <tp>
        <v>929</v>
        <stp/>
        <stp>OPEN_INT</stp>
        <stp>.EWW201120C39</stp>
        <tr r="G157" s="1"/>
      </tp>
      <tp t="s">
        <v>N/A</v>
        <stp/>
        <stp>EXTRINSIC</stp>
        <stp>.AMLP201120C24</stp>
        <tr r="S23" s="1"/>
      </tp>
      <tp t="s">
        <v>N/A</v>
        <stp/>
        <stp>EXTRINSIC</stp>
        <stp>.AMLP201120C23</stp>
        <tr r="S19" s="1"/>
      </tp>
      <tp t="s">
        <v>N/A</v>
        <stp/>
        <stp>STRIKE</stp>
        <stp>.IWD201120C130</stp>
        <tr r="W338" s="1"/>
      </tp>
      <tp t="s">
        <v>N/A</v>
        <stp/>
        <stp>STRIKE</stp>
        <stp>.LQD201120C135</stp>
        <tr r="W407" s="1"/>
      </tp>
      <tp t="s">
        <v>N/A</v>
        <stp/>
        <stp>STRIKE</stp>
        <stp>.IWD201120P130</stp>
        <tr r="W339" s="1"/>
      </tp>
      <tp t="s">
        <v>N/A</v>
        <stp/>
        <stp>STRIKE</stp>
        <stp>.LQD201120P135</stp>
        <tr r="W408" s="1"/>
      </tp>
      <tp t="s">
        <v>N/A</v>
        <stp/>
        <stp>OPEN_INT</stp>
        <stp>.SDS201120P14</stp>
        <tr r="G541" s="1"/>
      </tp>
      <tp t="s">
        <v>N/A</v>
        <stp/>
        <stp>OPEN_INT</stp>
        <stp>.EWP201120C26</stp>
        <tr r="G146" s="1"/>
      </tp>
      <tp t="s">
        <v>N/A</v>
        <stp/>
        <stp>INTRINSIC</stp>
        <stp>.DRIP201120P45</stp>
        <tr r="R83" s="1"/>
      </tp>
      <tp t="s">
        <v>N/A</v>
        <stp/>
        <stp>STRIKE</stp>
        <stp>.IWD201120C128</stp>
        <tr r="W334" s="1"/>
      </tp>
      <tp t="s">
        <v>N/A</v>
        <stp/>
        <stp>STRIKE</stp>
        <stp>.IWD201120P128</stp>
        <tr r="W335" s="1"/>
      </tp>
      <tp t="s">
        <v>N/A</v>
        <stp/>
        <stp>STRIKE</stp>
        <stp>.IWD201120C129</stp>
        <tr r="W336" s="1"/>
      </tp>
      <tp t="s">
        <v>N/A</v>
        <stp/>
        <stp>STRIKE</stp>
        <stp>.IWD201120P129</stp>
        <tr r="W337" s="1"/>
      </tp>
      <tp t="s">
        <v>N/A</v>
        <stp/>
        <stp>PROB_OF_TOUCHING</stp>
        <stp>.XLU201120C66</stp>
        <tr r="V850" s="1"/>
      </tp>
      <tp t="s">
        <v>N/A</v>
        <stp/>
        <stp>PROB_OF_TOUCHING</stp>
        <stp>.XLU201120C67</stp>
        <tr r="V854" s="1"/>
      </tp>
      <tp t="s">
        <v>N/A</v>
        <stp/>
        <stp>OPEN_INT</stp>
        <stp>.EWT201120C48</stp>
        <tr r="G149" s="1"/>
      </tp>
      <tp t="s">
        <v>N/A</v>
        <stp/>
        <stp>STRIKE</stp>
        <stp>.QLD201120P100</stp>
        <tr r="W472" s="1"/>
      </tp>
      <tp t="s">
        <v>N/A</v>
        <stp/>
        <stp>STRIKE</stp>
        <stp>.QLD201120C100</stp>
        <tr r="W471" s="1"/>
      </tp>
      <tp t="s">
        <v>N/A</v>
        <stp/>
        <stp>STRIKE</stp>
        <stp>.QLD201120P101</stp>
        <tr r="W474" s="1"/>
      </tp>
      <tp t="s">
        <v>N/A</v>
        <stp/>
        <stp>STRIKE</stp>
        <stp>.QLD201120C101</stp>
        <tr r="W473" s="1"/>
      </tp>
      <tp t="s">
        <v>N/A</v>
        <stp/>
        <stp>OPEN_INT</stp>
        <stp>.EWY201120C72</stp>
        <tr r="G164" s="1"/>
      </tp>
      <tp t="s">
        <v>N/A</v>
        <stp/>
        <stp>OPEN_INT</stp>
        <stp>.EWY201120C73</stp>
        <tr r="G168" s="1"/>
      </tp>
      <tp>
        <v>29879</v>
        <stp/>
        <stp>OPEN_INT</stp>
        <stp>.GDX201120P37</stp>
        <tr r="G199" s="1"/>
      </tp>
      <tp t="s">
        <v>N/A</v>
        <stp/>
        <stp>INTRINSIC</stp>
        <stp>.VCIT201120P96</stp>
        <tr r="R703" s="1"/>
      </tp>
      <tp t="s">
        <v>N/A</v>
        <stp/>
        <stp>PROB_OF_EXPIRING</stp>
        <stp>.EFV201120C45</stp>
        <tr r="T109" s="1"/>
      </tp>
      <tp>
        <v>14010</v>
        <stp/>
        <stp>OPEN_INT</stp>
        <stp>.EWZ201120C32</stp>
        <tr r="G175" s="1"/>
      </tp>
      <tp t="s">
        <v>N/A</v>
        <stp/>
        <stp>PROB_OTM</stp>
        <stp>.KBE201120C38</stp>
        <tr r="U386" s="1"/>
      </tp>
      <tp t="s">
        <v>N/A</v>
        <stp/>
        <stp>PROB_OTM</stp>
        <stp>.TBF201120C16</stp>
        <tr r="U681" s="1"/>
      </tp>
      <tp t="s">
        <v>N/A</v>
        <stp/>
        <stp>PROB_OF_TOUCHING</stp>
        <stp>.KWEB201120C72</stp>
        <tr r="V398" s="1"/>
      </tp>
      <tp t="s">
        <v>N/A</v>
        <stp/>
        <stp>PROB_OF_TOUCHING</stp>
        <stp>.KWEB201120C73</stp>
        <tr r="V400" s="1"/>
      </tp>
      <tp t="s">
        <v>N/A</v>
        <stp/>
        <stp>PROB_OF_TOUCHING</stp>
        <stp>.KWEB201120C74</stp>
        <tr r="V402" s="1"/>
      </tp>
      <tp t="s">
        <v>N/A</v>
        <stp/>
        <stp>PROB_OTM</stp>
        <stp>.SHYG201120C45</stp>
        <tr r="U549" s="1"/>
      </tp>
      <tp t="s">
        <v>N/A</v>
        <stp/>
        <stp>OPEN_INT</stp>
        <stp>.IEFA201120C66</stp>
        <tr r="G254" s="1"/>
      </tp>
      <tp t="s">
        <v>N/A</v>
        <stp/>
        <stp>OPEN_INT</stp>
        <stp>.IEFA201120C65</stp>
        <tr r="G252" s="1"/>
      </tp>
      <tp t="s">
        <v>N/A</v>
        <stp/>
        <stp>DESCRIPTION</stp>
        <stp>.SMH201120P196.5</stp>
        <tr r="B569" s="1"/>
      </tp>
      <tp t="s">
        <v>N/A</v>
        <stp/>
        <stp>PROB_OTM</stp>
        <stp>.SPYG201120C53</stp>
        <tr r="U632" s="1"/>
      </tp>
      <tp t="s">
        <v>N/A</v>
        <stp/>
        <stp>PROB_OTM</stp>
        <stp>.SPYG201120C52</stp>
        <tr r="U630" s="1"/>
      </tp>
      <tp t="s">
        <v>N/A</v>
        <stp/>
        <stp>EXTRINSIC</stp>
        <stp>.SSO201120C81.5</stp>
        <tr r="S645" s="1"/>
      </tp>
      <tp t="s">
        <v>N/A</v>
        <stp/>
        <stp>IMPL_VOL</stp>
        <stp>.GUSH201120P27</stp>
        <tr r="D217" s="1"/>
      </tp>
      <tp t="s">
        <v>N/A</v>
        <stp/>
        <stp>IMPL_VOL</stp>
        <stp>.GUSH201120P26</stp>
        <tr r="D215" s="1"/>
      </tp>
      <tp t="s">
        <v>N/A</v>
        <stp/>
        <stp>IMPL_VOL</stp>
        <stp>.GUSH201120P28</stp>
        <tr r="D219" s="1"/>
      </tp>
      <tp t="s">
        <v>N/A</v>
        <stp/>
        <stp>INTRINSIC</stp>
        <stp>.SSO201120C81.5</stp>
        <tr r="R645" s="1"/>
      </tp>
      <tp t="s">
        <v>N/A</v>
        <stp/>
        <stp>EXTRINSIC</stp>
        <stp>.SSO201120P81.5</stp>
        <tr r="S646" s="1"/>
      </tp>
      <tp t="s">
        <v>N/A</v>
        <stp/>
        <stp>INTRINSIC</stp>
        <stp>.SSO201120P81.5</stp>
        <tr r="R646" s="1"/>
      </tp>
      <tp t="s">
        <v>N/A</v>
        <stp/>
        <stp>PROB_OF_TOUCHING</stp>
        <stp>.DFEN201120C14</stp>
        <tr r="V57" s="1"/>
      </tp>
      <tp t="s">
        <v>N/A</v>
        <stp/>
        <stp>PROB_OF_TOUCHING</stp>
        <stp>.DFEN201120C13</stp>
        <tr r="V55" s="1"/>
      </tp>
      <tp t="s">
        <v>N/A</v>
        <stp/>
        <stp>OPEN_INT</stp>
        <stp>.EUFN201120C16</stp>
        <tr r="G118" s="1"/>
      </tp>
      <tp>
        <v>1.29</v>
        <stp/>
        <stp>LOW</stp>
        <stp>.XLK201120C121.5</stp>
        <tr r="K833" s="1"/>
      </tp>
      <tp>
        <v>0.82</v>
        <stp/>
        <stp>LOW</stp>
        <stp>.XLV201120C111.5</stp>
        <tr r="K863" s="1"/>
      </tp>
      <tp>
        <v>1.65</v>
        <stp/>
        <stp>LOW</stp>
        <stp>.XLY201120C151.5</stp>
        <tr r="K868" s="1"/>
      </tp>
      <tp t="s">
        <v>N/A</v>
        <stp/>
        <stp>PROB_OTM</stp>
        <stp>.SPYV201120C33</stp>
        <tr r="U635" s="1"/>
      </tp>
      <tp t="s">
        <v>N/A</v>
        <stp/>
        <stp>PROB_OF_TOUCHING</stp>
        <stp>.SRVR201120P35</stp>
        <tr r="V639" s="1"/>
      </tp>
      <tp t="s">
        <v>N/A</v>
        <stp/>
        <stp>PROB_OF_TOUCHING</stp>
        <stp>.SRVR201120P36</stp>
        <tr r="V641" s="1"/>
      </tp>
      <tp t="s">
        <v>N/A</v>
        <stp/>
        <stp>OPEN_INT</stp>
        <stp>.IXUS201120P63</stp>
        <tr r="G362" s="1"/>
      </tp>
      <tp t="s">
        <v>N/A</v>
        <stp/>
        <stp>DESCRIPTION</stp>
        <stp>.SMH201120C196.5</stp>
        <tr r="B568" s="1"/>
      </tp>
      <tp t="s">
        <v>N/A</v>
        <stp/>
        <stp>OPEN_INT</stp>
        <stp>.VXUS201120P56</stp>
        <tr r="G755" s="1"/>
      </tp>
      <tp t="s">
        <v>N/A</v>
        <stp/>
        <stp>OPEN_INT</stp>
        <stp>.VXUS201120P57</stp>
        <tr r="G757" s="1"/>
      </tp>
      <tp t="s">
        <v>N/A</v>
        <stp/>
        <stp>GAMMA</stp>
        <stp>.INDA201120C36.5</stp>
        <tr r="N283" s="1"/>
      </tp>
      <tp t="s">
        <v>N/A</v>
        <stp/>
        <stp>GAMMA</stp>
        <stp>.INDA201120P36.5</stp>
        <tr r="N284" s="1"/>
      </tp>
      <tp>
        <v>1.96</v>
        <stp/>
        <stp>LOW</stp>
        <stp>.XLK201120P121.5</stp>
        <tr r="K834" s="1"/>
      </tp>
      <tp>
        <v>0</v>
        <stp/>
        <stp>LOW</stp>
        <stp>.XLV201120P111.5</stp>
        <tr r="K864" s="1"/>
      </tp>
      <tp t="s">
        <v>N/A</v>
        <stp/>
        <stp>LOW</stp>
        <stp>.XLY201120P151.5</stp>
        <tr r="K869" s="1"/>
      </tp>
      <tp t="s">
        <v>N/A</v>
        <stp/>
        <stp>EXTRINSIC</stp>
        <stp>.EWY201120C71.5</stp>
        <tr r="S162" s="1"/>
      </tp>
      <tp t="s">
        <v>N/A</v>
        <stp/>
        <stp>EXTRINSIC</stp>
        <stp>.EWZ201120C31.5</stp>
        <tr r="S173" s="1"/>
      </tp>
      <tp t="s">
        <v>N/A</v>
        <stp/>
        <stp>INTRINSIC</stp>
        <stp>.EWZ201120C31.5</stp>
        <tr r="R173" s="1"/>
      </tp>
      <tp t="s">
        <v>N/A</v>
        <stp/>
        <stp>INTRINSIC</stp>
        <stp>.EWY201120C71.5</stp>
        <tr r="R162" s="1"/>
      </tp>
      <tp t="s">
        <v>N/A</v>
        <stp/>
        <stp>EXTRINSIC</stp>
        <stp>.EWY201120P71.5</stp>
        <tr r="S163" s="1"/>
      </tp>
      <tp t="s">
        <v>N/A</v>
        <stp/>
        <stp>EXTRINSIC</stp>
        <stp>.EWZ201120P31.5</stp>
        <tr r="S174" s="1"/>
      </tp>
      <tp t="s">
        <v>N/A</v>
        <stp/>
        <stp>INTRINSIC</stp>
        <stp>.EWZ201120P31.5</stp>
        <tr r="R174" s="1"/>
      </tp>
      <tp t="s">
        <v>N/A</v>
        <stp/>
        <stp>INTRINSIC</stp>
        <stp>.EWY201120P71.5</stp>
        <tr r="R163" s="1"/>
      </tp>
      <tp>
        <v>0</v>
        <stp/>
        <stp>GAMMA</stp>
        <stp>VNQ</stp>
        <tr r="N724" s="1"/>
      </tp>
      <tp>
        <v>0</v>
        <stp/>
        <stp>GAMMA</stp>
        <stp>VOO</stp>
        <tr r="N729" s="1"/>
      </tp>
      <tp t="s">
        <v>N/A</v>
        <stp/>
        <stp>GAMMA</stp>
        <stp>.VNQ201120P84</stp>
        <tr r="N726" s="1"/>
      </tp>
      <tp t="s">
        <v>N/A</v>
        <stp/>
        <stp>GAMMA</stp>
        <stp>.VNQ201120P85</stp>
        <tr r="N728" s="1"/>
      </tp>
      <tp>
        <v>0</v>
        <stp/>
        <stp>GAMMA</stp>
        <stp>VFH</stp>
        <tr r="N713" s="1"/>
      </tp>
      <tp>
        <v>0</v>
        <stp/>
        <stp>GAMMA</stp>
        <stp>VGK</stp>
        <tr r="N721" s="1"/>
      </tp>
      <tp t="s">
        <v>N/A</v>
        <stp/>
        <stp>THETA</stp>
        <stp>.VNQ201120C84</stp>
        <tr r="O725" s="1"/>
      </tp>
      <tp t="s">
        <v>N/A</v>
        <stp/>
        <stp>THETA</stp>
        <stp>.VNQ201120C85</stp>
        <tr r="O727" s="1"/>
      </tp>
      <tp>
        <v>0</v>
        <stp/>
        <stp>GAMMA</stp>
        <stp>VEU</stp>
        <tr r="N710" s="1"/>
      </tp>
      <tp>
        <v>0</v>
        <stp/>
        <stp>GAMMA</stp>
        <stp>VEA</stp>
        <tr r="N707" s="1"/>
      </tp>
      <tp t="s">
        <v>N/A</v>
        <stp/>
        <stp>THETA</stp>
        <stp>.SMH201120P196.5</stp>
        <tr r="O569" s="1"/>
      </tp>
      <tp>
        <v>44.52</v>
        <stp/>
        <stp>LAST</stp>
        <stp>SHYG</stp>
        <tr r="E548" s="1"/>
      </tp>
      <tp t="s">
        <v>N/A</v>
        <stp/>
        <stp>GAMMA</stp>
        <stp>.JNK201120C106.5</stp>
        <tr r="N381" s="1"/>
      </tp>
      <tp t="s">
        <v>N/A</v>
        <stp/>
        <stp>DELTA</stp>
        <stp>.SMH201120C196.5</stp>
        <tr r="M568" s="1"/>
      </tp>
      <tp>
        <v>0</v>
        <stp/>
        <stp>GAMMA</stp>
        <stp>VYM</stp>
        <tr r="N758" s="1"/>
      </tp>
      <tp>
        <v>0</v>
        <stp/>
        <stp>GAMMA</stp>
        <stp>VWO</stp>
        <tr r="N748" s="1"/>
      </tp>
      <tp t="s">
        <v>N/A</v>
        <stp/>
        <stp>DELTA</stp>
        <stp>.XME201120P27</stp>
        <tr r="M888" s="1"/>
      </tp>
      <tp>
        <v>0</v>
        <stp/>
        <stp>GAMMA</stp>
        <stp>VTI</stp>
        <tr r="N739" s="1"/>
      </tp>
      <tp t="s">
        <v>N/A</v>
        <stp/>
        <stp>GAMMA</stp>
        <stp>.JNK201120P106.5</stp>
        <tr r="N382" s="1"/>
      </tp>
      <tp t="s">
        <v>N/A</v>
        <stp/>
        <stp>DELTA</stp>
        <stp>.SMH201120P196.5</stp>
        <tr r="M569" s="1"/>
      </tp>
      <tp t="s">
        <v>N/A</v>
        <stp/>
        <stp>ASK</stp>
        <stp>.ASHR201120P37.5</stp>
        <tr r="I45" s="1"/>
      </tp>
      <tp t="s">
        <v>N/A</v>
        <stp/>
        <stp>ASK</stp>
        <stp>.ASHR201120C37.5</stp>
        <tr r="I44" s="1"/>
      </tp>
      <tp t="s">
        <v>N/A</v>
        <stp/>
        <stp>THETA</stp>
        <stp>.SMH201120C196.5</stp>
        <tr r="O568" s="1"/>
      </tp>
      <tp t="s">
        <v>N/A</v>
        <stp/>
        <stp>RHO</stp>
        <stp>.ARKK201120C98</stp>
        <tr r="Q28" s="1"/>
      </tp>
      <tp t="s">
        <v>N/A</v>
        <stp/>
        <stp>RHO</stp>
        <stp>.ARKK201120C99</stp>
        <tr r="Q30" s="1"/>
      </tp>
      <tp t="s">
        <v>N/A</v>
        <stp/>
        <stp>RHO</stp>
        <stp>.ARKK201120C97</stp>
        <tr r="Q26" s="1"/>
      </tp>
      <tp t="s">
        <v>N/A</v>
        <stp/>
        <stp>RHO</stp>
        <stp>.AAXJ201120P84</stp>
        <tr r="Q6" s="1"/>
      </tp>
      <tp t="s">
        <v>N/A</v>
        <stp/>
        <stp>RHO</stp>
        <stp>.AAXJ201120P83</stp>
        <tr r="Q4" s="1"/>
      </tp>
      <tp t="s">
        <v>N/A</v>
        <stp/>
        <stp>STRIKE</stp>
        <stp>.EFV201120C45</stp>
        <tr r="W109" s="1"/>
      </tp>
      <tp>
        <v>2.2000000000000002</v>
        <stp/>
        <stp>LOW</stp>
        <stp>.ARKK201120P100</stp>
        <tr r="K33" s="1"/>
      </tp>
      <tp>
        <v>1.7</v>
        <stp/>
        <stp>LOW</stp>
        <stp>.ARKK201120C100</stp>
        <tr r="K32" s="1"/>
      </tp>
      <tp t="s">
        <v>N/A</v>
        <stp/>
        <stp>RHO</stp>
        <stp>.GDXJ201120P52</stp>
        <tr r="Q204" s="1"/>
      </tp>
      <tp t="s">
        <v>N/A</v>
        <stp/>
        <stp>RHO</stp>
        <stp>.GDXJ201120P53</stp>
        <tr r="Q208" s="1"/>
      </tp>
      <tp t="s">
        <v>N/A</v>
        <stp/>
        <stp>RHO</stp>
        <stp>.GDXJ201120P54</stp>
        <tr r="Q212" s="1"/>
      </tp>
      <tp t="s">
        <v>N/A</v>
        <stp/>
        <stp>VOLUME</stp>
        <stp>.VNQ201120P85</stp>
        <tr r="F728" s="1"/>
      </tp>
      <tp t="s">
        <v>N/A</v>
        <stp/>
        <stp>VOLUME</stp>
        <stp>.VNQ201120P84</stp>
        <tr r="F726" s="1"/>
      </tp>
      <tp t="s">
        <v>N/A</v>
        <stp/>
        <stp>STRIKE</stp>
        <stp>.EFA201120C69</stp>
        <tr r="W102" s="1"/>
      </tp>
      <tp t="s">
        <v>N/A</v>
        <stp/>
        <stp>STRIKE</stp>
        <stp>.EFA201120C70</stp>
        <tr r="W106" s="1"/>
      </tp>
      <tp>
        <v>2.15</v>
        <stp/>
        <stp>BID</stp>
        <stp>.ARKK201120C99</stp>
        <tr r="H30" s="1"/>
      </tp>
      <tp>
        <v>2.6</v>
        <stp/>
        <stp>BID</stp>
        <stp>.ARKK201120C98</stp>
        <tr r="H28" s="1"/>
      </tp>
      <tp>
        <v>3.1</v>
        <stp/>
        <stp>BID</stp>
        <stp>.ARKK201120C97</stp>
        <tr r="H26" s="1"/>
      </tp>
      <tp>
        <v>0.75</v>
        <stp/>
        <stp>BID</stp>
        <stp>.AAXJ201120P84</stp>
        <tr r="H6" s="1"/>
      </tp>
      <tp t="s">
        <v>N/A</v>
        <stp/>
        <stp>BID</stp>
        <stp>.AAXJ201120P83</stp>
        <tr r="H4" s="1"/>
      </tp>
      <tp>
        <v>1.25</v>
        <stp/>
        <stp>LOW</stp>
        <stp>.GDXJ201120P54</stp>
        <tr r="K212" s="1"/>
      </tp>
      <tp>
        <v>0.9</v>
        <stp/>
        <stp>LOW</stp>
        <stp>.GDXJ201120P53</stp>
        <tr r="K208" s="1"/>
      </tp>
      <tp>
        <v>0.53</v>
        <stp/>
        <stp>LOW</stp>
        <stp>.GDXJ201120P52</stp>
        <tr r="K204" s="1"/>
      </tp>
      <tp>
        <v>1.6</v>
        <stp/>
        <stp>ASK</stp>
        <stp>.AAXJ201120P84</stp>
        <tr r="I6" s="1"/>
      </tp>
      <tp>
        <v>3.5</v>
        <stp/>
        <stp>ASK</stp>
        <stp>.ARKK201120C97</stp>
        <tr r="I26" s="1"/>
      </tp>
      <tp t="s">
        <v>N/A</v>
        <stp/>
        <stp>ASK</stp>
        <stp>.AAXJ201120P83</stp>
        <tr r="I4" s="1"/>
      </tp>
      <tp>
        <v>2.35</v>
        <stp/>
        <stp>ASK</stp>
        <stp>.ARKK201120C99</stp>
        <tr r="I30" s="1"/>
      </tp>
      <tp>
        <v>2.9</v>
        <stp/>
        <stp>ASK</stp>
        <stp>.ARKK201120C98</stp>
        <tr r="I28" s="1"/>
      </tp>
      <tp>
        <v>1.1599999999999999</v>
        <stp/>
        <stp>BID</stp>
        <stp>.GDXJ201120P53</stp>
        <tr r="H208" s="1"/>
      </tp>
      <tp>
        <v>0.76</v>
        <stp/>
        <stp>BID</stp>
        <stp>.GDXJ201120P52</stp>
        <tr r="H204" s="1"/>
      </tp>
      <tp>
        <v>1.63</v>
        <stp/>
        <stp>BID</stp>
        <stp>.GDXJ201120P54</stp>
        <tr r="H212" s="1"/>
      </tp>
      <tp t="s">
        <v>N/A</v>
        <stp/>
        <stp>STRIKE</stp>
        <stp>.VFH201120C67</stp>
        <tr r="W716" s="1"/>
      </tp>
      <tp t="s">
        <v>N/A</v>
        <stp/>
        <stp>STRIKE</stp>
        <stp>.VFH201120C66</stp>
        <tr r="W714" s="1"/>
      </tp>
      <tp>
        <v>2</v>
        <stp/>
        <stp>LOW</stp>
        <stp>.ARKK201120C99</stp>
        <tr r="K30" s="1"/>
      </tp>
      <tp>
        <v>2.75</v>
        <stp/>
        <stp>LOW</stp>
        <stp>.ARKK201120C98</stp>
        <tr r="K28" s="1"/>
      </tp>
      <tp t="s">
        <v>N/A</v>
        <stp/>
        <stp>LOW</stp>
        <stp>.AAXJ201120P83</stp>
        <tr r="K4" s="1"/>
      </tp>
      <tp>
        <v>0</v>
        <stp/>
        <stp>LOW</stp>
        <stp>.AAXJ201120P84</stp>
        <tr r="K6" s="1"/>
      </tp>
      <tp t="s">
        <v>N/A</v>
        <stp/>
        <stp>DESCRIPTION</stp>
        <stp>.JETS201120C20</stp>
        <tr r="B378" s="1"/>
      </tp>
      <tp>
        <v>3.32</v>
        <stp/>
        <stp>LOW</stp>
        <stp>.ARKK201120C97</stp>
        <tr r="K26" s="1"/>
      </tp>
      <tp>
        <v>1.24</v>
        <stp/>
        <stp>ASK</stp>
        <stp>.GDXJ201120P53</stp>
        <tr r="I208" s="1"/>
      </tp>
      <tp>
        <v>0.87</v>
        <stp/>
        <stp>ASK</stp>
        <stp>.GDXJ201120P52</stp>
        <tr r="I204" s="1"/>
      </tp>
      <tp>
        <v>1.77</v>
        <stp/>
        <stp>ASK</stp>
        <stp>.GDXJ201120P54</stp>
        <tr r="I212" s="1"/>
      </tp>
      <tp t="s">
        <v>N/A</v>
        <stp/>
        <stp>PUT_CALL_RATIO</stp>
        <stp>.XME201120P27</stp>
        <tr r="C888" s="1"/>
      </tp>
      <tp t="s">
        <v>N/A</v>
        <stp/>
        <stp>OPEN_INT</stp>
        <stp>.ITB201120C55</stp>
        <tr r="G291" s="1"/>
      </tp>
      <tp t="s">
        <v>N/A</v>
        <stp/>
        <stp>OPEN_INT</stp>
        <stp>.ITB201120C56</stp>
        <tr r="G295" s="1"/>
      </tp>
      <tp t="s">
        <v>N/A</v>
        <stp/>
        <stp>INTRINSIC</stp>
        <stp>.SHYG201120C45</stp>
        <tr r="R549" s="1"/>
      </tp>
      <tp t="s">
        <v>N/A</v>
        <stp/>
        <stp>INTRINSIC</stp>
        <stp>.SPYG201120C53</stp>
        <tr r="R632" s="1"/>
      </tp>
      <tp t="s">
        <v>N/A</v>
        <stp/>
        <stp>INTRINSIC</stp>
        <stp>.SPYG201120C52</stp>
        <tr r="R630" s="1"/>
      </tp>
      <tp t="s">
        <v>N/A</v>
        <stp/>
        <stp>PROB_OF_EXPIRING</stp>
        <stp>.EEM201120C48</stp>
        <tr r="T97" s="1"/>
      </tp>
      <tp t="s">
        <v>N/A</v>
        <stp/>
        <stp>PROB_OF_EXPIRING</stp>
        <stp>.FVD201120P35</stp>
        <tr r="T187" s="1"/>
      </tp>
      <tp t="s">
        <v>N/A</v>
        <stp/>
        <stp>PROB_OTM</stp>
        <stp>.XRT201120P54</stp>
        <tr r="U904" s="1"/>
      </tp>
      <tp t="s">
        <v>N/A</v>
        <stp/>
        <stp>PROB_OTM</stp>
        <stp>.XRT201120P55</stp>
        <tr r="U908" s="1"/>
      </tp>
      <tp>
        <v>6</v>
        <stp/>
        <stp>OPEN_INT</stp>
        <stp>.VGK201120P57</stp>
        <tr r="G723" s="1"/>
      </tp>
      <tp t="s">
        <v>N/A</v>
        <stp/>
        <stp>PROB_OF_EXPIRING</stp>
        <stp>.VEA201120C44</stp>
        <tr r="T708" s="1"/>
      </tp>
      <tp>
        <v>51</v>
        <stp/>
        <stp>VOLUME</stp>
        <stp>.XLY201120C152</stp>
        <tr r="F870" s="1"/>
      </tp>
      <tp t="s">
        <v>N/A</v>
        <stp/>
        <stp>VOLUME</stp>
        <stp>.XLY201120P152</stp>
        <tr r="F871" s="1"/>
      </tp>
      <tp t="s">
        <v>N/A</v>
        <stp/>
        <stp>VOLUME</stp>
        <stp>.XLY201120C153</stp>
        <tr r="F874" s="1"/>
      </tp>
      <tp t="s">
        <v>N/A</v>
        <stp/>
        <stp>VOLUME</stp>
        <stp>.XLY201120P153</stp>
        <tr r="F875" s="1"/>
      </tp>
      <tp>
        <v>2</v>
        <stp/>
        <stp>VOLUME</stp>
        <stp>.XLY201120C154</stp>
        <tr r="F878" s="1"/>
      </tp>
      <tp t="s">
        <v>N/A</v>
        <stp/>
        <stp>VOLUME</stp>
        <stp>.XLY201120P154</stp>
        <tr r="F879" s="1"/>
      </tp>
      <tp>
        <v>102</v>
        <stp/>
        <stp>VOLUME</stp>
        <stp>.XLY201120C155</stp>
        <tr r="F882" s="1"/>
      </tp>
      <tp t="s">
        <v>N/A</v>
        <stp/>
        <stp>VOLUME</stp>
        <stp>.XLY201120P155</stp>
        <tr r="F883" s="1"/>
      </tp>
      <tp t="s">
        <v>N/A</v>
        <stp/>
        <stp>PROB_OF_TOUCHING</stp>
        <stp>.XOP201120C47</stp>
        <tr r="V890" s="1"/>
      </tp>
      <tp t="s">
        <v>N/A</v>
        <stp/>
        <stp>PROB_OF_TOUCHING</stp>
        <stp>.XOP201120C48</stp>
        <tr r="V894" s="1"/>
      </tp>
      <tp t="s">
        <v>N/A</v>
        <stp/>
        <stp>PROB_OF_TOUCHING</stp>
        <stp>.XOP201120C49</stp>
        <tr r="V898" s="1"/>
      </tp>
      <tp t="s">
        <v>N/A</v>
        <stp/>
        <stp>PROB_OF_EXPIRING</stp>
        <stp>.FEZ201120C40</stp>
        <tr r="T183" s="1"/>
      </tp>
      <tp t="s">
        <v>N/A</v>
        <stp/>
        <stp>PROB_OTM</stp>
        <stp>.TAN201120C74</stp>
        <tr r="U666" s="1"/>
      </tp>
      <tp t="s">
        <v>N/A</v>
        <stp/>
        <stp>PROB_OTM</stp>
        <stp>.TAN201120C75</stp>
        <tr r="U670" s="1"/>
      </tp>
      <tp t="s">
        <v>N/A</v>
        <stp/>
        <stp>PROB_OTM</stp>
        <stp>.TAN201120C76</stp>
        <tr r="U674" s="1"/>
      </tp>
      <tp t="s">
        <v>N/A</v>
        <stp/>
        <stp>PROB_OTM</stp>
        <stp>.TAN201120C77</stp>
        <tr r="U678" s="1"/>
      </tp>
      <tp t="s">
        <v>N/A</v>
        <stp/>
        <stp>PROB_OTM</stp>
        <stp>.TAN201120C73</stp>
        <tr r="U662" s="1"/>
      </tp>
      <tp t="s">
        <v>N/A</v>
        <stp/>
        <stp>PUT_CALL_RATIO</stp>
        <stp>.MJ201120P13</stp>
        <tr r="C425" s="1"/>
      </tp>
      <tp t="s">
        <v>N/A</v>
        <stp/>
        <stp>INTRINSIC</stp>
        <stp>.SPYV201120C33</stp>
        <tr r="R635" s="1"/>
      </tp>
      <tp t="s">
        <v>N/A</v>
        <stp/>
        <stp>VOLUME</stp>
        <stp>.SH201120P19</stp>
        <tr r="F544" s="1"/>
      </tp>
      <tp t="s">
        <v>N/A</v>
        <stp/>
        <stp>STRIKE</stp>
        <stp>.AGG201120P117</stp>
        <tr r="W17" s="1"/>
      </tp>
      <tp t="s">
        <v>N/A</v>
        <stp/>
        <stp>STRIKE</stp>
        <stp>.AGG201120C117</stp>
        <tr r="W16" s="1"/>
      </tp>
      <tp t="s">
        <v>N/A</v>
        <stp/>
        <stp>IMPL_VOL</stp>
        <stp>.VNQ201120C84</stp>
        <tr r="D725" s="1"/>
      </tp>
      <tp t="s">
        <v>N/A</v>
        <stp/>
        <stp>IMPL_VOL</stp>
        <stp>.VNQ201120C85</stp>
        <tr r="D727" s="1"/>
      </tp>
      <tp t="s">
        <v>N/A</v>
        <stp/>
        <stp>PROB_OTM</stp>
        <stp>.KRE201120P46</stp>
        <tr r="U390" s="1"/>
      </tp>
      <tp t="s">
        <v>N/A</v>
        <stp/>
        <stp>PROB_OTM</stp>
        <stp>.KRE201120P47</stp>
        <tr r="U394" s="1"/>
      </tp>
      <tp t="s">
        <v>N/A</v>
        <stp/>
        <stp>EXTRINSIC</stp>
        <stp>.ITOT201120C81</stp>
        <tr r="S300" s="1"/>
      </tp>
      <tp t="s">
        <v>N/A</v>
        <stp/>
        <stp>EXTRINSIC</stp>
        <stp>.ITOT201120C80</stp>
        <tr r="S298" s="1"/>
      </tp>
      <tp t="s">
        <v>N/A</v>
        <stp/>
        <stp>OPEN_INT</stp>
        <stp>.PGX201120P15</stp>
        <tr r="G456" s="1"/>
      </tp>
      <tp t="s">
        <v>N/A</v>
        <stp/>
        <stp>PROB_OF_EXPIRING</stp>
        <stp>.VEU201120C55</stp>
        <tr r="T711" s="1"/>
      </tp>
      <tp t="s">
        <v>N/A</v>
        <stp/>
        <stp>PROB_OF_EXPIRING</stp>
        <stp>.DVY201120P91</stp>
        <tr r="T86" s="1"/>
      </tp>
      <tp t="s">
        <v>N/A</v>
        <stp/>
        <stp>PROB_OF_EXPIRING</stp>
        <stp>.DVY201120P93</stp>
        <tr r="T90" s="1"/>
      </tp>
      <tp t="s">
        <v>N/A</v>
        <stp/>
        <stp>PROB_OF_EXPIRING</stp>
        <stp>.DVY201120P92</stp>
        <tr r="T88" s="1"/>
      </tp>
      <tp>
        <v>2.7</v>
        <stp/>
        <stp>BID</stp>
        <stp>.XBI201120P124.5</stp>
        <tr r="H775" s="1"/>
      </tp>
      <tp>
        <v>3.8</v>
        <stp/>
        <stp>LOW</stp>
        <stp>.XBI201120C122.5</stp>
        <tr r="K766" s="1"/>
      </tp>
      <tp t="s">
        <v>N/A</v>
        <stp/>
        <stp>PROB_OTM</stp>
        <stp>.IGIB201120P61</stp>
        <tr r="U263" s="1"/>
      </tp>
      <tp t="s">
        <v>N/A</v>
        <stp/>
        <stp>PROB_OF_TOUCHING</stp>
        <stp>.IEFA201120C66</stp>
        <tr r="V254" s="1"/>
      </tp>
      <tp t="s">
        <v>N/A</v>
        <stp/>
        <stp>PROB_OF_TOUCHING</stp>
        <stp>.IEFA201120C65</stp>
        <tr r="V252" s="1"/>
      </tp>
      <tp t="s">
        <v>N/A</v>
        <stp/>
        <stp>OPEN_INT</stp>
        <stp>.KWEB201120C73</stp>
        <tr r="G400" s="1"/>
      </tp>
      <tp t="s">
        <v>N/A</v>
        <stp/>
        <stp>OPEN_INT</stp>
        <stp>.KWEB201120C72</stp>
        <tr r="G398" s="1"/>
      </tp>
      <tp t="s">
        <v>N/A</v>
        <stp/>
        <stp>PROB_OF_EXPIRING</stp>
        <stp>.USMV201120C67</stp>
        <tr r="T699" s="1"/>
      </tp>
      <tp t="s">
        <v>N/A</v>
        <stp/>
        <stp>OPEN_INT</stp>
        <stp>.KWEB201120C74</stp>
        <tr r="G402" s="1"/>
      </tp>
      <tp>
        <v>4.5999999999999996</v>
        <stp/>
        <stp>ASK</stp>
        <stp>.DIA201120P292.5</stp>
        <tr r="I68" s="1"/>
      </tp>
      <tp t="s">
        <v>N/A</v>
        <stp/>
        <stp>DESCRIPTION</stp>
        <stp>.SMH201120P195.5</stp>
        <tr r="B565" s="1"/>
      </tp>
      <tp t="s">
        <v>N/A</v>
        <stp/>
        <stp>EXTRINSIC</stp>
        <stp>.RSX201120C22.5</stp>
        <tr r="S515" s="1"/>
      </tp>
      <tp t="s">
        <v>N/A</v>
        <stp/>
        <stp>INTRINSIC</stp>
        <stp>.RSX201120C22.5</stp>
        <tr r="R515" s="1"/>
      </tp>
      <tp t="s">
        <v>N/A</v>
        <stp/>
        <stp>EXTRINSIC</stp>
        <stp>.RSX201120P22.5</stp>
        <tr r="S516" s="1"/>
      </tp>
      <tp t="s">
        <v>N/A</v>
        <stp/>
        <stp>INTRINSIC</stp>
        <stp>.RSX201120P22.5</stp>
        <tr r="R516" s="1"/>
      </tp>
      <tp t="s">
        <v>N/A</v>
        <stp/>
        <stp>EXTRINSIC</stp>
        <stp>.SSO201120C82.5</stp>
        <tr r="S649" s="1"/>
      </tp>
      <tp t="s">
        <v>N/A</v>
        <stp/>
        <stp>INTRINSIC</stp>
        <stp>.SSO201120C82.5</stp>
        <tr r="R649" s="1"/>
      </tp>
      <tp t="s">
        <v>N/A</v>
        <stp/>
        <stp>EXTRINSIC</stp>
        <stp>.SSO201120P82.5</stp>
        <tr r="S650" s="1"/>
      </tp>
      <tp t="s">
        <v>N/A</v>
        <stp/>
        <stp>INTRINSIC</stp>
        <stp>.SSO201120P82.5</stp>
        <tr r="R650" s="1"/>
      </tp>
      <tp t="s">
        <v>N/A</v>
        <stp/>
        <stp>DESCRIPTION</stp>
        <stp>.QQQ201120C287.5</stp>
        <tr r="B480" s="1"/>
      </tp>
      <tp t="s">
        <v>N/A</v>
        <stp/>
        <stp>RHO</stp>
        <stp>.XBI201120P125.5</stp>
        <tr r="Q779" s="1"/>
      </tp>
      <tp t="s">
        <v>N/A</v>
        <stp/>
        <stp>PROB_OF_TOUCHING</stp>
        <stp>.EUFN201120C16</stp>
        <tr r="V118" s="1"/>
      </tp>
      <tp t="s">
        <v>N/A</v>
        <stp/>
        <stp>PROB_OTM</stp>
        <stp>.NAIL201120P48</stp>
        <tr r="U448" s="1"/>
      </tp>
      <tp t="s">
        <v>N/A</v>
        <stp/>
        <stp>PROB_OTM</stp>
        <stp>.NAIL201120P49</stp>
        <tr r="U450" s="1"/>
      </tp>
      <tp t="s">
        <v>N/A</v>
        <stp/>
        <stp>PROB_OTM</stp>
        <stp>.NAIL201120P44</stp>
        <tr r="U440" s="1"/>
      </tp>
      <tp t="s">
        <v>N/A</v>
        <stp/>
        <stp>PROB_OTM</stp>
        <stp>.NAIL201120P45</stp>
        <tr r="U442" s="1"/>
      </tp>
      <tp t="s">
        <v>N/A</v>
        <stp/>
        <stp>PROB_OTM</stp>
        <stp>.NAIL201120P46</stp>
        <tr r="U444" s="1"/>
      </tp>
      <tp t="s">
        <v>N/A</v>
        <stp/>
        <stp>PROB_OTM</stp>
        <stp>.NAIL201120P47</stp>
        <tr r="U446" s="1"/>
      </tp>
      <tp t="s">
        <v>N/A</v>
        <stp/>
        <stp>EXTRINSIC</stp>
        <stp>.TAN201120P72.5</stp>
        <tr r="S661" s="1"/>
      </tp>
      <tp t="s">
        <v>N/A</v>
        <stp/>
        <stp>INTRINSIC</stp>
        <stp>.TAN201120P72.5</stp>
        <tr r="R661" s="1"/>
      </tp>
      <tp t="s">
        <v>N/A</v>
        <stp/>
        <stp>EXTRINSIC</stp>
        <stp>.TAN201120C72.5</stp>
        <tr r="S660" s="1"/>
      </tp>
      <tp>
        <v>1230</v>
        <stp/>
        <stp>OPEN_INT</stp>
        <stp>.DFEN201120C14</stp>
        <tr r="G57" s="1"/>
      </tp>
      <tp>
        <v>783</v>
        <stp/>
        <stp>OPEN_INT</stp>
        <stp>.DFEN201120C13</stp>
        <tr r="G55" s="1"/>
      </tp>
      <tp t="s">
        <v>N/A</v>
        <stp/>
        <stp>INTRINSIC</stp>
        <stp>.TAN201120C72.5</stp>
        <tr r="R660" s="1"/>
      </tp>
      <tp>
        <v>0.9</v>
        <stp/>
        <stp>LOW</stp>
        <stp>.XLK201120C122.5</stp>
        <tr r="K837" s="1"/>
      </tp>
      <tp t="s">
        <v>N/A</v>
        <stp/>
        <stp>BID</stp>
        <stp>.XLY201120P154.5</stp>
        <tr r="H881" s="1"/>
      </tp>
      <tp t="s">
        <v>N/A</v>
        <stp/>
        <stp>LOW</stp>
        <stp>.XLY201120C152.5</stp>
        <tr r="K872" s="1"/>
      </tp>
      <tp>
        <v>5</v>
        <stp/>
        <stp>OPEN_INT</stp>
        <stp>.SRVR201120P35</stp>
        <tr r="G639" s="1"/>
      </tp>
      <tp t="s">
        <v>N/A</v>
        <stp/>
        <stp>OPEN_INT</stp>
        <stp>.SRVR201120P36</stp>
        <tr r="G641" s="1"/>
      </tp>
      <tp t="s">
        <v>N/A</v>
        <stp/>
        <stp>PROB_OTM</stp>
        <stp>.DRIP201120P45</stp>
        <tr r="U83" s="1"/>
      </tp>
      <tp>
        <v>1.77</v>
        <stp/>
        <stp>BID</stp>
        <stp>.XBI201120C124.5</stp>
        <tr r="H774" s="1"/>
      </tp>
      <tp>
        <v>1.3</v>
        <stp/>
        <stp>LOW</stp>
        <stp>.XBI201120P122.5</stp>
        <tr r="K767" s="1"/>
      </tp>
      <tp t="s">
        <v>N/A</v>
        <stp/>
        <stp>PROB_OF_TOUCHING</stp>
        <stp>.VXUS201120P57</stp>
        <tr r="V757" s="1"/>
      </tp>
      <tp t="s">
        <v>N/A</v>
        <stp/>
        <stp>PROB_OF_TOUCHING</stp>
        <stp>.VXUS201120P56</stp>
        <tr r="V755" s="1"/>
      </tp>
      <tp t="s">
        <v>N/A</v>
        <stp/>
        <stp>DESCRIPTION</stp>
        <stp>.SMH201120C195.5</stp>
        <tr r="B564" s="1"/>
      </tp>
      <tp t="s">
        <v>N/A</v>
        <stp/>
        <stp>PROB_OF_EXPIRING</stp>
        <stp>.IEMG201120C57</stp>
        <tr r="T257" s="1"/>
      </tp>
      <tp t="s">
        <v>N/A</v>
        <stp/>
        <stp>PROB_OF_TOUCHING</stp>
        <stp>.IXUS201120P63</stp>
        <tr r="V362" s="1"/>
      </tp>
      <tp t="s">
        <v>N/A</v>
        <stp/>
        <stp>PROB_OF_EXPIRING</stp>
        <stp>.IEMG201120C58</stp>
        <tr r="T259" s="1"/>
      </tp>
      <tp t="s">
        <v>N/A</v>
        <stp/>
        <stp>PROB_OTM</stp>
        <stp>.VGIT201120P70</stp>
        <tr r="U720" s="1"/>
      </tp>
      <tp>
        <v>3.35</v>
        <stp/>
        <stp>ASK</stp>
        <stp>.DIA201120C292.5</stp>
        <tr r="I67" s="1"/>
      </tp>
      <tp t="s">
        <v>N/A</v>
        <stp/>
        <stp>PROB_OTM</stp>
        <stp>.VCIT201120P96</stp>
        <tr r="U703" s="1"/>
      </tp>
      <tp t="s">
        <v>N/A</v>
        <stp/>
        <stp>RHO</stp>
        <stp>.XBI201120C125.5</stp>
        <tr r="Q778" s="1"/>
      </tp>
      <tp t="s">
        <v>N/A</v>
        <stp/>
        <stp>DESCRIPTION</stp>
        <stp>.QQQ201120P287.5</stp>
        <tr r="B481" s="1"/>
      </tp>
      <tp>
        <v>3.49</v>
        <stp/>
        <stp>LOW</stp>
        <stp>.XLK201120P122.5</stp>
        <tr r="K838" s="1"/>
      </tp>
      <tp t="s">
        <v>N/A</v>
        <stp/>
        <stp>BID</stp>
        <stp>.XLY201120C154.5</stp>
        <tr r="H880" s="1"/>
      </tp>
      <tp t="s">
        <v>N/A</v>
        <stp/>
        <stp>LOW</stp>
        <stp>.XLY201120P152.5</stp>
        <tr r="K873" s="1"/>
      </tp>
      <tp t="s">
        <v>N/A</v>
        <stp/>
        <stp>EXTRINSIC</stp>
        <stp>.EWY201120C72.5</stp>
        <tr r="S166" s="1"/>
      </tp>
      <tp t="s">
        <v>N/A</v>
        <stp/>
        <stp>INTRINSIC</stp>
        <stp>.EWY201120C72.5</stp>
        <tr r="R166" s="1"/>
      </tp>
      <tp t="s">
        <v>N/A</v>
        <stp/>
        <stp>EXTRINSIC</stp>
        <stp>.EWY201120P72.5</stp>
        <tr r="S167" s="1"/>
      </tp>
      <tp t="s">
        <v>N/A</v>
        <stp/>
        <stp>INTRINSIC</stp>
        <stp>.EWY201120P72.5</stp>
        <tr r="R167" s="1"/>
      </tp>
      <tp>
        <v>1</v>
        <stp/>
        <stp>DELTA</stp>
        <stp>VWO</stp>
        <tr r="M748" s="1"/>
      </tp>
      <tp>
        <v>-0.67</v>
        <stp/>
        <stp>DELTA</stp>
        <stp>.SPY201120P357.5</stp>
        <tr r="M620" s="1"/>
      </tp>
      <tp>
        <v>-0.25</v>
        <stp/>
        <stp>THETA</stp>
        <stp>.SPY201120C357.5</stp>
        <tr r="O619" s="1"/>
      </tp>
      <tp>
        <v>1</v>
        <stp/>
        <stp>DELTA</stp>
        <stp>VTI</stp>
        <tr r="M739" s="1"/>
      </tp>
      <tp t="s">
        <v>N/A</v>
        <stp/>
        <stp>THETA</stp>
        <stp>.XOP201120C47</stp>
        <tr r="O890" s="1"/>
      </tp>
      <tp t="s">
        <v>N/A</v>
        <stp/>
        <stp>THETA</stp>
        <stp>.XOP201120C48</stp>
        <tr r="O894" s="1"/>
      </tp>
      <tp t="s">
        <v>N/A</v>
        <stp/>
        <stp>THETA</stp>
        <stp>.XOP201120C49</stp>
        <tr r="O898" s="1"/>
      </tp>
      <tp t="s">
        <v>N/A</v>
        <stp/>
        <stp>DELTA</stp>
        <stp>.XLP201120P67</stp>
        <tr r="M845" s="1"/>
      </tp>
      <tp>
        <v>1.79</v>
        <stp/>
        <stp>LAST</stp>
        <stp>.ARKK201120C100</stp>
        <tr r="E32" s="1"/>
      </tp>
      <tp>
        <v>3</v>
        <stp/>
        <stp>LAST</stp>
        <stp>.ARKK201120P100</stp>
        <tr r="E33" s="1"/>
      </tp>
      <tp t="s">
        <v>N/A</v>
        <stp/>
        <stp>THETA</stp>
        <stp>.SMH201120P197.5</stp>
        <tr r="O573" s="1"/>
      </tp>
      <tp t="s">
        <v>N/A</v>
        <stp/>
        <stp>DELTA</stp>
        <stp>.XLU201120P67</stp>
        <tr r="M855" s="1"/>
      </tp>
      <tp t="s">
        <v>N/A</v>
        <stp/>
        <stp>DELTA</stp>
        <stp>.XLU201120P66</stp>
        <tr r="M851" s="1"/>
      </tp>
      <tp>
        <v>1</v>
        <stp/>
        <stp>DELTA</stp>
        <stp>VYM</stp>
        <tr r="M758" s="1"/>
      </tp>
      <tp t="s">
        <v>N/A</v>
        <stp/>
        <stp>GAMMA</stp>
        <stp>.XOP201120P48</stp>
        <tr r="N895" s="1"/>
      </tp>
      <tp t="s">
        <v>N/A</v>
        <stp/>
        <stp>GAMMA</stp>
        <stp>.XOP201120P49</stp>
        <tr r="N899" s="1"/>
      </tp>
      <tp t="s">
        <v>N/A</v>
        <stp/>
        <stp>GAMMA</stp>
        <stp>.XOP201120P47</stp>
        <tr r="N891" s="1"/>
      </tp>
      <tp t="s">
        <v>N/A</v>
        <stp/>
        <stp>DELTA</stp>
        <stp>.SMH201120C197.5</stp>
        <tr r="M572" s="1"/>
      </tp>
      <tp>
        <v>1</v>
        <stp/>
        <stp>DELTA</stp>
        <stp>VGK</stp>
        <tr r="M721" s="1"/>
      </tp>
      <tp>
        <v>-0.23</v>
        <stp/>
        <stp>THETA</stp>
        <stp>.SPY201120P357.5</stp>
        <tr r="O620" s="1"/>
      </tp>
      <tp>
        <v>1</v>
        <stp/>
        <stp>DELTA</stp>
        <stp>VFH</stp>
        <tr r="M713" s="1"/>
      </tp>
      <tp>
        <v>0.35</v>
        <stp/>
        <stp>DELTA</stp>
        <stp>.SPY201120C357.5</stp>
        <tr r="M619" s="1"/>
      </tp>
      <tp>
        <v>1</v>
        <stp/>
        <stp>DELTA</stp>
        <stp>VEU</stp>
        <tr r="M710" s="1"/>
      </tp>
      <tp>
        <v>1</v>
        <stp/>
        <stp>DELTA</stp>
        <stp>VEA</stp>
        <tr r="M707" s="1"/>
      </tp>
      <tp t="s">
        <v>N/A</v>
        <stp/>
        <stp>DELTA</stp>
        <stp>.QLD201120P99</stp>
        <tr r="M470" s="1"/>
      </tp>
      <tp t="s">
        <v>N/A</v>
        <stp/>
        <stp>DELTA</stp>
        <stp>.QLD201120P98</stp>
        <tr r="M468" s="1"/>
      </tp>
      <tp t="s">
        <v>N/A</v>
        <stp/>
        <stp>DELTA</stp>
        <stp>.QLD201120P97</stp>
        <tr r="M466" s="1"/>
      </tp>
      <tp t="s">
        <v>N/A</v>
        <stp/>
        <stp>DELTA</stp>
        <stp>.QLD201120P96</stp>
        <tr r="M464" s="1"/>
      </tp>
      <tp>
        <v>1</v>
        <stp/>
        <stp>DELTA</stp>
        <stp>VOO</stp>
        <tr r="M729" s="1"/>
      </tp>
      <tp t="s">
        <v>N/A</v>
        <stp/>
        <stp>DELTA</stp>
        <stp>.XLE201120P34</stp>
        <tr r="M807" s="1"/>
      </tp>
      <tp>
        <v>1</v>
        <stp/>
        <stp>DELTA</stp>
        <stp>VNQ</stp>
        <tr r="M724" s="1"/>
      </tp>
      <tp t="s">
        <v>N/A</v>
        <stp/>
        <stp>DELTA</stp>
        <stp>.XLB201120P69</stp>
        <tr r="M791" s="1"/>
      </tp>
      <tp t="s">
        <v>N/A</v>
        <stp/>
        <stp>DELTA</stp>
        <stp>.XLF201120P27</stp>
        <tr r="M812" s="1"/>
      </tp>
      <tp t="s">
        <v>N/A</v>
        <stp/>
        <stp>DELTA</stp>
        <stp>.ILF201120P25</stp>
        <tr r="M279" s="1"/>
      </tp>
      <tp t="s">
        <v>N/A</v>
        <stp/>
        <stp>DELTA</stp>
        <stp>.XLC201120P63</stp>
        <tr r="M798" s="1"/>
      </tp>
      <tp t="s">
        <v>N/A</v>
        <stp/>
        <stp>DELTA</stp>
        <stp>.XLB201120P70</stp>
        <tr r="M795" s="1"/>
      </tp>
      <tp t="s">
        <v>N/A</v>
        <stp/>
        <stp>DELTA</stp>
        <stp>.XLC201120P64</stp>
        <tr r="M802" s="1"/>
      </tp>
      <tp t="s">
        <v>N/A</v>
        <stp/>
        <stp>DELTA</stp>
        <stp>.SMH201120P197.5</stp>
        <tr r="M573" s="1"/>
      </tp>
      <tp t="s">
        <v>N/A</v>
        <stp/>
        <stp>THETA</stp>
        <stp>.SMH201120C197.5</stp>
        <tr r="O572" s="1"/>
      </tp>
      <tp t="s">
        <v>N/A</v>
        <stp/>
        <stp>DELTA</stp>
        <stp>.XLI201120P86</stp>
        <tr r="M823" s="1"/>
      </tp>
      <tp t="s">
        <v>N/A</v>
        <stp/>
        <stp>DELTA</stp>
        <stp>.XLI201120P85</stp>
        <tr r="M819" s="1"/>
      </tp>
      <tp t="s">
        <v>N/A</v>
        <stp/>
        <stp>DELTA</stp>
        <stp>.XLI201120P84</stp>
        <tr r="M815" s="1"/>
      </tp>
      <tp t="s">
        <v>N/A</v>
        <stp/>
        <stp>ASK</stp>
        <stp>.SPYV201120P33</stp>
        <tr r="I636" s="1"/>
      </tp>
      <tp t="s">
        <v>N/A</v>
        <stp/>
        <stp>BID</stp>
        <stp>.SPYV201120P33</stp>
        <tr r="H636" s="1"/>
      </tp>
      <tp t="s">
        <v>N/A</v>
        <stp/>
        <stp>DESCRIPTION</stp>
        <stp>.EUFN201120P16</stp>
        <tr r="B119" s="1"/>
      </tp>
      <tp t="s">
        <v>N/A</v>
        <stp/>
        <stp>RHO</stp>
        <stp>.SPYG201120P52</stp>
        <tr r="Q631" s="1"/>
      </tp>
      <tp t="s">
        <v>N/A</v>
        <stp/>
        <stp>RHO</stp>
        <stp>.SPYG201120P53</stp>
        <tr r="Q633" s="1"/>
      </tp>
      <tp t="s">
        <v>N/A</v>
        <stp/>
        <stp>RHO</stp>
        <stp>.SHYG201120P45</stp>
        <tr r="Q550" s="1"/>
      </tp>
      <tp t="s">
        <v>N/A</v>
        <stp/>
        <stp>PUT_CALL_RATIO</stp>
        <stp>.XLP201120P67</stp>
        <tr r="C845" s="1"/>
      </tp>
      <tp t="s">
        <v>N/A</v>
        <stp/>
        <stp>DESCRIPTION</stp>
        <stp>.IEFA201120P65</stp>
        <tr r="B253" s="1"/>
      </tp>
      <tp t="s">
        <v>N/A</v>
        <stp/>
        <stp>DESCRIPTION</stp>
        <stp>.IEFA201120P66</stp>
        <tr r="B255" s="1"/>
      </tp>
      <tp t="s">
        <v>N/A</v>
        <stp/>
        <stp>LOW</stp>
        <stp>.SPYV201120P33</stp>
        <tr r="K636" s="1"/>
      </tp>
      <tp t="s">
        <v>N/A</v>
        <stp/>
        <stp>STRIKE</stp>
        <stp>.PGX201120C15</stp>
        <tr r="W455" s="1"/>
      </tp>
      <tp t="s">
        <v>N/A</v>
        <stp/>
        <stp>PUT_CALL_RATIO</stp>
        <stp>.XLU201120P67</stp>
        <tr r="C855" s="1"/>
      </tp>
      <tp t="s">
        <v>N/A</v>
        <stp/>
        <stp>PUT_CALL_RATIO</stp>
        <stp>.XLU201120P66</stp>
        <tr r="C851" s="1"/>
      </tp>
      <tp t="s">
        <v>N/A</v>
        <stp/>
        <stp>STRIKE</stp>
        <stp>.ITB201120P56</stp>
        <tr r="W296" s="1"/>
      </tp>
      <tp t="s">
        <v>N/A</v>
        <stp/>
        <stp>STRIKE</stp>
        <stp>.ITB201120P55</stp>
        <tr r="W292" s="1"/>
      </tp>
      <tp t="s">
        <v>N/A</v>
        <stp/>
        <stp>PUT_CALL_RATIO</stp>
        <stp>.QLD201120P97</stp>
        <tr r="C466" s="1"/>
      </tp>
      <tp t="s">
        <v>N/A</v>
        <stp/>
        <stp>PUT_CALL_RATIO</stp>
        <stp>.QLD201120P96</stp>
        <tr r="C464" s="1"/>
      </tp>
      <tp t="s">
        <v>N/A</v>
        <stp/>
        <stp>PUT_CALL_RATIO</stp>
        <stp>.QLD201120P99</stp>
        <tr r="C470" s="1"/>
      </tp>
      <tp t="s">
        <v>N/A</v>
        <stp/>
        <stp>PUT_CALL_RATIO</stp>
        <stp>.QLD201120P98</stp>
        <tr r="C468" s="1"/>
      </tp>
      <tp t="s">
        <v>N/A</v>
        <stp/>
        <stp>RHO</stp>
        <stp>.SPYV201120P33</stp>
        <tr r="Q636" s="1"/>
      </tp>
      <tp t="s">
        <v>N/A</v>
        <stp/>
        <stp>BID</stp>
        <stp>.SPYG201120P53</stp>
        <tr r="H633" s="1"/>
      </tp>
      <tp t="s">
        <v>N/A</v>
        <stp/>
        <stp>BID</stp>
        <stp>.SPYG201120P52</stp>
        <tr r="H631" s="1"/>
      </tp>
      <tp t="s">
        <v>N/A</v>
        <stp/>
        <stp>BID</stp>
        <stp>.SHYG201120P45</stp>
        <tr r="H550" s="1"/>
      </tp>
      <tp t="s">
        <v>N/A</v>
        <stp/>
        <stp>ASK</stp>
        <stp>.SHYG201120P45</stp>
        <tr r="I550" s="1"/>
      </tp>
      <tp t="s">
        <v>N/A</v>
        <stp/>
        <stp>ASK</stp>
        <stp>.SPYG201120P53</stp>
        <tr r="I633" s="1"/>
      </tp>
      <tp t="s">
        <v>N/A</v>
        <stp/>
        <stp>ASK</stp>
        <stp>.SPYG201120P52</stp>
        <tr r="I631" s="1"/>
      </tp>
      <tp t="s">
        <v>N/A</v>
        <stp/>
        <stp>PUT_CALL_RATIO</stp>
        <stp>.ILF201120P25</stp>
        <tr r="C279" s="1"/>
      </tp>
      <tp t="s">
        <v>N/A</v>
        <stp/>
        <stp>PUT_CALL_RATIO</stp>
        <stp>.XLF201120P27</stp>
        <tr r="C812" s="1"/>
      </tp>
      <tp t="s">
        <v>N/A</v>
        <stp/>
        <stp>PUT_CALL_RATIO</stp>
        <stp>.XLB201120P69</stp>
        <tr r="C791" s="1"/>
      </tp>
      <tp t="s">
        <v>N/A</v>
        <stp/>
        <stp>RHO</stp>
        <stp>.VCLT201120P107</stp>
        <tr r="Q706" s="1"/>
      </tp>
      <tp t="s">
        <v>N/A</v>
        <stp/>
        <stp>RHO</stp>
        <stp>.VCLT201120C107</stp>
        <tr r="Q705" s="1"/>
      </tp>
      <tp t="s">
        <v>N/A</v>
        <stp/>
        <stp>STRIKE</stp>
        <stp>.VGK201120C57</stp>
        <tr r="W722" s="1"/>
      </tp>
      <tp t="s">
        <v>N/A</v>
        <stp/>
        <stp>PUT_CALL_RATIO</stp>
        <stp>.XLB201120P70</stp>
        <tr r="C795" s="1"/>
      </tp>
      <tp t="s">
        <v>N/A</v>
        <stp/>
        <stp>PUT_CALL_RATIO</stp>
        <stp>.XLC201120P63</stp>
        <tr r="C798" s="1"/>
      </tp>
      <tp t="s">
        <v>N/A</v>
        <stp/>
        <stp>PUT_CALL_RATIO</stp>
        <stp>.XLC201120P64</stp>
        <tr r="C802" s="1"/>
      </tp>
      <tp t="s">
        <v>N/A</v>
        <stp/>
        <stp>LOW</stp>
        <stp>.SPYG201120P53</stp>
        <tr r="K633" s="1"/>
      </tp>
      <tp t="s">
        <v>N/A</v>
        <stp/>
        <stp>LOW</stp>
        <stp>.SPYG201120P52</stp>
        <tr r="K631" s="1"/>
      </tp>
      <tp t="s">
        <v>N/A</v>
        <stp/>
        <stp>PUT_CALL_RATIO</stp>
        <stp>.XLE201120P34</stp>
        <tr r="C807" s="1"/>
      </tp>
      <tp t="s">
        <v>N/A</v>
        <stp/>
        <stp>LOW</stp>
        <stp>.SHYG201120P45</stp>
        <tr r="K550" s="1"/>
      </tp>
      <tp t="s">
        <v>N/A</v>
        <stp/>
        <stp>DESCRIPTION</stp>
        <stp>.VXUS201120C56</stp>
        <tr r="B754" s="1"/>
      </tp>
      <tp t="s">
        <v>N/A</v>
        <stp/>
        <stp>DESCRIPTION</stp>
        <stp>.VXUS201120C57</stp>
        <tr r="B756" s="1"/>
      </tp>
      <tp t="s">
        <v>N/A</v>
        <stp/>
        <stp>VOLUME</stp>
        <stp>.XOP201120P49</stp>
        <tr r="F899" s="1"/>
      </tp>
      <tp t="s">
        <v>N/A</v>
        <stp/>
        <stp>VOLUME</stp>
        <stp>.XOP201120P48</stp>
        <tr r="F895" s="1"/>
      </tp>
      <tp t="s">
        <v>N/A</v>
        <stp/>
        <stp>VOLUME</stp>
        <stp>.XOP201120P47</stp>
        <tr r="F891" s="1"/>
      </tp>
      <tp t="s">
        <v>N/A</v>
        <stp/>
        <stp>PUT_CALL_RATIO</stp>
        <stp>.XLI201120P85</stp>
        <tr r="C819" s="1"/>
      </tp>
      <tp t="s">
        <v>N/A</v>
        <stp/>
        <stp>PUT_CALL_RATIO</stp>
        <stp>.XLI201120P84</stp>
        <tr r="C815" s="1"/>
      </tp>
      <tp t="s">
        <v>N/A</v>
        <stp/>
        <stp>PUT_CALL_RATIO</stp>
        <stp>.XLI201120P86</stp>
        <tr r="C823" s="1"/>
      </tp>
      <tp t="s">
        <v>N/A</v>
        <stp/>
        <stp>DESCRIPTION</stp>
        <stp>.IXUS201120C63</stp>
        <tr r="B361" s="1"/>
      </tp>
      <tp t="s">
        <v>N/A</v>
        <stp/>
        <stp>PROB_OF_EXPIRING</stp>
        <stp>.RWM201120P29</stp>
        <tr r="T519" s="1"/>
      </tp>
      <tp>
        <v>5565</v>
        <stp/>
        <stp>OPEN_INT</stp>
        <stp>.EFA201120P69</stp>
        <tr r="G103" s="1"/>
      </tp>
      <tp t="s">
        <v>N/A</v>
        <stp/>
        <stp>OPEN_INT</stp>
        <stp>.EFA201120P70</stp>
        <tr r="G107" s="1"/>
      </tp>
      <tp t="s">
        <v>N/A</v>
        <stp/>
        <stp>PROB_OTM</stp>
        <stp>.RSX201120P22</stp>
        <tr r="U514" s="1"/>
      </tp>
      <tp t="s">
        <v>N/A</v>
        <stp/>
        <stp>PROB_OF_EXPIRING</stp>
        <stp>.EWJ201120P64</stp>
        <tr r="T141" s="1"/>
      </tp>
      <tp t="s">
        <v>N/A</v>
        <stp/>
        <stp>PROB_OF_EXPIRING</stp>
        <stp>.EWJ201120P63</stp>
        <tr r="T137" s="1"/>
      </tp>
      <tp t="s">
        <v>N/A</v>
        <stp/>
        <stp>INTRINSIC</stp>
        <stp>.AAXJ201120C84</stp>
        <tr r="R5" s="1"/>
      </tp>
      <tp t="s">
        <v>N/A</v>
        <stp/>
        <stp>INTRINSIC</stp>
        <stp>.ARKK201120P97</stp>
        <tr r="R27" s="1"/>
      </tp>
      <tp t="s">
        <v>N/A</v>
        <stp/>
        <stp>INTRINSIC</stp>
        <stp>.AAXJ201120C83</stp>
        <tr r="R3" s="1"/>
      </tp>
      <tp t="s">
        <v>N/A</v>
        <stp/>
        <stp>INTRINSIC</stp>
        <stp>.ARKK201120P99</stp>
        <tr r="R31" s="1"/>
      </tp>
      <tp t="s">
        <v>N/A</v>
        <stp/>
        <stp>INTRINSIC</stp>
        <stp>.ARKK201120P98</stp>
        <tr r="R29" s="1"/>
      </tp>
      <tp t="s">
        <v>N/A</v>
        <stp/>
        <stp>PROB_OF_EXPIRING</stp>
        <stp>.VWO201120P47</stp>
        <tr r="T752" s="1"/>
      </tp>
      <tp t="s">
        <v>N/A</v>
        <stp/>
        <stp>PROB_OF_EXPIRING</stp>
        <stp>.EWI201120P27</stp>
        <tr r="T134" s="1"/>
      </tp>
      <tp t="s">
        <v>N/A</v>
        <stp/>
        <stp>PROB_OF_EXPIRING</stp>
        <stp>.EWH201120P24</stp>
        <tr r="T131" s="1"/>
      </tp>
      <tp t="s">
        <v>N/A</v>
        <stp/>
        <stp>PROB_OF_EXPIRING</stp>
        <stp>.EWL201120P43</stp>
        <tr r="T144" s="1"/>
      </tp>
      <tp t="s">
        <v>N/A</v>
        <stp/>
        <stp>OPEN_INT</stp>
        <stp>.VFH201120P66</stp>
        <tr r="G715" s="1"/>
      </tp>
      <tp t="s">
        <v>N/A</v>
        <stp/>
        <stp>OPEN_INT</stp>
        <stp>.VFH201120P67</stp>
        <tr r="G717" s="1"/>
      </tp>
      <tp t="s">
        <v>N/A</v>
        <stp/>
        <stp>PROB_OF_EXPIRING</stp>
        <stp>.EWG201120P30</stp>
        <tr r="T128" s="1"/>
      </tp>
      <tp t="s">
        <v>N/A</v>
        <stp/>
        <stp>PROB_OF_EXPIRING</stp>
        <stp>.EWA201120P22</stp>
        <tr r="T122" s="1"/>
      </tp>
      <tp t="s">
        <v>N/A</v>
        <stp/>
        <stp>PROB_OF_EXPIRING</stp>
        <stp>.EWC201120P29</stp>
        <tr r="T125" s="1"/>
      </tp>
      <tp t="s">
        <v>N/A</v>
        <stp/>
        <stp>INTRINSIC</stp>
        <stp>.GDXJ201120C53</stp>
        <tr r="R207" s="1"/>
      </tp>
      <tp t="s">
        <v>N/A</v>
        <stp/>
        <stp>INTRINSIC</stp>
        <stp>.GDXJ201120C52</stp>
        <tr r="R203" s="1"/>
      </tp>
      <tp t="s">
        <v>N/A</v>
        <stp/>
        <stp>INTRINSIC</stp>
        <stp>.GDXJ201120C54</stp>
        <tr r="R211" s="1"/>
      </tp>
      <tp t="s">
        <v>N/A</v>
        <stp/>
        <stp>PROB_OF_EXPIRING</stp>
        <stp>.EWY201120P73</stp>
        <tr r="T169" s="1"/>
      </tp>
      <tp t="s">
        <v>N/A</v>
        <stp/>
        <stp>PROB_OF_EXPIRING</stp>
        <stp>.EWY201120P72</stp>
        <tr r="T165" s="1"/>
      </tp>
      <tp t="s">
        <v>N/A</v>
        <stp/>
        <stp>PUT_CALL_RATIO</stp>
        <stp>.VOO201120C330</stp>
        <tr r="C732" s="1"/>
      </tp>
      <tp t="s">
        <v>N/A</v>
        <stp/>
        <stp>PUT_CALL_RATIO</stp>
        <stp>.VOO201120P330</stp>
        <tr r="C733" s="1"/>
      </tp>
      <tp t="s">
        <v>N/A</v>
        <stp/>
        <stp>PUT_CALL_RATIO</stp>
        <stp>.VOO201120C325</stp>
        <tr r="C730" s="1"/>
      </tp>
      <tp t="s">
        <v>N/A</v>
        <stp/>
        <stp>PUT_CALL_RATIO</stp>
        <stp>.VOO201120P325</stp>
        <tr r="C731" s="1"/>
      </tp>
      <tp t="s">
        <v>N/A</v>
        <stp/>
        <stp>PROB_OF_EXPIRING</stp>
        <stp>.GDX201120C37</stp>
        <tr r="T198" s="1"/>
      </tp>
      <tp t="s">
        <v>N/A</v>
        <stp/>
        <stp>OPEN_INT</stp>
        <stp>.EFV201120P45</stp>
        <tr r="G110" s="1"/>
      </tp>
      <tp t="s">
        <v>N/A</v>
        <stp/>
        <stp>IMPL_VOL</stp>
        <stp>.XOP201120C47</stp>
        <tr r="D890" s="1"/>
      </tp>
      <tp t="s">
        <v>N/A</v>
        <stp/>
        <stp>IMPL_VOL</stp>
        <stp>.XOP201120C48</stp>
        <tr r="D894" s="1"/>
      </tp>
      <tp t="s">
        <v>N/A</v>
        <stp/>
        <stp>IMPL_VOL</stp>
        <stp>.XOP201120C49</stp>
        <tr r="D898" s="1"/>
      </tp>
      <tp t="s">
        <v>N/A</v>
        <stp/>
        <stp>PROB_OF_EXPIRING</stp>
        <stp>.EWZ201120P32</stp>
        <tr r="T176" s="1"/>
      </tp>
      <tp t="s">
        <v>N/A</v>
        <stp/>
        <stp>PUT_CALL_RATIO</stp>
        <stp>.IWM201120P175</stp>
        <tr r="C359" s="1"/>
      </tp>
      <tp t="s">
        <v>N/A</v>
        <stp/>
        <stp>PUT_CALL_RATIO</stp>
        <stp>.IWM201120C175</stp>
        <tr r="C358" s="1"/>
      </tp>
      <tp t="s">
        <v>N/A</v>
        <stp/>
        <stp>PUT_CALL_RATIO</stp>
        <stp>.IWM201120P174</stp>
        <tr r="C357" s="1"/>
      </tp>
      <tp t="s">
        <v>N/A</v>
        <stp/>
        <stp>PUT_CALL_RATIO</stp>
        <stp>.IWM201120C174</stp>
        <tr r="C356" s="1"/>
      </tp>
      <tp t="s">
        <v>N/A</v>
        <stp/>
        <stp>PUT_CALL_RATIO</stp>
        <stp>.IWM201120P173</stp>
        <tr r="C355" s="1"/>
      </tp>
      <tp t="s">
        <v>N/A</v>
        <stp/>
        <stp>PUT_CALL_RATIO</stp>
        <stp>.IWM201120C173</stp>
        <tr r="C354" s="1"/>
      </tp>
      <tp t="s">
        <v>N/A</v>
        <stp/>
        <stp>PUT_CALL_RATIO</stp>
        <stp>.IWM201120P172</stp>
        <tr r="C351" s="1"/>
      </tp>
      <tp t="s">
        <v>N/A</v>
        <stp/>
        <stp>PUT_CALL_RATIO</stp>
        <stp>.IWM201120C172</stp>
        <tr r="C350" s="1"/>
      </tp>
      <tp t="s">
        <v>N/A</v>
        <stp/>
        <stp>PUT_CALL_RATIO</stp>
        <stp>.IWM201120P171</stp>
        <tr r="C349" s="1"/>
      </tp>
      <tp t="s">
        <v>N/A</v>
        <stp/>
        <stp>PUT_CALL_RATIO</stp>
        <stp>.IWM201120C171</stp>
        <tr r="C348" s="1"/>
      </tp>
      <tp t="s">
        <v>N/A</v>
        <stp/>
        <stp>PUT_CALL_RATIO</stp>
        <stp>.IWM201120P170</stp>
        <tr r="C347" s="1"/>
      </tp>
      <tp t="s">
        <v>N/A</v>
        <stp/>
        <stp>PUT_CALL_RATIO</stp>
        <stp>.IWM201120C170</stp>
        <tr r="C346" s="1"/>
      </tp>
      <tp t="s">
        <v>N/A</v>
        <stp/>
        <stp>PROB_OF_EXPIRING</stp>
        <stp>.EWW201120P39</stp>
        <tr r="T158" s="1"/>
      </tp>
      <tp t="s">
        <v>N/A</v>
        <stp/>
        <stp>PROB_OF_EXPIRING</stp>
        <stp>.SDS201120C14</stp>
        <tr r="T540" s="1"/>
      </tp>
      <tp t="s">
        <v>N/A</v>
        <stp/>
        <stp>PROB_OF_EXPIRING</stp>
        <stp>.EWP201120P26</stp>
        <tr r="T147" s="1"/>
      </tp>
      <tp t="s">
        <v>N/A</v>
        <stp/>
        <stp>PROB_OF_TOUCHING</stp>
        <stp>.VNQ201120C84</stp>
        <tr r="V725" s="1"/>
      </tp>
      <tp t="s">
        <v>N/A</v>
        <stp/>
        <stp>PROB_OF_TOUCHING</stp>
        <stp>.VNQ201120C85</stp>
        <tr r="V727" s="1"/>
      </tp>
      <tp t="s">
        <v>N/A</v>
        <stp/>
        <stp>PROB_OF_EXPIRING</stp>
        <stp>.EWT201120P48</stp>
        <tr r="T150" s="1"/>
      </tp>
      <tp t="s">
        <v>N/A</v>
        <stp/>
        <stp>PROB_OTM</stp>
        <stp>.SSO201120P84</stp>
        <tr r="U656" s="1"/>
      </tp>
      <tp t="s">
        <v>N/A</v>
        <stp/>
        <stp>PROB_OTM</stp>
        <stp>.SSO201120P81</stp>
        <tr r="U644" s="1"/>
      </tp>
      <tp t="s">
        <v>N/A</v>
        <stp/>
        <stp>PROB_OTM</stp>
        <stp>.SSO201120P82</stp>
        <tr r="U648" s="1"/>
      </tp>
      <tp t="s">
        <v>N/A</v>
        <stp/>
        <stp>PROB_OTM</stp>
        <stp>.SSO201120P83</stp>
        <tr r="U652" s="1"/>
      </tp>
      <tp t="s">
        <v>N/A</v>
        <stp/>
        <stp>PROB_OTM</stp>
        <stp>.SCHF201120P34</stp>
        <tr r="U530" s="1"/>
      </tp>
      <tp t="s">
        <v>N/A</v>
        <stp/>
        <stp>OPEN_INT</stp>
        <stp>.ACWI201120P86</stp>
        <tr r="G11" s="1"/>
      </tp>
      <tp t="s">
        <v>N/A</v>
        <stp/>
        <stp>OPEN_INT</stp>
        <stp>.ACWI201120P85</stp>
        <tr r="G9" s="1"/>
      </tp>
      <tp>
        <v>3.2</v>
        <stp/>
        <stp>BID</stp>
        <stp>.XBI201120P125.5</stp>
        <tr r="H779" s="1"/>
      </tp>
      <tp>
        <v>2.81</v>
        <stp/>
        <stp>LOW</stp>
        <stp>.XBI201120C123.5</stp>
        <tr r="K770" s="1"/>
      </tp>
      <tp t="s">
        <v>N/A</v>
        <stp/>
        <stp>IMPL_VOL</stp>
        <stp>.PDBC201120C14</stp>
        <tr r="D452" s="1"/>
      </tp>
      <tp t="s">
        <v>N/A</v>
        <stp/>
        <stp>DESCRIPTION</stp>
        <stp>.IVW201120P61.25</stp>
        <tr r="B332" s="1"/>
      </tp>
      <tp t="s">
        <v>N/A</v>
        <stp/>
        <stp>INTRINSIC</stp>
        <stp>.XLC201120P63.5</stp>
        <tr r="R800" s="1"/>
      </tp>
      <tp t="s">
        <v>N/A</v>
        <stp/>
        <stp>INTRINSIC</stp>
        <stp>.XLE201120P33.5</stp>
        <tr r="R805" s="1"/>
      </tp>
      <tp t="s">
        <v>N/A</v>
        <stp/>
        <stp>EXTRINSIC</stp>
        <stp>.XLE201120P33.5</stp>
        <tr r="S805" s="1"/>
      </tp>
      <tp t="s">
        <v>N/A</v>
        <stp/>
        <stp>EXTRINSIC</stp>
        <stp>.XLC201120P63.5</stp>
        <tr r="S800" s="1"/>
      </tp>
      <tp t="s">
        <v>N/A</v>
        <stp/>
        <stp>INTRINSIC</stp>
        <stp>.XLC201120C63.5</stp>
        <tr r="R799" s="1"/>
      </tp>
      <tp t="s">
        <v>N/A</v>
        <stp/>
        <stp>INTRINSIC</stp>
        <stp>.XLE201120C33.5</stp>
        <tr r="R804" s="1"/>
      </tp>
      <tp t="s">
        <v>N/A</v>
        <stp/>
        <stp>PROB_OTM</stp>
        <stp>.SPHD201120P36</stp>
        <tr r="U583" s="1"/>
      </tp>
      <tp t="s">
        <v>N/A</v>
        <stp/>
        <stp>PROB_OTM</stp>
        <stp>.SCHE201120P29</stp>
        <tr r="U527" s="1"/>
      </tp>
      <tp t="s">
        <v>N/A</v>
        <stp/>
        <stp>EXTRINSIC</stp>
        <stp>.XLE201120C33.5</stp>
        <tr r="S804" s="1"/>
      </tp>
      <tp t="s">
        <v>N/A</v>
        <stp/>
        <stp>EXTRINSIC</stp>
        <stp>.XLC201120C63.5</stp>
        <tr r="S799" s="1"/>
      </tp>
      <tp t="s">
        <v>N/A</v>
        <stp/>
        <stp>OPEN_INT</stp>
        <stp>.INDA201120C36</stp>
        <tr r="G281" s="1"/>
      </tp>
      <tp t="s">
        <v>N/A</v>
        <stp/>
        <stp>PROB_OTM</stp>
        <stp>.MCHI201120P80</stp>
        <tr r="U413" s="1"/>
      </tp>
      <tp t="s">
        <v>N/A</v>
        <stp/>
        <stp>STRIKE</stp>
        <stp>.VCLT201120C107</stp>
        <tr r="W705" s="1"/>
      </tp>
      <tp t="s">
        <v>N/A</v>
        <stp/>
        <stp>STRIKE</stp>
        <stp>.VCLT201120P107</stp>
        <tr r="W706" s="1"/>
      </tp>
      <tp t="s">
        <v>N/A</v>
        <stp/>
        <stp>RHO</stp>
        <stp>.XLY201120P154.5</stp>
        <tr r="Q881" s="1"/>
      </tp>
      <tp t="s">
        <v>N/A</v>
        <stp/>
        <stp>PROB_OF_EXPIRING</stp>
        <stp>.AMLP201120C24</stp>
        <tr r="T23" s="1"/>
      </tp>
      <tp t="s">
        <v>N/A</v>
        <stp/>
        <stp>PROB_OF_EXPIRING</stp>
        <stp>.AMLP201120C23</stp>
        <tr r="T19" s="1"/>
      </tp>
      <tp t="s">
        <v>N/A</v>
        <stp/>
        <stp>DESCRIPTION</stp>
        <stp>.SMH201120P194.5</stp>
        <tr r="B561" s="1"/>
      </tp>
      <tp t="s">
        <v>N/A</v>
        <stp/>
        <stp>PROB_OTM</stp>
        <stp>.SCHD201120P61</stp>
        <tr r="U522" s="1"/>
      </tp>
      <tp t="s">
        <v>N/A</v>
        <stp/>
        <stp>PROB_OTM</stp>
        <stp>.SCHD201120P62</stp>
        <tr r="U524" s="1"/>
      </tp>
      <tp t="s">
        <v>N/A</v>
        <stp/>
        <stp>PROB_OF_EXPIRING</stp>
        <stp>.SPLV201120C55</stp>
        <tr r="T588" s="1"/>
      </tp>
      <tp t="s">
        <v>N/A</v>
        <stp/>
        <stp>EXTRINSIC</stp>
        <stp>.SSO201120C83.5</stp>
        <tr r="S653" s="1"/>
      </tp>
      <tp t="s">
        <v>N/A</v>
        <stp/>
        <stp>EXTRINSIC</stp>
        <stp>.SDS201120P13.5</stp>
        <tr r="S539" s="1"/>
      </tp>
      <tp t="s">
        <v>N/A</v>
        <stp/>
        <stp>INTRINSIC</stp>
        <stp>.SDS201120P13.5</stp>
        <tr r="R539" s="1"/>
      </tp>
      <tp t="s">
        <v>N/A</v>
        <stp/>
        <stp>INTRINSIC</stp>
        <stp>.SSO201120C83.5</stp>
        <tr r="R653" s="1"/>
      </tp>
      <tp t="s">
        <v>N/A</v>
        <stp/>
        <stp>EXTRINSIC</stp>
        <stp>.SSO201120P83.5</stp>
        <tr r="S654" s="1"/>
      </tp>
      <tp t="s">
        <v>N/A</v>
        <stp/>
        <stp>EXTRINSIC</stp>
        <stp>.SDS201120C13.5</stp>
        <tr r="S538" s="1"/>
      </tp>
      <tp t="s">
        <v>N/A</v>
        <stp/>
        <stp>INTRINSIC</stp>
        <stp>.SDS201120C13.5</stp>
        <tr r="R538" s="1"/>
      </tp>
      <tp t="s">
        <v>N/A</v>
        <stp/>
        <stp>INTRINSIC</stp>
        <stp>.SSO201120P83.5</stp>
        <tr r="R654" s="1"/>
      </tp>
      <tp t="s">
        <v>N/A</v>
        <stp/>
        <stp>RHO</stp>
        <stp>.XBI201120P124.5</stp>
        <tr r="Q775" s="1"/>
      </tp>
      <tp t="s">
        <v>N/A</v>
        <stp/>
        <stp>EXTRINSIC</stp>
        <stp>.TAN201120P73.5</stp>
        <tr r="S665" s="1"/>
      </tp>
      <tp t="s">
        <v>N/A</v>
        <stp/>
        <stp>INTRINSIC</stp>
        <stp>.TAN201120P73.5</stp>
        <tr r="R665" s="1"/>
      </tp>
      <tp t="s">
        <v>N/A</v>
        <stp/>
        <stp>EXTRINSIC</stp>
        <stp>.TAN201120C73.5</stp>
        <tr r="S664" s="1"/>
      </tp>
      <tp t="s">
        <v>N/A</v>
        <stp/>
        <stp>INTRINSIC</stp>
        <stp>.TAN201120C73.5</stp>
        <tr r="R664" s="1"/>
      </tp>
      <tp t="s">
        <v>N/A</v>
        <stp/>
        <stp>LOW</stp>
        <stp>.XLY201120C153.5</stp>
        <tr r="K876" s="1"/>
      </tp>
      <tp>
        <v>1.72</v>
        <stp/>
        <stp>LOW</stp>
        <stp>.SMH201120C198.5</stp>
        <tr r="K576" s="1"/>
      </tp>
      <tp t="s">
        <v>N/A</v>
        <stp/>
        <stp>PROB_OF_TOUCHING</stp>
        <stp>.JETS201120P20</stp>
        <tr r="V379" s="1"/>
      </tp>
      <tp t="s">
        <v>N/A</v>
        <stp/>
        <stp>PROB_OF_EXPIRING</stp>
        <stp>.HYLB201120C49</stp>
        <tr r="T226" s="1"/>
      </tp>
      <tp t="s">
        <v>N/A</v>
        <stp/>
        <stp>DESCRIPTION</stp>
        <stp>.IVW201120C61.25</stp>
        <tr r="B331" s="1"/>
      </tp>
      <tp t="s">
        <v>N/A</v>
        <stp/>
        <stp>PROB_OTM</stp>
        <stp>.SCHP201120P61</stp>
        <tr r="U533" s="1"/>
      </tp>
      <tp>
        <v>1.39</v>
        <stp/>
        <stp>BID</stp>
        <stp>.XBI201120C125.5</stp>
        <tr r="H778" s="1"/>
      </tp>
      <tp>
        <v>1.69</v>
        <stp/>
        <stp>LOW</stp>
        <stp>.XBI201120P123.5</stp>
        <tr r="K771" s="1"/>
      </tp>
      <tp t="s">
        <v>N/A</v>
        <stp/>
        <stp>PROB_OF_EXPIRING</stp>
        <stp>.EMLC201120C32</stp>
        <tr r="T115" s="1"/>
      </tp>
      <tp t="s">
        <v>N/A</v>
        <stp/>
        <stp>PROB_OTM</stp>
        <stp>.ASHR201120P38</stp>
        <tr r="U47" s="1"/>
      </tp>
      <tp>
        <v>0</v>
        <stp/>
        <stp>OPEN_INT</stp>
        <stp>.SPDW201120C32</stp>
        <tr r="G579" s="1"/>
      </tp>
      <tp t="s">
        <v>N/A</v>
        <stp/>
        <stp>DESCRIPTION</stp>
        <stp>.SMH201120C194.5</stp>
        <tr r="B560" s="1"/>
      </tp>
      <tp t="s">
        <v>N/A</v>
        <stp/>
        <stp>RHO</stp>
        <stp>.XLY201120C154.5</stp>
        <tr r="Q880" s="1"/>
      </tp>
      <tp t="s">
        <v>N/A</v>
        <stp/>
        <stp>PROB_OF_EXPIRING</stp>
        <stp>.SPLG201120C42</stp>
        <tr r="T585" s="1"/>
      </tp>
      <tp t="s">
        <v>N/A</v>
        <stp/>
        <stp>PROB_OF_EXPIRING</stp>
        <stp>.ICLN201120C22</stp>
        <tr r="T246" s="1"/>
      </tp>
      <tp t="s">
        <v>N/A</v>
        <stp/>
        <stp>PROB_OF_EXPIRING</stp>
        <stp>.BKLN201120C22</stp>
        <tr r="T49" s="1"/>
      </tp>
      <tp t="s">
        <v>N/A</v>
        <stp/>
        <stp>RHO</stp>
        <stp>.XBI201120C124.5</stp>
        <tr r="Q774" s="1"/>
      </tp>
      <tp>
        <v>11</v>
        <stp/>
        <stp>OPEN_INT</stp>
        <stp>.INDY201120C38</stp>
        <tr r="G286" s="1"/>
      </tp>
      <tp t="s">
        <v>N/A</v>
        <stp/>
        <stp>OPEN_INT</stp>
        <stp>.ACWX201120P50</stp>
        <tr r="G14" s="1"/>
      </tp>
      <tp>
        <v>0</v>
        <stp/>
        <stp>LOW</stp>
        <stp>.SMH201120P198.5</stp>
        <tr r="K577" s="1"/>
      </tp>
      <tp t="s">
        <v>N/A</v>
        <stp/>
        <stp>LOW</stp>
        <stp>.XLY201120P153.5</stp>
        <tr r="K877" s="1"/>
      </tp>
      <tp t="s">
        <v>N/A</v>
        <stp/>
        <stp>EXTRINSIC</stp>
        <stp>.EWJ201120C63.5</stp>
        <tr r="S138" s="1"/>
      </tp>
      <tp t="s">
        <v>N/A</v>
        <stp/>
        <stp>EXTRINSIC</stp>
        <stp>.EWY201120C73.5</stp>
        <tr r="S170" s="1"/>
      </tp>
      <tp t="s">
        <v>N/A</v>
        <stp/>
        <stp>INTRINSIC</stp>
        <stp>.EWY201120C73.5</stp>
        <tr r="R170" s="1"/>
      </tp>
      <tp t="s">
        <v>N/A</v>
        <stp/>
        <stp>INTRINSIC</stp>
        <stp>.EWJ201120C63.5</stp>
        <tr r="R138" s="1"/>
      </tp>
      <tp t="s">
        <v>N/A</v>
        <stp/>
        <stp>EXTRINSIC</stp>
        <stp>.EWJ201120P63.5</stp>
        <tr r="S139" s="1"/>
      </tp>
      <tp t="s">
        <v>N/A</v>
        <stp/>
        <stp>EXTRINSIC</stp>
        <stp>.EWY201120P73.5</stp>
        <tr r="S171" s="1"/>
      </tp>
      <tp t="s">
        <v>N/A</v>
        <stp/>
        <stp>INTRINSIC</stp>
        <stp>.EWY201120P73.5</stp>
        <tr r="R171" s="1"/>
      </tp>
      <tp t="s">
        <v>N/A</v>
        <stp/>
        <stp>INTRINSIC</stp>
        <stp>.EWJ201120P63.5</stp>
        <tr r="R139" s="1"/>
      </tp>
      <tp t="s">
        <v>N/A</v>
        <stp/>
        <stp>DELTA</stp>
        <stp>.QQQ201120P292.5</stp>
        <tr r="M493" s="1"/>
      </tp>
      <tp t="s">
        <v>N/A</v>
        <stp/>
        <stp>THETA</stp>
        <stp>.QQQ201120C292.5</stp>
        <tr r="O492" s="1"/>
      </tp>
      <tp t="s">
        <v>N/A</v>
        <stp/>
        <stp>GAMMA</stp>
        <stp>.MDY201120C387.5</stp>
        <tr r="N421" s="1"/>
      </tp>
      <tp>
        <v>0</v>
        <stp/>
        <stp>THETA</stp>
        <stp>XRT</stp>
        <tr r="O902" s="1"/>
      </tp>
      <tp>
        <v>1</v>
        <stp/>
        <stp>DELTA</stp>
        <stp>QQQ</stp>
        <tr r="M475" s="1"/>
      </tp>
      <tp>
        <v>0</v>
        <stp/>
        <stp>GAMMA</stp>
        <stp>PGX</stp>
        <tr r="N454" s="1"/>
      </tp>
      <tp t="s">
        <v>N/A</v>
        <stp/>
        <stp>THETA</stp>
        <stp>.QQQ201120P292.5</stp>
        <tr r="O493" s="1"/>
      </tp>
      <tp>
        <v>37.83</v>
        <stp/>
        <stp>LAST</stp>
        <stp>INDY</stp>
        <tr r="E285" s="1"/>
      </tp>
      <tp>
        <v>35.75</v>
        <stp/>
        <stp>LAST</stp>
        <stp>INDA</stp>
        <tr r="E280" s="1"/>
      </tp>
      <tp t="s">
        <v>N/A</v>
        <stp/>
        <stp>DELTA</stp>
        <stp>.QQQ201120C292.5</stp>
        <tr r="M492" s="1"/>
      </tp>
      <tp t="s">
        <v>N/A</v>
        <stp/>
        <stp>DELTA</stp>
        <stp>.FXI201120C48</stp>
        <tr r="M193" s="1"/>
      </tp>
      <tp t="s">
        <v>N/A</v>
        <stp/>
        <stp>DELTA</stp>
        <stp>.FXI201120C47</stp>
        <tr r="M189" s="1"/>
      </tp>
      <tp t="s">
        <v>N/A</v>
        <stp/>
        <stp>THETA</stp>
        <stp>.XHB201120C56</stp>
        <tr r="O785" s="1"/>
      </tp>
      <tp t="s">
        <v>N/A</v>
        <stp/>
        <stp>THETA</stp>
        <stp>.XHB201120C55</stp>
        <tr r="O781" s="1"/>
      </tp>
      <tp t="s">
        <v>N/A</v>
        <stp/>
        <stp>DELTA</stp>
        <stp>.PXH201120C20</stp>
        <tr r="M460" s="1"/>
      </tp>
      <tp>
        <v>0</v>
        <stp/>
        <stp>THETA</stp>
        <stp>XBI</stp>
        <tr r="O763" s="1"/>
      </tp>
      <tp t="s">
        <v>N/A</v>
        <stp/>
        <stp>GAMMA</stp>
        <stp>.MDY201120P387.5</stp>
        <tr r="N422" s="1"/>
      </tp>
      <tp>
        <v>0</v>
        <stp/>
        <stp>GAMMA</stp>
        <stp>PXH</stp>
        <tr r="N457" s="1"/>
      </tp>
      <tp t="s">
        <v>N/A</v>
        <stp/>
        <stp>DELTA</stp>
        <stp>.PXH201120C19</stp>
        <tr r="M458" s="1"/>
      </tp>
      <tp>
        <v>0</v>
        <stp/>
        <stp>THETA</stp>
        <stp>XOP</stp>
        <tr r="O889" s="1"/>
      </tp>
      <tp>
        <v>62.89</v>
        <stp/>
        <stp>OPEN</stp>
        <stp>IXUS</stp>
        <tr r="L360" s="1"/>
      </tp>
      <tp>
        <v>56.26</v>
        <stp/>
        <stp>OPEN</stp>
        <stp>VXUS</stp>
        <tr r="L753" s="1"/>
      </tp>
      <tp t="s">
        <v>N/A</v>
        <stp/>
        <stp>LAST</stp>
        <stp>.QUAL201120C112</stp>
        <tr r="E503" s="1"/>
      </tp>
      <tp t="s">
        <v>N/A</v>
        <stp/>
        <stp>LAST</stp>
        <stp>.QUAL201120P112</stp>
        <tr r="E504" s="1"/>
      </tp>
      <tp>
        <v>3.04</v>
        <stp/>
        <stp>LAST</stp>
        <stp>.QUAL201120C111</stp>
        <tr r="E501" s="1"/>
      </tp>
      <tp>
        <v>0</v>
        <stp/>
        <stp>LAST</stp>
        <stp>.QUAL201120P111</stp>
        <tr r="E502" s="1"/>
      </tp>
      <tp t="s">
        <v>N/A</v>
        <stp/>
        <stp>LAST</stp>
        <stp>.QUAL201120C110</stp>
        <tr r="E499" s="1"/>
      </tp>
      <tp>
        <v>0</v>
        <stp/>
        <stp>LAST</stp>
        <stp>.QUAL201120P110</stp>
        <tr r="E500" s="1"/>
      </tp>
      <tp>
        <v>0</v>
        <stp/>
        <stp>THETA</stp>
        <stp>XME</stp>
        <tr r="O884" s="1"/>
      </tp>
      <tp>
        <v>0</v>
        <stp/>
        <stp>THETA</stp>
        <stp>XLK</stp>
        <tr r="O824" s="1"/>
      </tp>
      <tp>
        <v>0</v>
        <stp/>
        <stp>THETA</stp>
        <stp>XLI</stp>
        <tr r="O813" s="1"/>
      </tp>
      <tp>
        <v>0</v>
        <stp/>
        <stp>THETA</stp>
        <stp>XLF</stp>
        <tr r="O810" s="1"/>
      </tp>
      <tp>
        <v>0</v>
        <stp/>
        <stp>THETA</stp>
        <stp>XLE</stp>
        <tr r="O803" s="1"/>
      </tp>
      <tp>
        <v>0</v>
        <stp/>
        <stp>THETA</stp>
        <stp>XLB</stp>
        <tr r="O787" s="1"/>
      </tp>
      <tp>
        <v>0</v>
        <stp/>
        <stp>THETA</stp>
        <stp>XLC</stp>
        <tr r="O796" s="1"/>
      </tp>
      <tp>
        <v>0</v>
        <stp/>
        <stp>THETA</stp>
        <stp>XLY</stp>
        <tr r="O867" s="1"/>
      </tp>
      <tp>
        <v>0</v>
        <stp/>
        <stp>THETA</stp>
        <stp>XLV</stp>
        <tr r="O856" s="1"/>
      </tp>
      <tp>
        <v>1</v>
        <stp/>
        <stp>DELTA</stp>
        <stp>QLD</stp>
        <tr r="M462" s="1"/>
      </tp>
      <tp>
        <v>0</v>
        <stp/>
        <stp>THETA</stp>
        <stp>XLU</stp>
        <tr r="O849" s="1"/>
      </tp>
      <tp>
        <v>0</v>
        <stp/>
        <stp>THETA</stp>
        <stp>XLP</stp>
        <tr r="O841" s="1"/>
      </tp>
      <tp t="s">
        <v>N/A</v>
        <stp/>
        <stp>DELTA</stp>
        <stp>.DXD201120C14</stp>
        <tr r="M92" s="1"/>
      </tp>
      <tp t="s">
        <v>N/A</v>
        <stp/>
        <stp>GAMMA</stp>
        <stp>.XHB201120P56</stp>
        <tr r="N786" s="1"/>
      </tp>
      <tp t="s">
        <v>N/A</v>
        <stp/>
        <stp>GAMMA</stp>
        <stp>.XHB201120P55</stp>
        <tr r="N782" s="1"/>
      </tp>
      <tp>
        <v>0</v>
        <stp/>
        <stp>THETA</stp>
        <stp>XHB</stp>
        <tr r="O780" s="1"/>
      </tp>
      <tp>
        <v>0</v>
        <stp/>
        <stp>LOW</stp>
        <stp>.MTUM201120C152</stp>
        <tr r="K433" s="1"/>
      </tp>
      <tp t="s">
        <v>N/A</v>
        <stp/>
        <stp>LOW</stp>
        <stp>.MTUM201120P152</stp>
        <tr r="K434" s="1"/>
      </tp>
      <tp>
        <v>0</v>
        <stp/>
        <stp>LOW</stp>
        <stp>.MTUM201120C150</stp>
        <tr r="K429" s="1"/>
      </tp>
      <tp t="s">
        <v>N/A</v>
        <stp/>
        <stp>LOW</stp>
        <stp>.MTUM201120P150</stp>
        <tr r="K430" s="1"/>
      </tp>
      <tp t="s">
        <v>N/A</v>
        <stp/>
        <stp>LOW</stp>
        <stp>.MTUM201120C151</stp>
        <tr r="K431" s="1"/>
      </tp>
      <tp t="s">
        <v>N/A</v>
        <stp/>
        <stp>LOW</stp>
        <stp>.MTUM201120P151</stp>
        <tr r="K432" s="1"/>
      </tp>
      <tp t="s">
        <v>N/A</v>
        <stp/>
        <stp>DESCRIPTION</stp>
        <stp>.DGRO201120C43</stp>
        <tr r="B60" s="1"/>
      </tp>
      <tp t="s">
        <v>N/A</v>
        <stp/>
        <stp>LOW</stp>
        <stp>.MTUM201120C149</stp>
        <tr r="K427" s="1"/>
      </tp>
      <tp t="s">
        <v>N/A</v>
        <stp/>
        <stp>LOW</stp>
        <stp>.MTUM201120P149</stp>
        <tr r="K428" s="1"/>
      </tp>
      <tp t="s">
        <v>N/A</v>
        <stp/>
        <stp>RHO</stp>
        <stp>.IEMG201120C57</stp>
        <tr r="Q257" s="1"/>
      </tp>
      <tp t="s">
        <v>N/A</v>
        <stp/>
        <stp>RHO</stp>
        <stp>.IEMG201120C58</stp>
        <tr r="Q259" s="1"/>
      </tp>
      <tp>
        <v>0.45</v>
        <stp/>
        <stp>ASK</stp>
        <stp>.USMV201120C67</stp>
        <tr r="I699" s="1"/>
      </tp>
      <tp>
        <v>0.2</v>
        <stp/>
        <stp>BID</stp>
        <stp>.USMV201120C67</stp>
        <tr r="H699" s="1"/>
      </tp>
      <tp>
        <v>0</v>
        <stp/>
        <stp>LOW</stp>
        <stp>.USMV201120C67</stp>
        <tr r="K699" s="1"/>
      </tp>
      <tp t="s">
        <v>N/A</v>
        <stp/>
        <stp>DESCRIPTION</stp>
        <stp>.XLRE201120C37</stp>
        <tr r="B847" s="1"/>
      </tp>
      <tp t="s">
        <v>N/A</v>
        <stp/>
        <stp>STRIKE</stp>
        <stp>.RSX201120P22</stp>
        <tr r="W514" s="1"/>
      </tp>
      <tp>
        <v>11</v>
        <stp/>
        <stp>VOLUME</stp>
        <stp>.XHB201120P56</stp>
        <tr r="F786" s="1"/>
      </tp>
      <tp>
        <v>5</v>
        <stp/>
        <stp>VOLUME</stp>
        <stp>.XHB201120P55</stp>
        <tr r="F782" s="1"/>
      </tp>
      <tp t="s">
        <v>N/A</v>
        <stp/>
        <stp>STRIKE</stp>
        <stp>.SSO201120P84</stp>
        <tr r="W656" s="1"/>
      </tp>
      <tp t="s">
        <v>N/A</v>
        <stp/>
        <stp>STRIKE</stp>
        <stp>.SSO201120P83</stp>
        <tr r="W652" s="1"/>
      </tp>
      <tp t="s">
        <v>N/A</v>
        <stp/>
        <stp>STRIKE</stp>
        <stp>.SSO201120P82</stp>
        <tr r="W648" s="1"/>
      </tp>
      <tp t="s">
        <v>N/A</v>
        <stp/>
        <stp>STRIKE</stp>
        <stp>.SSO201120P81</stp>
        <tr r="W644" s="1"/>
      </tp>
      <tp t="s">
        <v>N/A</v>
        <stp/>
        <stp>PUT_CALL_RATIO</stp>
        <stp>.FXI201120C47</stp>
        <tr r="C189" s="1"/>
      </tp>
      <tp t="s">
        <v>N/A</v>
        <stp/>
        <stp>PUT_CALL_RATIO</stp>
        <stp>.FXI201120C48</stp>
        <tr r="C193" s="1"/>
      </tp>
      <tp>
        <v>0.6</v>
        <stp/>
        <stp>BID</stp>
        <stp>.IEMG201120C57</stp>
        <tr r="H257" s="1"/>
      </tp>
      <tp>
        <v>0.15</v>
        <stp/>
        <stp>BID</stp>
        <stp>.IEMG201120C58</stp>
        <tr r="H259" s="1"/>
      </tp>
      <tp t="s">
        <v>N/A</v>
        <stp/>
        <stp>PUT_CALL_RATIO</stp>
        <stp>.PXH201120C19</stp>
        <tr r="C458" s="1"/>
      </tp>
      <tp t="s">
        <v>N/A</v>
        <stp/>
        <stp>RHO</stp>
        <stp>.USMV201120C67</stp>
        <tr r="Q699" s="1"/>
      </tp>
      <tp t="s">
        <v>N/A</v>
        <stp/>
        <stp>PUT_CALL_RATIO</stp>
        <stp>.PXH201120C20</stp>
        <tr r="C460" s="1"/>
      </tp>
      <tp>
        <v>0.3</v>
        <stp/>
        <stp>ASK</stp>
        <stp>.IEMG201120C58</stp>
        <tr r="I259" s="1"/>
      </tp>
      <tp>
        <v>0.75</v>
        <stp/>
        <stp>ASK</stp>
        <stp>.IEMG201120C57</stp>
        <tr r="I257" s="1"/>
      </tp>
      <tp t="s">
        <v>N/A</v>
        <stp/>
        <stp>PUT_CALL_RATIO</stp>
        <stp>.DXD201120C14</stp>
        <tr r="C92" s="1"/>
      </tp>
      <tp>
        <v>0</v>
        <stp/>
        <stp>LOW</stp>
        <stp>.IEMG201120C57</stp>
        <tr r="K257" s="1"/>
      </tp>
      <tp>
        <v>0.35</v>
        <stp/>
        <stp>LOW</stp>
        <stp>.IEMG201120C58</stp>
        <tr r="K259" s="1"/>
      </tp>
      <tp t="s">
        <v>N/A</v>
        <stp/>
        <stp>PROB_OTM</stp>
        <stp>.PGX201120C15</stp>
        <tr r="U455" s="1"/>
      </tp>
      <tp t="s">
        <v>N/A</v>
        <stp/>
        <stp>INTRINSIC</stp>
        <stp>.EMLC201120P32</stp>
        <tr r="R116" s="1"/>
      </tp>
      <tp t="s">
        <v>N/A</v>
        <stp/>
        <stp>INTRINSIC</stp>
        <stp>.SPLG201120P42</stp>
        <tr r="R586" s="1"/>
      </tp>
      <tp t="s">
        <v>N/A</v>
        <stp/>
        <stp>EXTRINSIC</stp>
        <stp>.IGIB201120C61</stp>
        <tr r="S262" s="1"/>
      </tp>
      <tp t="s">
        <v>N/A</v>
        <stp/>
        <stp>IMPL_VOL</stp>
        <stp>.XHB201120C56</stp>
        <tr r="D785" s="1"/>
      </tp>
      <tp>
        <v>5483</v>
        <stp/>
        <stp>OPEN_INT</stp>
        <stp>.KRE201120C46</stp>
        <tr r="G389" s="1"/>
      </tp>
      <tp>
        <v>1775</v>
        <stp/>
        <stp>OPEN_INT</stp>
        <stp>.KRE201120C47</stp>
        <tr r="G393" s="1"/>
      </tp>
      <tp t="s">
        <v>N/A</v>
        <stp/>
        <stp>IMPL_VOL</stp>
        <stp>.XHB201120C55</stp>
        <tr r="D781" s="1"/>
      </tp>
      <tp t="s">
        <v>N/A</v>
        <stp/>
        <stp>INTRINSIC</stp>
        <stp>.HYLB201120P49</stp>
        <tr r="R227" s="1"/>
      </tp>
      <tp t="s">
        <v>N/A</v>
        <stp/>
        <stp>EXTRINSIC</stp>
        <stp>.NAIL201120C48</stp>
        <tr r="S447" s="1"/>
      </tp>
      <tp t="s">
        <v>N/A</v>
        <stp/>
        <stp>EXTRINSIC</stp>
        <stp>.NAIL201120C49</stp>
        <tr r="S449" s="1"/>
      </tp>
      <tp t="s">
        <v>N/A</v>
        <stp/>
        <stp>EXTRINSIC</stp>
        <stp>.NAIL201120C46</stp>
        <tr r="S443" s="1"/>
      </tp>
      <tp t="s">
        <v>N/A</v>
        <stp/>
        <stp>EXTRINSIC</stp>
        <stp>.NAIL201120C47</stp>
        <tr r="S445" s="1"/>
      </tp>
      <tp t="s">
        <v>N/A</v>
        <stp/>
        <stp>EXTRINSIC</stp>
        <stp>.NAIL201120C44</stp>
        <tr r="S439" s="1"/>
      </tp>
      <tp t="s">
        <v>N/A</v>
        <stp/>
        <stp>EXTRINSIC</stp>
        <stp>.NAIL201120C45</stp>
        <tr r="S441" s="1"/>
      </tp>
      <tp t="s">
        <v>N/A</v>
        <stp/>
        <stp>INTRINSIC</stp>
        <stp>.BKLN201120P22</stp>
        <tr r="R50" s="1"/>
      </tp>
      <tp t="s">
        <v>N/A</v>
        <stp/>
        <stp>INTRINSIC</stp>
        <stp>.ICLN201120P22</stp>
        <tr r="R247" s="1"/>
      </tp>
      <tp>
        <v>52</v>
        <stp/>
        <stp>OPEN_INT</stp>
        <stp>.TAN201120P73</stp>
        <tr r="G663" s="1"/>
      </tp>
      <tp>
        <v>344</v>
        <stp/>
        <stp>OPEN_INT</stp>
        <stp>.TAN201120P74</stp>
        <tr r="G667" s="1"/>
      </tp>
      <tp>
        <v>137</v>
        <stp/>
        <stp>OPEN_INT</stp>
        <stp>.TAN201120P75</stp>
        <tr r="G671" s="1"/>
      </tp>
      <tp>
        <v>10</v>
        <stp/>
        <stp>OPEN_INT</stp>
        <stp>.TAN201120P76</stp>
        <tr r="G675" s="1"/>
      </tp>
      <tp>
        <v>77</v>
        <stp/>
        <stp>OPEN_INT</stp>
        <stp>.TAN201120P77</stp>
        <tr r="G679" s="1"/>
      </tp>
      <tp t="s">
        <v>N/A</v>
        <stp/>
        <stp>INTRINSIC</stp>
        <stp>.SPLV201120P55</stp>
        <tr r="R589" s="1"/>
      </tp>
      <tp t="s">
        <v>N/A</v>
        <stp/>
        <stp>EXTRINSIC</stp>
        <stp>.VGIT201120C70</stp>
        <tr r="S719" s="1"/>
      </tp>
      <tp t="s">
        <v>N/A</v>
        <stp/>
        <stp>PROB_OF_EXPIRING</stp>
        <stp>.SCZ201120C63</stp>
        <tr r="T535" s="1"/>
      </tp>
      <tp t="s">
        <v>N/A</v>
        <stp/>
        <stp>INTRINSIC</stp>
        <stp>.AMLP201120P24</stp>
        <tr r="R24" s="1"/>
      </tp>
      <tp t="s">
        <v>N/A</v>
        <stp/>
        <stp>INTRINSIC</stp>
        <stp>.AMLP201120P23</stp>
        <tr r="R20" s="1"/>
      </tp>
      <tp t="s">
        <v>N/A</v>
        <stp/>
        <stp>PROB_OF_TOUCHING</stp>
        <stp>.BZQ201120P12</stp>
        <tr r="V53" s="1"/>
      </tp>
      <tp t="s">
        <v>N/A</v>
        <stp/>
        <stp>PROB_OF_TOUCHING</stp>
        <stp>.EZU201120P42</stp>
        <tr r="V179" s="1"/>
      </tp>
      <tp t="s">
        <v>N/A</v>
        <stp/>
        <stp>EXTRINSIC</stp>
        <stp>.DRIP201120C45</stp>
        <tr r="S82" s="1"/>
      </tp>
      <tp t="s">
        <v>N/A</v>
        <stp/>
        <stp>PROB_OTM</stp>
        <stp>.VGK201120C57</stp>
        <tr r="U722" s="1"/>
      </tp>
      <tp t="s">
        <v>N/A</v>
        <stp/>
        <stp>OPEN_INT</stp>
        <stp>.XRT201120C54</stp>
        <tr r="G903" s="1"/>
      </tp>
      <tp t="s">
        <v>N/A</v>
        <stp/>
        <stp>OPEN_INT</stp>
        <stp>.XRT201120C55</stp>
        <tr r="G907" s="1"/>
      </tp>
      <tp t="s">
        <v>N/A</v>
        <stp/>
        <stp>STRIKE</stp>
        <stp>.VT201120P87</stp>
        <tr r="W738" s="1"/>
      </tp>
      <tp t="s">
        <v>N/A</v>
        <stp/>
        <stp>STRIKE</stp>
        <stp>.VT201120P86</stp>
        <tr r="W736" s="1"/>
      </tp>
      <tp t="s">
        <v>N/A</v>
        <stp/>
        <stp>EXTRINSIC</stp>
        <stp>.VCIT201120C96</stp>
        <tr r="S702" s="1"/>
      </tp>
      <tp t="s">
        <v>N/A</v>
        <stp/>
        <stp>PROB_OTM</stp>
        <stp>.ITB201120P55</stp>
        <tr r="U292" s="1"/>
      </tp>
      <tp t="s">
        <v>N/A</v>
        <stp/>
        <stp>PROB_OTM</stp>
        <stp>.ITB201120P56</stp>
        <tr r="U296" s="1"/>
      </tp>
      <tp>
        <v>1.81</v>
        <stp/>
        <stp>BID</stp>
        <stp>.XBI201120P122.5</stp>
        <tr r="H767" s="1"/>
      </tp>
      <tp>
        <v>2</v>
        <stp/>
        <stp>LOW</stp>
        <stp>.XBI201120C124.5</stp>
        <tr r="K774" s="1"/>
      </tp>
      <tp t="s">
        <v>N/A</v>
        <stp/>
        <stp>INTRINSIC</stp>
        <stp>.XLI201120P84.5</stp>
        <tr r="R817" s="1"/>
      </tp>
      <tp t="s">
        <v>N/A</v>
        <stp/>
        <stp>INTRINSIC</stp>
        <stp>.XLE201120P34.5</stp>
        <tr r="R809" s="1"/>
      </tp>
      <tp t="s">
        <v>N/A</v>
        <stp/>
        <stp>EXTRINSIC</stp>
        <stp>.XRT201120C54.5</stp>
        <tr r="S905" s="1"/>
      </tp>
      <tp t="s">
        <v>N/A</v>
        <stp/>
        <stp>EXTRINSIC</stp>
        <stp>.XLE201120P34.5</stp>
        <tr r="S809" s="1"/>
      </tp>
      <tp t="s">
        <v>N/A</v>
        <stp/>
        <stp>EXTRINSIC</stp>
        <stp>.XLI201120P84.5</stp>
        <tr r="S817" s="1"/>
      </tp>
      <tp t="s">
        <v>N/A</v>
        <stp/>
        <stp>INTRINSIC</stp>
        <stp>.XRT201120C54.5</stp>
        <tr r="R905" s="1"/>
      </tp>
      <tp t="s">
        <v>N/A</v>
        <stp/>
        <stp>EXTRINSIC</stp>
        <stp>.XRT201120P54.5</stp>
        <tr r="S906" s="1"/>
      </tp>
      <tp t="s">
        <v>N/A</v>
        <stp/>
        <stp>INTRINSIC</stp>
        <stp>.XLI201120C84.5</stp>
        <tr r="R816" s="1"/>
      </tp>
      <tp t="s">
        <v>N/A</v>
        <stp/>
        <stp>INTRINSIC</stp>
        <stp>.XLE201120C34.5</stp>
        <tr r="R808" s="1"/>
      </tp>
      <tp t="s">
        <v>N/A</v>
        <stp/>
        <stp>INTRINSIC</stp>
        <stp>.XRT201120P54.5</stp>
        <tr r="R906" s="1"/>
      </tp>
      <tp t="s">
        <v>N/A</v>
        <stp/>
        <stp>EXTRINSIC</stp>
        <stp>.XLE201120C34.5</stp>
        <tr r="S808" s="1"/>
      </tp>
      <tp t="s">
        <v>N/A</v>
        <stp/>
        <stp>EXTRINSIC</stp>
        <stp>.XLI201120C84.5</stp>
        <tr r="S816" s="1"/>
      </tp>
      <tp t="s">
        <v>N/A</v>
        <stp/>
        <stp>RHO</stp>
        <stp>.SMH201120P198.5</stp>
        <tr r="Q577" s="1"/>
      </tp>
      <tp t="s">
        <v>N/A</v>
        <stp/>
        <stp>RHO</stp>
        <stp>.XLY201120P153.5</stp>
        <tr r="Q877" s="1"/>
      </tp>
      <tp t="s">
        <v>N/A</v>
        <stp/>
        <stp>IMPL_VOL</stp>
        <stp>.KWEB201120C74</stp>
        <tr r="D402" s="1"/>
      </tp>
      <tp t="s">
        <v>N/A</v>
        <stp/>
        <stp>IMPL_VOL</stp>
        <stp>.KWEB201120C73</stp>
        <tr r="D400" s="1"/>
      </tp>
      <tp t="s">
        <v>N/A</v>
        <stp/>
        <stp>IMPL_VOL</stp>
        <stp>.KWEB201120C72</stp>
        <tr r="D398" s="1"/>
      </tp>
      <tp t="s">
        <v>N/A</v>
        <stp/>
        <stp>DESCRIPTION</stp>
        <stp>.SMH201120P193.5</stp>
        <tr r="B557" s="1"/>
      </tp>
      <tp t="s">
        <v>N/A</v>
        <stp/>
        <stp>ASK</stp>
        <stp>.IEF201120P119.5</stp>
        <tr r="I250" s="1"/>
      </tp>
      <tp t="s">
        <v>N/A</v>
        <stp/>
        <stp>EXTRINSIC</stp>
        <stp>.SSO201120C84.5</stp>
        <tr r="S657" s="1"/>
      </tp>
      <tp t="s">
        <v>N/A</v>
        <stp/>
        <stp>PROB_OF_TOUCHING</stp>
        <stp>.GUSH201120P28</stp>
        <tr r="V219" s="1"/>
      </tp>
      <tp t="s">
        <v>N/A</v>
        <stp/>
        <stp>PROB_OF_TOUCHING</stp>
        <stp>.GUSH201120P26</stp>
        <tr r="V215" s="1"/>
      </tp>
      <tp t="s">
        <v>N/A</v>
        <stp/>
        <stp>PROB_OF_TOUCHING</stp>
        <stp>.GUSH201120P27</stp>
        <tr r="V217" s="1"/>
      </tp>
      <tp t="s">
        <v>N/A</v>
        <stp/>
        <stp>INTRINSIC</stp>
        <stp>.SSO201120C84.5</stp>
        <tr r="R657" s="1"/>
      </tp>
      <tp t="s">
        <v>N/A</v>
        <stp/>
        <stp>EXTRINSIC</stp>
        <stp>.SSO201120P84.5</stp>
        <tr r="S658" s="1"/>
      </tp>
      <tp t="s">
        <v>N/A</v>
        <stp/>
        <stp>INTRINSIC</stp>
        <stp>.SSO201120P84.5</stp>
        <tr r="R658" s="1"/>
      </tp>
      <tp t="s">
        <v>N/A</v>
        <stp/>
        <stp>RHO</stp>
        <stp>.XBI201120P123.5</stp>
        <tr r="Q771" s="1"/>
      </tp>
      <tp t="s">
        <v>N/A</v>
        <stp/>
        <stp>IMPL_VOL</stp>
        <stp>.DFEN201120C13</stp>
        <tr r="D55" s="1"/>
      </tp>
      <tp t="s">
        <v>N/A</v>
        <stp/>
        <stp>IMPL_VOL</stp>
        <stp>.DFEN201120C14</stp>
        <tr r="D57" s="1"/>
      </tp>
      <tp t="s">
        <v>N/A</v>
        <stp/>
        <stp>EXTRINSIC</stp>
        <stp>.TAN201120P74.5</stp>
        <tr r="S669" s="1"/>
      </tp>
      <tp t="s">
        <v>N/A</v>
        <stp/>
        <stp>INTRINSIC</stp>
        <stp>.TAN201120P74.5</stp>
        <tr r="R669" s="1"/>
      </tp>
      <tp t="s">
        <v>N/A</v>
        <stp/>
        <stp>EXTRINSIC</stp>
        <stp>.TAN201120C74.5</stp>
        <tr r="S668" s="1"/>
      </tp>
      <tp t="s">
        <v>N/A</v>
        <stp/>
        <stp>INTRINSIC</stp>
        <stp>.TAN201120C74.5</stp>
        <tr r="R668" s="1"/>
      </tp>
      <tp>
        <v>2.7</v>
        <stp/>
        <stp>BID</stp>
        <stp>.XLK201120P122.5</stp>
        <tr r="H838" s="1"/>
      </tp>
      <tp t="s">
        <v>N/A</v>
        <stp/>
        <stp>BID</stp>
        <stp>.XLY201120P152.5</stp>
        <tr r="H873" s="1"/>
      </tp>
      <tp t="s">
        <v>N/A</v>
        <stp/>
        <stp>LOW</stp>
        <stp>.XLY201120C154.5</stp>
        <tr r="K880" s="1"/>
      </tp>
      <tp>
        <v>2.4900000000000002</v>
        <stp/>
        <stp>ASK</stp>
        <stp>.IBB201120P139.5</stp>
        <tr r="I236" s="1"/>
      </tp>
      <tp t="s">
        <v>N/A</v>
        <stp/>
        <stp>IMPL_VOL</stp>
        <stp>.SRVR201120P35</stp>
        <tr r="D639" s="1"/>
      </tp>
      <tp t="s">
        <v>N/A</v>
        <stp/>
        <stp>IMPL_VOL</stp>
        <stp>.SRVR201120P36</stp>
        <tr r="D641" s="1"/>
      </tp>
      <tp t="s">
        <v>N/A</v>
        <stp/>
        <stp>INTRINSIC</stp>
        <stp>.IYR201120C84.5</stp>
        <tr r="R369" s="1"/>
      </tp>
      <tp t="s">
        <v>N/A</v>
        <stp/>
        <stp>EXTRINSIC</stp>
        <stp>.ITB201120C54.5</stp>
        <tr r="S289" s="1"/>
      </tp>
      <tp t="s">
        <v>N/A</v>
        <stp/>
        <stp>EXTRINSIC</stp>
        <stp>.IYR201120C84.5</stp>
        <tr r="S369" s="1"/>
      </tp>
      <tp t="s">
        <v>N/A</v>
        <stp/>
        <stp>INTRINSIC</stp>
        <stp>.ITB201120C54.5</stp>
        <tr r="R289" s="1"/>
      </tp>
      <tp t="s">
        <v>N/A</v>
        <stp/>
        <stp>EXTRINSIC</stp>
        <stp>.ITB201120P54.5</stp>
        <tr r="S290" s="1"/>
      </tp>
      <tp t="s">
        <v>N/A</v>
        <stp/>
        <stp>INTRINSIC</stp>
        <stp>.IYR201120P84.5</stp>
        <tr r="R370" s="1"/>
      </tp>
      <tp t="s">
        <v>N/A</v>
        <stp/>
        <stp>INTRINSIC</stp>
        <stp>.ITB201120P54.5</stp>
        <tr r="R290" s="1"/>
      </tp>
      <tp t="s">
        <v>N/A</v>
        <stp/>
        <stp>EXTRINSIC</stp>
        <stp>.IYR201120P84.5</stp>
        <tr r="S370" s="1"/>
      </tp>
      <tp>
        <v>2.91</v>
        <stp/>
        <stp>BID</stp>
        <stp>.XBI201120C122.5</stp>
        <tr r="H766" s="1"/>
      </tp>
      <tp>
        <v>2.14</v>
        <stp/>
        <stp>LOW</stp>
        <stp>.XBI201120P124.5</stp>
        <tr r="K775" s="1"/>
      </tp>
      <tp t="s">
        <v>N/A</v>
        <stp/>
        <stp>DESCRIPTION</stp>
        <stp>.SMH201120C193.5</stp>
        <tr r="B556" s="1"/>
      </tp>
      <tp t="s">
        <v>N/A</v>
        <stp/>
        <stp>PROB_OF_EXPIRING</stp>
        <stp>.ARKK201120C99</stp>
        <tr r="T30" s="1"/>
      </tp>
      <tp t="s">
        <v>N/A</v>
        <stp/>
        <stp>PROB_OF_EXPIRING</stp>
        <stp>.ARKK201120C98</stp>
        <tr r="T28" s="1"/>
      </tp>
      <tp t="s">
        <v>N/A</v>
        <stp/>
        <stp>PROB_OF_EXPIRING</stp>
        <stp>.ARKK201120C97</stp>
        <tr r="T26" s="1"/>
      </tp>
      <tp t="s">
        <v>N/A</v>
        <stp/>
        <stp>PROB_OF_EXPIRING</stp>
        <stp>.AAXJ201120P84</stp>
        <tr r="T6" s="1"/>
      </tp>
      <tp t="s">
        <v>N/A</v>
        <stp/>
        <stp>PROB_OF_EXPIRING</stp>
        <stp>.AAXJ201120P83</stp>
        <tr r="T4" s="1"/>
      </tp>
      <tp t="s">
        <v>N/A</v>
        <stp/>
        <stp>RHO</stp>
        <stp>.XLY201120C153.5</stp>
        <tr r="Q876" s="1"/>
      </tp>
      <tp t="s">
        <v>N/A</v>
        <stp/>
        <stp>RHO</stp>
        <stp>.SMH201120C198.5</stp>
        <tr r="Q576" s="1"/>
      </tp>
      <tp t="s">
        <v>N/A</v>
        <stp/>
        <stp>RHO</stp>
        <stp>.XBI201120C123.5</stp>
        <tr r="Q770" s="1"/>
      </tp>
      <tp t="s">
        <v>N/A</v>
        <stp/>
        <stp>PROB_OTM</stp>
        <stp>.ITOT201120P81</stp>
        <tr r="U301" s="1"/>
      </tp>
      <tp t="s">
        <v>N/A</v>
        <stp/>
        <stp>PROB_OTM</stp>
        <stp>.ITOT201120P80</stp>
        <tr r="U299" s="1"/>
      </tp>
      <tp t="s">
        <v>N/A</v>
        <stp/>
        <stp>PROB_OF_EXPIRING</stp>
        <stp>.GDXJ201120P53</stp>
        <tr r="T208" s="1"/>
      </tp>
      <tp t="s">
        <v>N/A</v>
        <stp/>
        <stp>PROB_OF_EXPIRING</stp>
        <stp>.GDXJ201120P52</stp>
        <tr r="T204" s="1"/>
      </tp>
      <tp t="s">
        <v>N/A</v>
        <stp/>
        <stp>PROB_OF_EXPIRING</stp>
        <stp>.GDXJ201120P54</stp>
        <tr r="T212" s="1"/>
      </tp>
      <tp t="s">
        <v>N/A</v>
        <stp/>
        <stp>ASK</stp>
        <stp>.IEF201120C119.5</stp>
        <tr r="I249" s="1"/>
      </tp>
      <tp t="s">
        <v>N/A</v>
        <stp/>
        <stp>ASK</stp>
        <stp>.IBB201120C139.5</stp>
        <tr r="I235" s="1"/>
      </tp>
      <tp>
        <v>0.98</v>
        <stp/>
        <stp>BID</stp>
        <stp>.XLK201120C122.5</stp>
        <tr r="H837" s="1"/>
      </tp>
      <tp t="s">
        <v>N/A</v>
        <stp/>
        <stp>BID</stp>
        <stp>.XLY201120C152.5</stp>
        <tr r="H872" s="1"/>
      </tp>
      <tp t="s">
        <v>N/A</v>
        <stp/>
        <stp>LOW</stp>
        <stp>.XLY201120P154.5</stp>
        <tr r="K881" s="1"/>
      </tp>
      <tp>
        <v>49.12</v>
        <stp/>
        <stp>OPEN</stp>
        <stp>HYLB</stp>
        <tr r="L225" s="1"/>
      </tp>
      <tp t="s">
        <v>N/A</v>
        <stp/>
        <stp>LAST</stp>
        <stp>.MTUM201120P152</stp>
        <tr r="E434" s="1"/>
      </tp>
      <tp>
        <v>4.92</v>
        <stp/>
        <stp>LAST</stp>
        <stp>.MTUM201120C152</stp>
        <tr r="E433" s="1"/>
      </tp>
      <tp t="s">
        <v>N/A</v>
        <stp/>
        <stp>LAST</stp>
        <stp>.MTUM201120P150</stp>
        <tr r="E430" s="1"/>
      </tp>
      <tp>
        <v>2.2000000000000002</v>
        <stp/>
        <stp>LAST</stp>
        <stp>.MTUM201120C150</stp>
        <tr r="E429" s="1"/>
      </tp>
      <tp t="s">
        <v>N/A</v>
        <stp/>
        <stp>LAST</stp>
        <stp>.MTUM201120P151</stp>
        <tr r="E432" s="1"/>
      </tp>
      <tp t="s">
        <v>N/A</v>
        <stp/>
        <stp>LAST</stp>
        <stp>.MTUM201120C151</stp>
        <tr r="E431" s="1"/>
      </tp>
      <tp>
        <v>0</v>
        <stp/>
        <stp>GAMMA</stp>
        <stp>QLD</stp>
        <tr r="N462" s="1"/>
      </tp>
      <tp t="s">
        <v>N/A</v>
        <stp/>
        <stp>THETA</stp>
        <stp>.EZU201120P42</stp>
        <tr r="O179" s="1"/>
      </tp>
      <tp t="s">
        <v>N/A</v>
        <stp/>
        <stp>LAST</stp>
        <stp>.MTUM201120P149</stp>
        <tr r="E428" s="1"/>
      </tp>
      <tp t="s">
        <v>N/A</v>
        <stp/>
        <stp>LAST</stp>
        <stp>.MTUM201120C149</stp>
        <tr r="E427" s="1"/>
      </tp>
      <tp t="s">
        <v>N/A</v>
        <stp/>
        <stp>THETA</stp>
        <stp>.BZQ201120P12</stp>
        <tr r="O53" s="1"/>
      </tp>
      <tp t="s">
        <v>N/A</v>
        <stp/>
        <stp>DELTA</stp>
        <stp>.IJR201120P80</stp>
        <tr r="M276" s="1"/>
      </tp>
      <tp t="s">
        <v>N/A</v>
        <stp/>
        <stp>DELTA</stp>
        <stp>.IYR201120C85</stp>
        <tr r="M371" s="1"/>
      </tp>
      <tp t="s">
        <v>N/A</v>
        <stp/>
        <stp>DELTA</stp>
        <stp>.IYR201120C84</stp>
        <tr r="M367" s="1"/>
      </tp>
      <tp t="s">
        <v>N/A</v>
        <stp/>
        <stp>GAMMA</stp>
        <stp>.IWM201120P172.5</stp>
        <tr r="N353" s="1"/>
      </tp>
      <tp t="s">
        <v>N/A</v>
        <stp/>
        <stp>GAMMA</stp>
        <stp>.BZQ201120C12</stp>
        <tr r="N52" s="1"/>
      </tp>
      <tp t="s">
        <v>N/A</v>
        <stp/>
        <stp>GAMMA</stp>
        <stp>.EZU201120C42</stp>
        <tr r="N178" s="1"/>
      </tp>
      <tp t="s">
        <v>N/A</v>
        <stp/>
        <stp>THETA</stp>
        <stp>.TLT201120P156.5</stp>
        <tr r="O697" s="1"/>
      </tp>
      <tp t="s">
        <v>N/A</v>
        <stp/>
        <stp>DELTA</stp>
        <stp>.TLT201120C156.5</stp>
        <tr r="M696" s="1"/>
      </tp>
      <tp>
        <v>1</v>
        <stp/>
        <stp>DELTA</stp>
        <stp>PXH</stp>
        <tr r="M457" s="1"/>
      </tp>
      <tp t="s">
        <v>N/A</v>
        <stp/>
        <stp>INTRINSIC</stp>
        <stp>.SH201120C19</stp>
        <tr r="R543" s="1"/>
      </tp>
      <tp>
        <v>1</v>
        <stp/>
        <stp>DELTA</stp>
        <stp>PGX</stp>
        <tr r="M454" s="1"/>
      </tp>
      <tp t="s">
        <v>N/A</v>
        <stp/>
        <stp>DELTA</stp>
        <stp>.HYG201120C86</stp>
        <tr r="M223" s="1"/>
      </tp>
      <tp t="s">
        <v>N/A</v>
        <stp/>
        <stp>GAMMA</stp>
        <stp>.IWM201120C172.5</stp>
        <tr r="N352" s="1"/>
      </tp>
      <tp t="s">
        <v>N/A</v>
        <stp/>
        <stp>DELTA</stp>
        <stp>.IYE201120C18</stp>
        <tr r="M364" s="1"/>
      </tp>
      <tp t="s">
        <v>N/A</v>
        <stp/>
        <stp>DELTA</stp>
        <stp>.VYM201120C88</stp>
        <tr r="M761" s="1"/>
      </tp>
      <tp t="s">
        <v>N/A</v>
        <stp/>
        <stp>DELTA</stp>
        <stp>.VYM201120C87</stp>
        <tr r="M759" s="1"/>
      </tp>
      <tp t="s">
        <v>N/A</v>
        <stp/>
        <stp>EXTRINSIC</stp>
        <stp>.SH201120C19</stp>
        <tr r="S543" s="1"/>
      </tp>
      <tp t="s">
        <v>N/A</v>
        <stp/>
        <stp>DELTA</stp>
        <stp>.TLT201120P156.5</stp>
        <tr r="M697" s="1"/>
      </tp>
      <tp t="s">
        <v>N/A</v>
        <stp/>
        <stp>THETA</stp>
        <stp>.TLT201120C156.5</stp>
        <tr r="O696" s="1"/>
      </tp>
      <tp>
        <v>0</v>
        <stp/>
        <stp>GAMMA</stp>
        <stp>QQQ</stp>
        <tr r="N475" s="1"/>
      </tp>
      <tp t="s">
        <v>N/A</v>
        <stp/>
        <stp>RHO</stp>
        <stp>.HYLB201120C49</stp>
        <tr r="Q226" s="1"/>
      </tp>
      <tp t="s">
        <v>N/A</v>
        <stp/>
        <stp>DESCRIPTION</stp>
        <stp>.GUSH201120C27</stp>
        <tr r="B216" s="1"/>
      </tp>
      <tp t="s">
        <v>N/A</v>
        <stp/>
        <stp>DESCRIPTION</stp>
        <stp>.GUSH201120C26</stp>
        <tr r="B214" s="1"/>
      </tp>
      <tp t="s">
        <v>N/A</v>
        <stp/>
        <stp>DESCRIPTION</stp>
        <stp>.GUSH201120C28</stp>
        <tr r="B218" s="1"/>
      </tp>
      <tp t="s">
        <v>N/A</v>
        <stp/>
        <stp>BID</stp>
        <stp>.AMLP201120C24</stp>
        <tr r="H23" s="1"/>
      </tp>
      <tp t="s">
        <v>N/A</v>
        <stp/>
        <stp>BID</stp>
        <stp>.AMLP201120C23</stp>
        <tr r="H19" s="1"/>
      </tp>
      <tp t="s">
        <v>N/A</v>
        <stp/>
        <stp>BID</stp>
        <stp>.SPLV201120C55</stp>
        <tr r="H588" s="1"/>
      </tp>
      <tp t="s">
        <v>N/A</v>
        <stp/>
        <stp>RHO</stp>
        <stp>.SPLG201120C42</stp>
        <tr r="Q585" s="1"/>
      </tp>
      <tp t="s">
        <v>N/A</v>
        <stp/>
        <stp>ASK</stp>
        <stp>.SPLV201120C55</stp>
        <tr r="I588" s="1"/>
      </tp>
      <tp t="s">
        <v>N/A</v>
        <stp/>
        <stp>RHO</stp>
        <stp>.EMLC201120C32</stp>
        <tr r="Q115" s="1"/>
      </tp>
      <tp t="s">
        <v>N/A</v>
        <stp/>
        <stp>PUT_CALL_RATIO</stp>
        <stp>.IJR201120P80</stp>
        <tr r="C276" s="1"/>
      </tp>
      <tp t="s">
        <v>N/A</v>
        <stp/>
        <stp>STRIKE</stp>
        <stp>.XRT201120P55</stp>
        <tr r="W908" s="1"/>
      </tp>
      <tp t="s">
        <v>N/A</v>
        <stp/>
        <stp>STRIKE</stp>
        <stp>.XRT201120P54</stp>
        <tr r="W904" s="1"/>
      </tp>
      <tp t="s">
        <v>N/A</v>
        <stp/>
        <stp>PUT_CALL_RATIO</stp>
        <stp>.IYR201120C85</stp>
        <tr r="C371" s="1"/>
      </tp>
      <tp t="s">
        <v>N/A</v>
        <stp/>
        <stp>PUT_CALL_RATIO</stp>
        <stp>.IYR201120C84</stp>
        <tr r="C367" s="1"/>
      </tp>
      <tp t="s">
        <v>N/A</v>
        <stp/>
        <stp>ASK</stp>
        <stp>.AMLP201120C24</stp>
        <tr r="I23" s="1"/>
      </tp>
      <tp t="s">
        <v>N/A</v>
        <stp/>
        <stp>ASK</stp>
        <stp>.AMLP201120C23</stp>
        <tr r="I19" s="1"/>
      </tp>
      <tp t="s">
        <v>N/A</v>
        <stp/>
        <stp>RHO</stp>
        <stp>.ICLN201120C22</stp>
        <tr r="Q246" s="1"/>
      </tp>
      <tp t="s">
        <v>N/A</v>
        <stp/>
        <stp>LOW</stp>
        <stp>.AMLP201120C23</stp>
        <tr r="K19" s="1"/>
      </tp>
      <tp t="s">
        <v>N/A</v>
        <stp/>
        <stp>LOW</stp>
        <stp>.AMLP201120C24</stp>
        <tr r="K23" s="1"/>
      </tp>
      <tp t="s">
        <v>N/A</v>
        <stp/>
        <stp>RHO</stp>
        <stp>.BKLN201120C22</stp>
        <tr r="Q49" s="1"/>
      </tp>
      <tp t="s">
        <v>N/A</v>
        <stp/>
        <stp>LOW</stp>
        <stp>.SPLV201120C55</stp>
        <tr r="K588" s="1"/>
      </tp>
      <tp t="s">
        <v>N/A</v>
        <stp/>
        <stp>BID</stp>
        <stp>.HYLB201120C49</stp>
        <tr r="H226" s="1"/>
      </tp>
      <tp t="s">
        <v>N/A</v>
        <stp/>
        <stp>ASK</stp>
        <stp>.HYLB201120C49</stp>
        <tr r="I226" s="1"/>
      </tp>
      <tp t="s">
        <v>N/A</v>
        <stp/>
        <stp>PUT_CALL_RATIO</stp>
        <stp>.HYG201120C86</stp>
        <tr r="C223" s="1"/>
      </tp>
      <tp t="s">
        <v>N/A</v>
        <stp/>
        <stp>LOW</stp>
        <stp>.ICLN201120C22</stp>
        <tr r="K246" s="1"/>
      </tp>
      <tp t="s">
        <v>N/A</v>
        <stp/>
        <stp>LOW</stp>
        <stp>.BKLN201120C22</stp>
        <tr r="K49" s="1"/>
      </tp>
      <tp t="s">
        <v>N/A</v>
        <stp/>
        <stp>RHO</stp>
        <stp>.AMLP201120C24</stp>
        <tr r="Q23" s="1"/>
      </tp>
      <tp t="s">
        <v>N/A</v>
        <stp/>
        <stp>RHO</stp>
        <stp>.AMLP201120C23</stp>
        <tr r="Q19" s="1"/>
      </tp>
      <tp>
        <v>1.3</v>
        <stp/>
        <stp>ASK</stp>
        <stp>.EMLC201120C32</stp>
        <tr r="I115" s="1"/>
      </tp>
      <tp t="s">
        <v>N/A</v>
        <stp/>
        <stp>RHO</stp>
        <stp>.SPLV201120C55</stp>
        <tr r="Q588" s="1"/>
      </tp>
      <tp t="s">
        <v>N/A</v>
        <stp/>
        <stp>BID</stp>
        <stp>.SPLG201120C42</stp>
        <tr r="H585" s="1"/>
      </tp>
      <tp t="s">
        <v>N/A</v>
        <stp/>
        <stp>ASK</stp>
        <stp>.SPLG201120C42</stp>
        <tr r="I585" s="1"/>
      </tp>
      <tp>
        <v>0</v>
        <stp/>
        <stp>BID</stp>
        <stp>.EMLC201120C32</stp>
        <tr r="H115" s="1"/>
      </tp>
      <tp t="s">
        <v>N/A</v>
        <stp/>
        <stp>STRIKE</stp>
        <stp>.KRE201120P47</stp>
        <tr r="W394" s="1"/>
      </tp>
      <tp t="s">
        <v>N/A</v>
        <stp/>
        <stp>STRIKE</stp>
        <stp>.KRE201120P46</stp>
        <tr r="W390" s="1"/>
      </tp>
      <tp t="s">
        <v>N/A</v>
        <stp/>
        <stp>LOW</stp>
        <stp>.QUAL201120P112</stp>
        <tr r="K504" s="1"/>
      </tp>
      <tp t="s">
        <v>N/A</v>
        <stp/>
        <stp>LOW</stp>
        <stp>.QUAL201120C112</stp>
        <tr r="K503" s="1"/>
      </tp>
      <tp>
        <v>0</v>
        <stp/>
        <stp>LOW</stp>
        <stp>.QUAL201120P111</stp>
        <tr r="K502" s="1"/>
      </tp>
      <tp>
        <v>0</v>
        <stp/>
        <stp>LOW</stp>
        <stp>.QUAL201120C111</stp>
        <tr r="K501" s="1"/>
      </tp>
      <tp>
        <v>0</v>
        <stp/>
        <stp>LOW</stp>
        <stp>.QUAL201120P110</stp>
        <tr r="K500" s="1"/>
      </tp>
      <tp t="s">
        <v>N/A</v>
        <stp/>
        <stp>LOW</stp>
        <stp>.QUAL201120C110</stp>
        <tr r="K499" s="1"/>
      </tp>
      <tp>
        <v>0</v>
        <stp/>
        <stp>LOW</stp>
        <stp>.EMLC201120C32</stp>
        <tr r="K115" s="1"/>
      </tp>
      <tp t="s">
        <v>N/A</v>
        <stp/>
        <stp>VOLUME</stp>
        <stp>.EZU201120C42</stp>
        <tr r="F178" s="1"/>
      </tp>
      <tp t="s">
        <v>N/A</v>
        <stp/>
        <stp>PUT_CALL_RATIO</stp>
        <stp>.IYE201120C18</stp>
        <tr r="C364" s="1"/>
      </tp>
      <tp t="s">
        <v>N/A</v>
        <stp/>
        <stp>ASK</stp>
        <stp>.BKLN201120C22</stp>
        <tr r="I49" s="1"/>
      </tp>
      <tp t="s">
        <v>N/A</v>
        <stp/>
        <stp>ASK</stp>
        <stp>.ICLN201120C22</stp>
        <tr r="I246" s="1"/>
      </tp>
      <tp t="s">
        <v>N/A</v>
        <stp/>
        <stp>VOLUME</stp>
        <stp>.BZQ201120C12</stp>
        <tr r="F52" s="1"/>
      </tp>
      <tp t="s">
        <v>N/A</v>
        <stp/>
        <stp>PUT_CALL_RATIO</stp>
        <stp>.VYM201120C87</stp>
        <tr r="C759" s="1"/>
      </tp>
      <tp t="s">
        <v>N/A</v>
        <stp/>
        <stp>PUT_CALL_RATIO</stp>
        <stp>.VYM201120C88</stp>
        <tr r="C761" s="1"/>
      </tp>
      <tp t="s">
        <v>N/A</v>
        <stp/>
        <stp>BID</stp>
        <stp>.ICLN201120C22</stp>
        <tr r="H246" s="1"/>
      </tp>
      <tp t="s">
        <v>N/A</v>
        <stp/>
        <stp>BID</stp>
        <stp>.BKLN201120C22</stp>
        <tr r="H49" s="1"/>
      </tp>
      <tp t="s">
        <v>N/A</v>
        <stp/>
        <stp>LOW</stp>
        <stp>.SPLG201120C42</stp>
        <tr r="K585" s="1"/>
      </tp>
      <tp t="s">
        <v>N/A</v>
        <stp/>
        <stp>LOW</stp>
        <stp>.HYLB201120C49</stp>
        <tr r="K226" s="1"/>
      </tp>
      <tp t="s">
        <v>N/A</v>
        <stp/>
        <stp>STRIKE</stp>
        <stp>.TAN201120C77</stp>
        <tr r="W678" s="1"/>
      </tp>
      <tp t="s">
        <v>N/A</v>
        <stp/>
        <stp>STRIKE</stp>
        <stp>.TAN201120C76</stp>
        <tr r="W674" s="1"/>
      </tp>
      <tp t="s">
        <v>N/A</v>
        <stp/>
        <stp>STRIKE</stp>
        <stp>.TAN201120C75</stp>
        <tr r="W670" s="1"/>
      </tp>
      <tp t="s">
        <v>N/A</v>
        <stp/>
        <stp>STRIKE</stp>
        <stp>.TAN201120C74</stp>
        <tr r="W666" s="1"/>
      </tp>
      <tp t="s">
        <v>N/A</v>
        <stp/>
        <stp>STRIKE</stp>
        <stp>.TAN201120C73</stp>
        <tr r="W662" s="1"/>
      </tp>
      <tp t="s">
        <v>N/A</v>
        <stp/>
        <stp>OPEN_INT</stp>
        <stp>.SSO201120C81</stp>
        <tr r="G643" s="1"/>
      </tp>
      <tp t="s">
        <v>N/A</v>
        <stp/>
        <stp>OPEN_INT</stp>
        <stp>.SSO201120C82</stp>
        <tr r="G647" s="1"/>
      </tp>
      <tp t="s">
        <v>N/A</v>
        <stp/>
        <stp>OPEN_INT</stp>
        <stp>.SSO201120C83</stp>
        <tr r="G651" s="1"/>
      </tp>
      <tp t="s">
        <v>N/A</v>
        <stp/>
        <stp>OPEN_INT</stp>
        <stp>.SSO201120C84</stp>
        <tr r="G655" s="1"/>
      </tp>
      <tp t="s">
        <v>N/A</v>
        <stp/>
        <stp>EXTRINSIC</stp>
        <stp>.MCHI201120C80</stp>
        <tr r="S412" s="1"/>
      </tp>
      <tp t="s">
        <v>N/A</v>
        <stp/>
        <stp>PROB_OF_TOUCHING</stp>
        <stp>.XHB201120C56</stp>
        <tr r="V785" s="1"/>
      </tp>
      <tp t="s">
        <v>N/A</v>
        <stp/>
        <stp>PROB_OF_TOUCHING</stp>
        <stp>.XHB201120C55</stp>
        <tr r="V781" s="1"/>
      </tp>
      <tp t="s">
        <v>N/A</v>
        <stp/>
        <stp>INTRINSIC</stp>
        <stp>.IEMG201120P58</stp>
        <tr r="R260" s="1"/>
      </tp>
      <tp t="s">
        <v>N/A</v>
        <stp/>
        <stp>INTRINSIC</stp>
        <stp>.IEMG201120P57</stp>
        <tr r="R258" s="1"/>
      </tp>
      <tp t="s">
        <v>N/A</v>
        <stp/>
        <stp>EXTRINSIC</stp>
        <stp>.SCHD201120C62</stp>
        <tr r="S523" s="1"/>
      </tp>
      <tp t="s">
        <v>N/A</v>
        <stp/>
        <stp>EXTRINSIC</stp>
        <stp>.SCHD201120C61</stp>
        <tr r="S521" s="1"/>
      </tp>
      <tp t="s">
        <v>N/A</v>
        <stp/>
        <stp>EXTRINSIC</stp>
        <stp>.SCHF201120C34</stp>
        <tr r="S529" s="1"/>
      </tp>
      <tp t="s">
        <v>N/A</v>
        <stp/>
        <stp>EXTRINSIC</stp>
        <stp>.SPHD201120C36</stp>
        <tr r="S582" s="1"/>
      </tp>
      <tp t="s">
        <v>N/A</v>
        <stp/>
        <stp>EXTRINSIC</stp>
        <stp>.SCHE201120C29</stp>
        <tr r="S526" s="1"/>
      </tp>
      <tp t="s">
        <v>N/A</v>
        <stp/>
        <stp>PROB_OF_EXPIRING</stp>
        <stp>.TBF201120C16</stp>
        <tr r="T681" s="1"/>
      </tp>
      <tp t="s">
        <v>N/A</v>
        <stp/>
        <stp>PROB_OF_EXPIRING</stp>
        <stp>.KBE201120C38</stp>
        <tr r="T386" s="1"/>
      </tp>
      <tp t="s">
        <v>N/A</v>
        <stp/>
        <stp>PROB_OTM</stp>
        <stp>.EFV201120C45</stp>
        <tr r="U109" s="1"/>
      </tp>
      <tp t="s">
        <v>N/A</v>
        <stp/>
        <stp>IMPL_VOL</stp>
        <stp>.EZU201120P42</stp>
        <tr r="D179" s="1"/>
      </tp>
      <tp t="s">
        <v>N/A</v>
        <stp/>
        <stp>PUT_CALL_RATIO</stp>
        <stp>.IJH201120C210</stp>
        <tr r="C272" s="1"/>
      </tp>
      <tp t="s">
        <v>N/A</v>
        <stp/>
        <stp>PUT_CALL_RATIO</stp>
        <stp>.IJH201120P210</stp>
        <tr r="C273" s="1"/>
      </tp>
      <tp t="s">
        <v>N/A</v>
        <stp/>
        <stp>EXTRINSIC</stp>
        <stp>.ASHR201120C38</stp>
        <tr r="S46" s="1"/>
      </tp>
      <tp t="s">
        <v>N/A</v>
        <stp/>
        <stp>IMPL_VOL</stp>
        <stp>.BZQ201120P12</stp>
        <tr r="D53" s="1"/>
      </tp>
      <tp t="s">
        <v>N/A</v>
        <stp/>
        <stp>PUT_CALL_RATIO</stp>
        <stp>.JNK201120C107</stp>
        <tr r="C383" s="1"/>
      </tp>
      <tp t="s">
        <v>N/A</v>
        <stp/>
        <stp>PUT_CALL_RATIO</stp>
        <stp>.JNK201120P107</stp>
        <tr r="C384" s="1"/>
      </tp>
      <tp t="s">
        <v>N/A</v>
        <stp/>
        <stp>INTRINSIC</stp>
        <stp>.USMV201120P67</stp>
        <tr r="R700" s="1"/>
      </tp>
      <tp t="s">
        <v>N/A</v>
        <stp/>
        <stp>PUT_CALL_RATIO</stp>
        <stp>.XLK201120C122</stp>
        <tr r="C835" s="1"/>
      </tp>
      <tp t="s">
        <v>N/A</v>
        <stp/>
        <stp>PUT_CALL_RATIO</stp>
        <stp>.XLK201120P122</stp>
        <tr r="C836" s="1"/>
      </tp>
      <tp t="s">
        <v>N/A</v>
        <stp/>
        <stp>PUT_CALL_RATIO</stp>
        <stp>.XLK201120C123</stp>
        <tr r="C839" s="1"/>
      </tp>
      <tp t="s">
        <v>N/A</v>
        <stp/>
        <stp>PUT_CALL_RATIO</stp>
        <stp>.XLK201120P123</stp>
        <tr r="C840" s="1"/>
      </tp>
      <tp t="s">
        <v>N/A</v>
        <stp/>
        <stp>PUT_CALL_RATIO</stp>
        <stp>.XLK201120C120</stp>
        <tr r="C827" s="1"/>
      </tp>
      <tp t="s">
        <v>N/A</v>
        <stp/>
        <stp>PUT_CALL_RATIO</stp>
        <stp>.XLK201120P120</stp>
        <tr r="C828" s="1"/>
      </tp>
      <tp t="s">
        <v>N/A</v>
        <stp/>
        <stp>PUT_CALL_RATIO</stp>
        <stp>.XLK201120C121</stp>
        <tr r="C831" s="1"/>
      </tp>
      <tp t="s">
        <v>N/A</v>
        <stp/>
        <stp>PUT_CALL_RATIO</stp>
        <stp>.XLK201120P121</stp>
        <tr r="C832" s="1"/>
      </tp>
      <tp t="s">
        <v>N/A</v>
        <stp/>
        <stp>PROB_OTM</stp>
        <stp>.VFH201120C66</stp>
        <tr r="U714" s="1"/>
      </tp>
      <tp t="s">
        <v>N/A</v>
        <stp/>
        <stp>PROB_OTM</stp>
        <stp>.VFH201120C67</stp>
        <tr r="U716" s="1"/>
      </tp>
      <tp t="s">
        <v>N/A</v>
        <stp/>
        <stp>EXTRINSIC</stp>
        <stp>.SCHP201120C61</stp>
        <tr r="S532" s="1"/>
      </tp>
      <tp t="s">
        <v>N/A</v>
        <stp/>
        <stp>PROB_OF_EXPIRING</stp>
        <stp>.TBT201120C17</stp>
        <tr r="T684" s="1"/>
      </tp>
      <tp t="s">
        <v>N/A</v>
        <stp/>
        <stp>OPEN_INT</stp>
        <stp>.RSX201120C22</stp>
        <tr r="G513" s="1"/>
      </tp>
      <tp t="s">
        <v>N/A</v>
        <stp/>
        <stp>PROB_OTM</stp>
        <stp>.EFA201120C70</stp>
        <tr r="U106" s="1"/>
      </tp>
      <tp t="s">
        <v>N/A</v>
        <stp/>
        <stp>PROB_OTM</stp>
        <stp>.EFA201120C69</stp>
        <tr r="U102" s="1"/>
      </tp>
      <tp>
        <v>2.2200000000000002</v>
        <stp/>
        <stp>BID</stp>
        <stp>.XBI201120P123.5</stp>
        <tr r="H771" s="1"/>
      </tp>
      <tp>
        <v>1.53</v>
        <stp/>
        <stp>LOW</stp>
        <stp>.XBI201120C125.5</stp>
        <tr r="K778" s="1"/>
      </tp>
      <tp t="s">
        <v>N/A</v>
        <stp/>
        <stp>IMPL_VOL</stp>
        <stp>.INDA201120C36</stp>
        <tr r="D281" s="1"/>
      </tp>
      <tp t="s">
        <v>N/A</v>
        <stp/>
        <stp>PROB_OF_EXPIRING</stp>
        <stp>.SPYV201120P33</stp>
        <tr r="T636" s="1"/>
      </tp>
      <tp t="s">
        <v>N/A</v>
        <stp/>
        <stp>INTRINSIC</stp>
        <stp>.XLI201120P85.5</stp>
        <tr r="R821" s="1"/>
      </tp>
      <tp t="s">
        <v>N/A</v>
        <stp/>
        <stp>IMPL_VOL</stp>
        <stp>.ACWI201120P86</stp>
        <tr r="D11" s="1"/>
      </tp>
      <tp t="s">
        <v>N/A</v>
        <stp/>
        <stp>EXTRINSIC</stp>
        <stp>.XRT201120C55.5</stp>
        <tr r="S909" s="1"/>
      </tp>
      <tp t="s">
        <v>N/A</v>
        <stp/>
        <stp>IMPL_VOL</stp>
        <stp>.ACWI201120P85</stp>
        <tr r="D9" s="1"/>
      </tp>
      <tp t="s">
        <v>N/A</v>
        <stp/>
        <stp>INTRINSIC</stp>
        <stp>.XHB201120P55.5</stp>
        <tr r="R784" s="1"/>
      </tp>
      <tp t="s">
        <v>N/A</v>
        <stp/>
        <stp>EXTRINSIC</stp>
        <stp>.XHB201120P55.5</stp>
        <tr r="S784" s="1"/>
      </tp>
      <tp t="s">
        <v>N/A</v>
        <stp/>
        <stp>EXTRINSIC</stp>
        <stp>.XLI201120P85.5</stp>
        <tr r="S821" s="1"/>
      </tp>
      <tp t="s">
        <v>N/A</v>
        <stp/>
        <stp>INTRINSIC</stp>
        <stp>.XRT201120C55.5</stp>
        <tr r="R909" s="1"/>
      </tp>
      <tp t="s">
        <v>N/A</v>
        <stp/>
        <stp>EXTRINSIC</stp>
        <stp>.XRT201120P55.5</stp>
        <tr r="S910" s="1"/>
      </tp>
      <tp t="s">
        <v>N/A</v>
        <stp/>
        <stp>INTRINSIC</stp>
        <stp>.XLI201120C85.5</stp>
        <tr r="R820" s="1"/>
      </tp>
      <tp t="s">
        <v>N/A</v>
        <stp/>
        <stp>INTRINSIC</stp>
        <stp>.XHB201120C55.5</stp>
        <tr r="R783" s="1"/>
      </tp>
      <tp t="s">
        <v>N/A</v>
        <stp/>
        <stp>EXTRINSIC</stp>
        <stp>.XHB201120C55.5</stp>
        <tr r="S783" s="1"/>
      </tp>
      <tp t="s">
        <v>N/A</v>
        <stp/>
        <stp>INTRINSIC</stp>
        <stp>.XRT201120P55.5</stp>
        <tr r="R910" s="1"/>
      </tp>
      <tp t="s">
        <v>N/A</v>
        <stp/>
        <stp>EXTRINSIC</stp>
        <stp>.XLI201120C85.5</stp>
        <tr r="S820" s="1"/>
      </tp>
      <tp>
        <v>42</v>
        <stp/>
        <stp>OPEN_INT</stp>
        <stp>.PDBC201120C14</stp>
        <tr r="G452" s="1"/>
      </tp>
      <tp t="s">
        <v>N/A</v>
        <stp/>
        <stp>PROB_OF_TOUCHING</stp>
        <stp>.XLRE201120P37</stp>
        <tr r="V848" s="1"/>
      </tp>
      <tp t="s">
        <v>N/A</v>
        <stp/>
        <stp>RHO</stp>
        <stp>.XLK201120P122.5</stp>
        <tr r="Q838" s="1"/>
      </tp>
      <tp t="s">
        <v>N/A</v>
        <stp/>
        <stp>RHO</stp>
        <stp>.XLY201120P152.5</stp>
        <tr r="Q873" s="1"/>
      </tp>
      <tp t="s">
        <v>N/A</v>
        <stp/>
        <stp>DESCRIPTION</stp>
        <stp>.SMH201120P192.5</stp>
        <tr r="B553" s="1"/>
      </tp>
      <tp t="s">
        <v>N/A</v>
        <stp/>
        <stp>DESCRIPTION</stp>
        <stp>.TLT201120P155.5</stp>
        <tr r="B693" s="1"/>
      </tp>
      <tp t="s">
        <v>N/A</v>
        <stp/>
        <stp>DESCRIPTION</stp>
        <stp>.XLK201120P119.5</stp>
        <tr r="B826" s="1"/>
      </tp>
      <tp t="s">
        <v>N/A</v>
        <stp/>
        <stp>PROB_OF_TOUCHING</stp>
        <stp>.DGRO201120P43</stp>
        <tr r="V61" s="1"/>
      </tp>
      <tp t="s">
        <v>SPY 100 20 NOV 20 352.5 CALL</v>
        <stp/>
        <stp>DESCRIPTION</stp>
        <stp>.SPY201120C352.5</stp>
        <tr r="B607" s="1"/>
      </tp>
      <tp t="s">
        <v>N/A</v>
        <stp/>
        <stp>RHO</stp>
        <stp>.XBI201120P122.5</stp>
        <tr r="Q767" s="1"/>
      </tp>
      <tp t="s">
        <v>N/A</v>
        <stp/>
        <stp>EXTRINSIC</stp>
        <stp>.TAN201120P75.5</stp>
        <tr r="S673" s="1"/>
      </tp>
      <tp t="s">
        <v>N/A</v>
        <stp/>
        <stp>INTRINSIC</stp>
        <stp>.TAN201120P75.5</stp>
        <tr r="R673" s="1"/>
      </tp>
      <tp t="s">
        <v>N/A</v>
        <stp/>
        <stp>EXTRINSIC</stp>
        <stp>.TAN201120C75.5</stp>
        <tr r="S672" s="1"/>
      </tp>
      <tp t="s">
        <v>N/A</v>
        <stp/>
        <stp>INTRINSIC</stp>
        <stp>.TAN201120C75.5</stp>
        <tr r="R672" s="1"/>
      </tp>
      <tp>
        <v>2.84</v>
        <stp/>
        <stp>BID</stp>
        <stp>.XLY201120P153.5</stp>
        <tr r="H877" s="1"/>
      </tp>
      <tp>
        <v>1.89</v>
        <stp/>
        <stp>ASK</stp>
        <stp>.IBB201120P138.5</stp>
        <tr r="I232" s="1"/>
      </tp>
      <tp>
        <v>6.5</v>
        <stp/>
        <stp>BID</stp>
        <stp>.SMH201120P198.5</stp>
        <tr r="H577" s="1"/>
      </tp>
      <tp t="s">
        <v>N/A</v>
        <stp/>
        <stp>INTRINSIC</stp>
        <stp>.HYG201120C85.5</stp>
        <tr r="R221" s="1"/>
      </tp>
      <tp t="s">
        <v>N/A</v>
        <stp/>
        <stp>EXTRINSIC</stp>
        <stp>.HYG201120C85.5</stp>
        <tr r="S221" s="1"/>
      </tp>
      <tp t="s">
        <v>N/A</v>
        <stp/>
        <stp>INTRINSIC</stp>
        <stp>.HYG201120P85.5</stp>
        <tr r="R222" s="1"/>
      </tp>
      <tp t="s">
        <v>N/A</v>
        <stp/>
        <stp>EXTRINSIC</stp>
        <stp>.HYG201120P85.5</stp>
        <tr r="S222" s="1"/>
      </tp>
      <tp t="s">
        <v>N/A</v>
        <stp/>
        <stp>INTRINSIC</stp>
        <stp>.IYR201120C85.5</stp>
        <tr r="R373" s="1"/>
      </tp>
      <tp t="s">
        <v>N/A</v>
        <stp/>
        <stp>EXTRINSIC</stp>
        <stp>.ITB201120C55.5</stp>
        <tr r="S293" s="1"/>
      </tp>
      <tp t="s">
        <v>N/A</v>
        <stp/>
        <stp>EXTRINSIC</stp>
        <stp>.IYR201120C85.5</stp>
        <tr r="S373" s="1"/>
      </tp>
      <tp t="s">
        <v>N/A</v>
        <stp/>
        <stp>INTRINSIC</stp>
        <stp>.ITB201120C55.5</stp>
        <tr r="R293" s="1"/>
      </tp>
      <tp t="s">
        <v>N/A</v>
        <stp/>
        <stp>EXTRINSIC</stp>
        <stp>.ITB201120P55.5</stp>
        <tr r="S294" s="1"/>
      </tp>
      <tp t="s">
        <v>N/A</v>
        <stp/>
        <stp>INTRINSIC</stp>
        <stp>.IYR201120P85.5</stp>
        <tr r="R374" s="1"/>
      </tp>
      <tp t="s">
        <v>N/A</v>
        <stp/>
        <stp>INTRINSIC</stp>
        <stp>.ITB201120P55.5</stp>
        <tr r="R294" s="1"/>
      </tp>
      <tp t="s">
        <v>N/A</v>
        <stp/>
        <stp>EXTRINSIC</stp>
        <stp>.IYR201120P85.5</stp>
        <tr r="S374" s="1"/>
      </tp>
      <tp>
        <v>2.36</v>
        <stp/>
        <stp>BID</stp>
        <stp>.XBI201120C123.5</stp>
        <tr r="H770" s="1"/>
      </tp>
      <tp>
        <v>3.1</v>
        <stp/>
        <stp>LOW</stp>
        <stp>.XBI201120P125.5</stp>
        <tr r="K779" s="1"/>
      </tp>
      <tp t="s">
        <v>N/A</v>
        <stp/>
        <stp>DESCRIPTION</stp>
        <stp>.TLT201120C155.5</stp>
        <tr r="B692" s="1"/>
      </tp>
      <tp t="s">
        <v>N/A</v>
        <stp/>
        <stp>DESCRIPTION</stp>
        <stp>.XLK201120C119.5</stp>
        <tr r="B825" s="1"/>
      </tp>
      <tp t="s">
        <v>N/A</v>
        <stp/>
        <stp>DESCRIPTION</stp>
        <stp>.SMH201120C192.5</stp>
        <tr r="B552" s="1"/>
      </tp>
      <tp t="s">
        <v>N/A</v>
        <stp/>
        <stp>PROB_OF_EXPIRING</stp>
        <stp>.SPYG201120P53</stp>
        <tr r="T633" s="1"/>
      </tp>
      <tp t="s">
        <v>N/A</v>
        <stp/>
        <stp>PROB_OF_EXPIRING</stp>
        <stp>.SPYG201120P52</stp>
        <tr r="T631" s="1"/>
      </tp>
      <tp t="s">
        <v>N/A</v>
        <stp/>
        <stp>RHO</stp>
        <stp>.XLK201120C122.5</stp>
        <tr r="Q837" s="1"/>
      </tp>
      <tp t="s">
        <v>N/A</v>
        <stp/>
        <stp>RHO</stp>
        <stp>.XLY201120C152.5</stp>
        <tr r="Q872" s="1"/>
      </tp>
      <tp t="s">
        <v>N/A</v>
        <stp/>
        <stp>IMPL_VOL</stp>
        <stp>.SPDW201120C32</stp>
        <tr r="D579" s="1"/>
      </tp>
      <tp t="s">
        <v>N/A</v>
        <stp/>
        <stp>PROB_OF_EXPIRING</stp>
        <stp>.SHYG201120P45</stp>
        <tr r="T550" s="1"/>
      </tp>
      <tp t="s">
        <v>N/A</v>
        <stp/>
        <stp>RHO</stp>
        <stp>.XBI201120C122.5</stp>
        <tr r="Q766" s="1"/>
      </tp>
      <tp t="s">
        <v>N/A</v>
        <stp/>
        <stp>PUT_CALL_RATIO</stp>
        <stp>.VCLT201120C107</stp>
        <tr r="C705" s="1"/>
      </tp>
      <tp t="s">
        <v>N/A</v>
        <stp/>
        <stp>PUT_CALL_RATIO</stp>
        <stp>.VCLT201120P107</stp>
        <tr r="C706" s="1"/>
      </tp>
      <tp t="s">
        <v>N/A</v>
        <stp/>
        <stp>IMPL_VOL</stp>
        <stp>.INDY201120C38</stp>
        <tr r="D286" s="1"/>
      </tp>
      <tp t="s">
        <v>SPY 100 20 NOV 20 352.5 PUT</v>
        <stp/>
        <stp>DESCRIPTION</stp>
        <stp>.SPY201120P352.5</stp>
        <tr r="B608" s="1"/>
      </tp>
      <tp t="s">
        <v>N/A</v>
        <stp/>
        <stp>ASK</stp>
        <stp>.IBB201120C138.5</stp>
        <tr r="I231" s="1"/>
      </tp>
      <tp>
        <v>0.94</v>
        <stp/>
        <stp>BID</stp>
        <stp>.SMH201120C198.5</stp>
        <tr r="H576" s="1"/>
      </tp>
      <tp t="s">
        <v>N/A</v>
        <stp/>
        <stp>BID</stp>
        <stp>.XLY201120C153.5</stp>
        <tr r="H876" s="1"/>
      </tp>
      <tp t="s">
        <v>N/A</v>
        <stp/>
        <stp>IMPL_VOL</stp>
        <stp>.ACWX201120P50</stp>
        <tr r="D14" s="1"/>
      </tp>
      <tp t="s">
        <v>N/A</v>
        <stp/>
        <stp>GAMMA</stp>
        <stp>.IJR201120P80</stp>
        <tr r="N276" s="1"/>
      </tp>
      <tp t="s">
        <v>N/A</v>
        <stp/>
        <stp>GAMMA</stp>
        <stp>.IYR201120C84</stp>
        <tr r="N367" s="1"/>
      </tp>
      <tp t="s">
        <v>N/A</v>
        <stp/>
        <stp>GAMMA</stp>
        <stp>.IYR201120C85</stp>
        <tr r="N371" s="1"/>
      </tp>
      <tp>
        <v>1.39</v>
        <stp/>
        <stp>ASK</stp>
        <stp>.AMLP201120P23.5</stp>
        <tr r="I22" s="1"/>
      </tp>
      <tp t="s">
        <v>N/A</v>
        <stp/>
        <stp>ASK</stp>
        <stp>.AMLP201120C23.5</stp>
        <tr r="I21" s="1"/>
      </tp>
      <tp>
        <v>-0.46</v>
        <stp/>
        <stp>DELTA</stp>
        <stp>.SPY201120P352.5</stp>
        <tr r="M608" s="1"/>
      </tp>
      <tp>
        <v>-0.3</v>
        <stp/>
        <stp>THETA</stp>
        <stp>.SPY201120C352.5</stp>
        <tr r="O607" s="1"/>
      </tp>
      <tp t="s">
        <v>N/A</v>
        <stp/>
        <stp>GAMMA</stp>
        <stp>.IBB201120C141.5</stp>
        <tr r="N243" s="1"/>
      </tp>
      <tp t="s">
        <v>N/A</v>
        <stp/>
        <stp>GAMMA</stp>
        <stp>.LQD201120P134.5</stp>
        <tr r="N406" s="1"/>
      </tp>
      <tp>
        <v>36.67</v>
        <stp/>
        <stp>LAST</stp>
        <stp>XLRE</stp>
        <tr r="E846" s="1"/>
      </tp>
      <tp>
        <v>1</v>
        <stp/>
        <stp>DELTA</stp>
        <stp>SSO</stp>
        <tr r="M642" s="1"/>
      </tp>
      <tp>
        <v>1</v>
        <stp/>
        <stp>DELTA</stp>
        <stp>SPY</stp>
        <tr r="M590" s="1"/>
      </tp>
      <tp t="s">
        <v>N/A</v>
        <stp/>
        <stp>THETA</stp>
        <stp>.IJR201120C80</stp>
        <tr r="O275" s="1"/>
      </tp>
      <tp t="s">
        <v>N/A</v>
        <stp/>
        <stp>THETA</stp>
        <stp>.IYR201120P84</stp>
        <tr r="O368" s="1"/>
      </tp>
      <tp t="s">
        <v>N/A</v>
        <stp/>
        <stp>THETA</stp>
        <stp>.IYR201120P85</stp>
        <tr r="O372" s="1"/>
      </tp>
      <tp t="s">
        <v>N/A</v>
        <stp/>
        <stp>THETA</stp>
        <stp>.SMH201120P192.5</stp>
        <tr r="O553" s="1"/>
      </tp>
      <tp t="s">
        <v>N/A</v>
        <stp/>
        <stp>THETA</stp>
        <stp>.TLT201120P155.5</stp>
        <tr r="O693" s="1"/>
      </tp>
      <tp t="s">
        <v>N/A</v>
        <stp/>
        <stp>THETA</stp>
        <stp>.XLK201120P119.5</stp>
        <tr r="O826" s="1"/>
      </tp>
      <tp t="s">
        <v>N/A</v>
        <stp/>
        <stp>DELTA</stp>
        <stp>.TLT201120C155.5</stp>
        <tr r="M692" s="1"/>
      </tp>
      <tp t="s">
        <v>N/A</v>
        <stp/>
        <stp>DELTA</stp>
        <stp>.XLK201120C119.5</stp>
        <tr r="M825" s="1"/>
      </tp>
      <tp t="s">
        <v>N/A</v>
        <stp/>
        <stp>DELTA</stp>
        <stp>.BZQ201120C12</stp>
        <tr r="M52" s="1"/>
      </tp>
      <tp t="s">
        <v>N/A</v>
        <stp/>
        <stp>DELTA</stp>
        <stp>.SMH201120C192.5</stp>
        <tr r="M552" s="1"/>
      </tp>
      <tp t="s">
        <v>N/A</v>
        <stp/>
        <stp>DELTA</stp>
        <stp>.EZU201120C42</stp>
        <tr r="M178" s="1"/>
      </tp>
      <tp t="s">
        <v>N/A</v>
        <stp/>
        <stp>GAMMA</stp>
        <stp>.IBB201120P141.5</stp>
        <tr r="N244" s="1"/>
      </tp>
      <tp t="s">
        <v>N/A</v>
        <stp/>
        <stp>GAMMA</stp>
        <stp>.LQD201120C134.5</stp>
        <tr r="N405" s="1"/>
      </tp>
      <tp>
        <v>-0.28000000000000003</v>
        <stp/>
        <stp>THETA</stp>
        <stp>.SPY201120P352.5</stp>
        <tr r="O608" s="1"/>
      </tp>
      <tp>
        <v>0.54</v>
        <stp/>
        <stp>DELTA</stp>
        <stp>.SPY201120C352.5</stp>
        <tr r="M607" s="1"/>
      </tp>
      <tp>
        <v>1</v>
        <stp/>
        <stp>DELTA</stp>
        <stp>SDS</stp>
        <tr r="M537" s="1"/>
      </tp>
      <tp>
        <v>1</v>
        <stp/>
        <stp>DELTA</stp>
        <stp>SCZ</stp>
        <tr r="M534" s="1"/>
      </tp>
      <tp t="s">
        <v>N/A</v>
        <stp/>
        <stp>GAMMA</stp>
        <stp>.HYG201120C86</stp>
        <tr r="N223" s="1"/>
      </tp>
      <tp>
        <v>0</v>
        <stp/>
        <stp>VEGA</stp>
        <stp>VXUS</stp>
        <tr r="P753" s="1"/>
      </tp>
      <tp>
        <v>0</v>
        <stp/>
        <stp>VEGA</stp>
        <stp>IXUS</stp>
        <tr r="P360" s="1"/>
      </tp>
      <tp t="s">
        <v>N/A</v>
        <stp/>
        <stp>THETA</stp>
        <stp>.VYM201120P87</stp>
        <tr r="O760" s="1"/>
      </tp>
      <tp t="s">
        <v>N/A</v>
        <stp/>
        <stp>THETA</stp>
        <stp>.VYM201120P88</stp>
        <tr r="O762" s="1"/>
      </tp>
      <tp t="s">
        <v>N/A</v>
        <stp/>
        <stp>THETA</stp>
        <stp>.IYE201120P18</stp>
        <tr r="O365" s="1"/>
      </tp>
      <tp>
        <v>0</v>
        <stp/>
        <stp>GAMMA</stp>
        <stp>RWM</stp>
        <tr r="N517" s="1"/>
      </tp>
      <tp>
        <v>1</v>
        <stp/>
        <stp>DELTA</stp>
        <stp>SMH</stp>
        <tr r="M551" s="1"/>
      </tp>
      <tp t="s">
        <v>N/A</v>
        <stp/>
        <stp>DELTA</stp>
        <stp>.SMH201120P192.5</stp>
        <tr r="M553" s="1"/>
      </tp>
      <tp t="s">
        <v>N/A</v>
        <stp/>
        <stp>THETA</stp>
        <stp>.HYG201120P86</stp>
        <tr r="O224" s="1"/>
      </tp>
      <tp t="s">
        <v>N/A</v>
        <stp/>
        <stp>DELTA</stp>
        <stp>.TLT201120P155.5</stp>
        <tr r="M693" s="1"/>
      </tp>
      <tp t="s">
        <v>N/A</v>
        <stp/>
        <stp>DELTA</stp>
        <stp>.XLK201120P119.5</stp>
        <tr r="M826" s="1"/>
      </tp>
      <tp>
        <v>0</v>
        <stp/>
        <stp>GAMMA</stp>
        <stp>RSX</stp>
        <tr r="N512" s="1"/>
      </tp>
      <tp>
        <v>0</v>
        <stp/>
        <stp>GAMMA</stp>
        <stp>RSP</stp>
        <tr r="N505" s="1"/>
      </tp>
      <tp t="s">
        <v>N/A</v>
        <stp/>
        <stp>THETA</stp>
        <stp>.TLT201120C155.5</stp>
        <tr r="O692" s="1"/>
      </tp>
      <tp t="s">
        <v>N/A</v>
        <stp/>
        <stp>THETA</stp>
        <stp>.XLK201120C119.5</stp>
        <tr r="O825" s="1"/>
      </tp>
      <tp t="s">
        <v>N/A</v>
        <stp/>
        <stp>GAMMA</stp>
        <stp>.IYE201120C18</stp>
        <tr r="N364" s="1"/>
      </tp>
      <tp>
        <v>56.39</v>
        <stp/>
        <stp>HIGH</stp>
        <stp>VXUS</stp>
        <tr r="J753" s="1"/>
      </tp>
      <tp>
        <v>63.009900000000002</v>
        <stp/>
        <stp>HIGH</stp>
        <stp>IXUS</stp>
        <tr r="J360" s="1"/>
      </tp>
      <tp t="s">
        <v>N/A</v>
        <stp/>
        <stp>THETA</stp>
        <stp>.SMH201120C192.5</stp>
        <tr r="O552" s="1"/>
      </tp>
      <tp>
        <v>1</v>
        <stp/>
        <stp>DELTA</stp>
        <stp>SHY</stp>
        <tr r="M545" s="1"/>
      </tp>
      <tp t="s">
        <v>N/A</v>
        <stp/>
        <stp>GAMMA</stp>
        <stp>.VYM201120C88</stp>
        <tr r="N761" s="1"/>
      </tp>
      <tp t="s">
        <v>N/A</v>
        <stp/>
        <stp>GAMMA</stp>
        <stp>.VYM201120C87</stp>
        <tr r="N759" s="1"/>
      </tp>
      <tp t="s">
        <v>N/A</v>
        <stp/>
        <stp>STRIKE</stp>
        <stp>.TBT201120C17</stp>
        <tr r="W684" s="1"/>
      </tp>
      <tp t="s">
        <v>N/A</v>
        <stp/>
        <stp>LOW</stp>
        <stp>.ITOT201120C81</stp>
        <tr r="K300" s="1"/>
      </tp>
      <tp t="s">
        <v>N/A</v>
        <stp/>
        <stp>LOW</stp>
        <stp>.ITOT201120C80</stp>
        <tr r="K298" s="1"/>
      </tp>
      <tp>
        <v>24385</v>
        <stp/>
        <stp>VOLUME</stp>
        <stp>.HYG201120C86</stp>
        <tr r="F223" s="1"/>
      </tp>
      <tp t="s">
        <v>N/A</v>
        <stp/>
        <stp>ASK</stp>
        <stp>.ITOT201120C81</stp>
        <tr r="I300" s="1"/>
      </tp>
      <tp t="s">
        <v>N/A</v>
        <stp/>
        <stp>ASK</stp>
        <stp>.ITOT201120C80</stp>
        <tr r="I298" s="1"/>
      </tp>
      <tp t="s">
        <v>N/A</v>
        <stp/>
        <stp>BID</stp>
        <stp>.ITOT201120C81</stp>
        <tr r="H300" s="1"/>
      </tp>
      <tp t="s">
        <v>N/A</v>
        <stp/>
        <stp>BID</stp>
        <stp>.ITOT201120C80</stp>
        <tr r="H298" s="1"/>
      </tp>
      <tp t="s">
        <v>N/A</v>
        <stp/>
        <stp>VOLUME</stp>
        <stp>.VYM201120C88</stp>
        <tr r="F761" s="1"/>
      </tp>
      <tp t="s">
        <v>N/A</v>
        <stp/>
        <stp>VOLUME</stp>
        <stp>.VYM201120C87</stp>
        <tr r="F759" s="1"/>
      </tp>
      <tp t="s">
        <v>N/A</v>
        <stp/>
        <stp>PUT_CALL_RATIO</stp>
        <stp>.BZQ201120C12</stp>
        <tr r="C52" s="1"/>
      </tp>
      <tp>
        <v>0</v>
        <stp/>
        <stp>VOLUME</stp>
        <stp>.IYE201120C18</stp>
        <tr r="F364" s="1"/>
      </tp>
      <tp t="s">
        <v>N/A</v>
        <stp/>
        <stp>PUT_CALL_RATIO</stp>
        <stp>.EZU201120C42</stp>
        <tr r="C178" s="1"/>
      </tp>
      <tp t="s">
        <v>N/A</v>
        <stp/>
        <stp>STRIKE</stp>
        <stp>.TBF201120C16</stp>
        <tr r="W681" s="1"/>
      </tp>
      <tp t="s">
        <v>N/A</v>
        <stp/>
        <stp>STRIKE</stp>
        <stp>.KBE201120C38</stp>
        <tr r="W386" s="1"/>
      </tp>
      <tp t="s">
        <v>N/A</v>
        <stp/>
        <stp>VOLUME</stp>
        <stp>.IJR201120P80</stp>
        <tr r="F276" s="1"/>
      </tp>
      <tp t="s">
        <v>N/A</v>
        <stp/>
        <stp>VOLUME</stp>
        <stp>.IYR201120C85</stp>
        <tr r="F371" s="1"/>
      </tp>
      <tp t="s">
        <v>N/A</v>
        <stp/>
        <stp>VOLUME</stp>
        <stp>.IYR201120C84</stp>
        <tr r="F367" s="1"/>
      </tp>
      <tp t="s">
        <v>N/A</v>
        <stp/>
        <stp>RHO</stp>
        <stp>.ITOT201120C80</stp>
        <tr r="Q298" s="1"/>
      </tp>
      <tp t="s">
        <v>N/A</v>
        <stp/>
        <stp>RHO</stp>
        <stp>.ITOT201120C81</stp>
        <tr r="Q300" s="1"/>
      </tp>
      <tp t="s">
        <v>N/A</v>
        <stp/>
        <stp>PROB_OF_TOUCHING</stp>
        <stp>.DXD201120P14</stp>
        <tr r="V93" s="1"/>
      </tp>
      <tp t="s">
        <v>N/A</v>
        <stp/>
        <stp>EXTRINSIC</stp>
        <stp>.AAXJ201120P84</stp>
        <tr r="S6" s="1"/>
      </tp>
      <tp t="s">
        <v>N/A</v>
        <stp/>
        <stp>EXTRINSIC</stp>
        <stp>.ARKK201120C97</stp>
        <tr r="S26" s="1"/>
      </tp>
      <tp t="s">
        <v>N/A</v>
        <stp/>
        <stp>EXTRINSIC</stp>
        <stp>.AAXJ201120P83</stp>
        <tr r="S4" s="1"/>
      </tp>
      <tp t="s">
        <v>N/A</v>
        <stp/>
        <stp>EXTRINSIC</stp>
        <stp>.ARKK201120C99</stp>
        <tr r="S30" s="1"/>
      </tp>
      <tp t="s">
        <v>N/A</v>
        <stp/>
        <stp>EXTRINSIC</stp>
        <stp>.ARKK201120C98</stp>
        <tr r="S28" s="1"/>
      </tp>
      <tp t="s">
        <v>N/A</v>
        <stp/>
        <stp>IMPL_VOL</stp>
        <stp>.VYM201120P87</stp>
        <tr r="D760" s="1"/>
      </tp>
      <tp t="s">
        <v>N/A</v>
        <stp/>
        <stp>IMPL_VOL</stp>
        <stp>.VYM201120P88</stp>
        <tr r="D762" s="1"/>
      </tp>
      <tp t="s">
        <v>N/A</v>
        <stp/>
        <stp>IMPL_VOL</stp>
        <stp>.IYE201120P18</stp>
        <tr r="D365" s="1"/>
      </tp>
      <tp t="s">
        <v>N/A</v>
        <stp/>
        <stp>PROB_OF_EXPIRING</stp>
        <stp>.TAN201120C75</stp>
        <tr r="T670" s="1"/>
      </tp>
      <tp t="s">
        <v>N/A</v>
        <stp/>
        <stp>PROB_OF_EXPIRING</stp>
        <stp>.TAN201120C74</stp>
        <tr r="T666" s="1"/>
      </tp>
      <tp t="s">
        <v>N/A</v>
        <stp/>
        <stp>PROB_OF_EXPIRING</stp>
        <stp>.TAN201120C77</stp>
        <tr r="T678" s="1"/>
      </tp>
      <tp t="s">
        <v>N/A</v>
        <stp/>
        <stp>PROB_OF_EXPIRING</stp>
        <stp>.TAN201120C76</stp>
        <tr r="T674" s="1"/>
      </tp>
      <tp t="s">
        <v>N/A</v>
        <stp/>
        <stp>PROB_OF_EXPIRING</stp>
        <stp>.TAN201120C73</stp>
        <tr r="T662" s="1"/>
      </tp>
      <tp t="s">
        <v>N/A</v>
        <stp/>
        <stp>PROB_OTM</stp>
        <stp>.FEZ201120C40</stp>
        <tr r="U183" s="1"/>
      </tp>
      <tp t="s">
        <v>N/A</v>
        <stp/>
        <stp>PROB_OTM</stp>
        <stp>.VEU201120C55</stp>
        <tr r="U711" s="1"/>
      </tp>
      <tp t="s">
        <v>N/A</v>
        <stp/>
        <stp>PROB_OTM</stp>
        <stp>.DVY201120P91</stp>
        <tr r="U86" s="1"/>
      </tp>
      <tp t="s">
        <v>N/A</v>
        <stp/>
        <stp>PROB_OTM</stp>
        <stp>.DVY201120P92</stp>
        <tr r="U88" s="1"/>
      </tp>
      <tp t="s">
        <v>N/A</v>
        <stp/>
        <stp>PROB_OTM</stp>
        <stp>.DVY201120P93</stp>
        <tr r="U90" s="1"/>
      </tp>
      <tp t="s">
        <v>N/A</v>
        <stp/>
        <stp>PROB_OF_TOUCHING</stp>
        <stp>.FXI201120P47</stp>
        <tr r="V190" s="1"/>
      </tp>
      <tp t="s">
        <v>N/A</v>
        <stp/>
        <stp>PROB_OF_TOUCHING</stp>
        <stp>.FXI201120P48</stp>
        <tr r="V194" s="1"/>
      </tp>
      <tp t="s">
        <v>N/A</v>
        <stp/>
        <stp>PROB_OF_TOUCHING</stp>
        <stp>.PXH201120P19</stp>
        <tr r="V459" s="1"/>
      </tp>
      <tp t="s">
        <v>N/A</v>
        <stp/>
        <stp>PROB_OF_EXPIRING</stp>
        <stp>.KRE201120P47</stp>
        <tr r="T394" s="1"/>
      </tp>
      <tp t="s">
        <v>N/A</v>
        <stp/>
        <stp>PROB_OF_EXPIRING</stp>
        <stp>.KRE201120P46</stp>
        <tr r="T390" s="1"/>
      </tp>
      <tp t="s">
        <v>N/A</v>
        <stp/>
        <stp>PROB_OF_TOUCHING</stp>
        <stp>.PXH201120P20</stp>
        <tr r="V461" s="1"/>
      </tp>
      <tp t="s">
        <v>N/A</v>
        <stp/>
        <stp>IMPL_VOL</stp>
        <stp>.HYG201120P86</stp>
        <tr r="D224" s="1"/>
      </tp>
      <tp t="s">
        <v>N/A</v>
        <stp/>
        <stp>EXTRINSIC</stp>
        <stp>.GDXJ201120P53</stp>
        <tr r="S208" s="1"/>
      </tp>
      <tp t="s">
        <v>N/A</v>
        <stp/>
        <stp>EXTRINSIC</stp>
        <stp>.GDXJ201120P52</stp>
        <tr r="S204" s="1"/>
      </tp>
      <tp t="s">
        <v>N/A</v>
        <stp/>
        <stp>EXTRINSIC</stp>
        <stp>.GDXJ201120P54</stp>
        <tr r="S212" s="1"/>
      </tp>
      <tp t="s">
        <v>N/A</v>
        <stp/>
        <stp>PROB_OTM</stp>
        <stp>.EEM201120C48</stp>
        <tr r="U97" s="1"/>
      </tp>
      <tp t="s">
        <v>N/A</v>
        <stp/>
        <stp>PUT_CALL_RATIO</stp>
        <stp>.SMH201120C198</stp>
        <tr r="C574" s="1"/>
      </tp>
      <tp t="s">
        <v>N/A</v>
        <stp/>
        <stp>PUT_CALL_RATIO</stp>
        <stp>.SMH201120P198</stp>
        <tr r="C575" s="1"/>
      </tp>
      <tp t="s">
        <v>N/A</v>
        <stp/>
        <stp>PUT_CALL_RATIO</stp>
        <stp>.SMH201120C195</stp>
        <tr r="C562" s="1"/>
      </tp>
      <tp t="s">
        <v>N/A</v>
        <stp/>
        <stp>PUT_CALL_RATIO</stp>
        <stp>.SMH201120P195</stp>
        <tr r="C563" s="1"/>
      </tp>
      <tp t="s">
        <v>N/A</v>
        <stp/>
        <stp>PUT_CALL_RATIO</stp>
        <stp>.SMH201120C194</stp>
        <tr r="C558" s="1"/>
      </tp>
      <tp t="s">
        <v>N/A</v>
        <stp/>
        <stp>PUT_CALL_RATIO</stp>
        <stp>.SMH201120P194</stp>
        <tr r="C559" s="1"/>
      </tp>
      <tp t="s">
        <v>N/A</v>
        <stp/>
        <stp>PUT_CALL_RATIO</stp>
        <stp>.SMH201120C197</stp>
        <tr r="C570" s="1"/>
      </tp>
      <tp t="s">
        <v>N/A</v>
        <stp/>
        <stp>PUT_CALL_RATIO</stp>
        <stp>.SMH201120P197</stp>
        <tr r="C571" s="1"/>
      </tp>
      <tp t="s">
        <v>N/A</v>
        <stp/>
        <stp>PUT_CALL_RATIO</stp>
        <stp>.SMH201120C196</stp>
        <tr r="C566" s="1"/>
      </tp>
      <tp t="s">
        <v>N/A</v>
        <stp/>
        <stp>PUT_CALL_RATIO</stp>
        <stp>.SMH201120P196</stp>
        <tr r="C567" s="1"/>
      </tp>
      <tp t="s">
        <v>N/A</v>
        <stp/>
        <stp>PUT_CALL_RATIO</stp>
        <stp>.SMH201120C193</stp>
        <tr r="C554" s="1"/>
      </tp>
      <tp t="s">
        <v>N/A</v>
        <stp/>
        <stp>PUT_CALL_RATIO</stp>
        <stp>.SMH201120P193</stp>
        <tr r="C555" s="1"/>
      </tp>
      <tp t="s">
        <v>N/A</v>
        <stp/>
        <stp>IMPL_VOL</stp>
        <stp>.IJR201120C80</stp>
        <tr r="D275" s="1"/>
      </tp>
      <tp>
        <v>0</v>
        <stp/>
        <stp>OPEN_INT</stp>
        <stp>.SCZ201120P63</stp>
        <tr r="G536" s="1"/>
      </tp>
      <tp t="s">
        <v>N/A</v>
        <stp/>
        <stp>IMPL_VOL</stp>
        <stp>.IYR201120P84</stp>
        <tr r="D368" s="1"/>
      </tp>
      <tp t="s">
        <v>N/A</v>
        <stp/>
        <stp>IMPL_VOL</stp>
        <stp>.IYR201120P85</stp>
        <tr r="D372" s="1"/>
      </tp>
      <tp t="s">
        <v>N/A</v>
        <stp/>
        <stp>PROB_OTM</stp>
        <stp>.VEA201120C44</stp>
        <tr r="U708" s="1"/>
      </tp>
      <tp t="s">
        <v>N/A</v>
        <stp/>
        <stp>PROB_OF_EXPIRING</stp>
        <stp>.XRT201120P55</stp>
        <tr r="T908" s="1"/>
      </tp>
      <tp t="s">
        <v>N/A</v>
        <stp/>
        <stp>PROB_OF_EXPIRING</stp>
        <stp>.XRT201120P54</stp>
        <tr r="T904" s="1"/>
      </tp>
      <tp t="s">
        <v>N/A</v>
        <stp/>
        <stp>PROB_OTM</stp>
        <stp>.FVD201120P35</stp>
        <tr r="U187" s="1"/>
      </tp>
      <tp t="s">
        <v>N/A</v>
        <stp/>
        <stp>PROB_OF_EXPIRING</stp>
        <stp>.DRIP201120C45</stp>
        <tr r="T82" s="1"/>
      </tp>
      <tp t="s">
        <v>N/A</v>
        <stp/>
        <stp>PROB_OF_TOUCHING</stp>
        <stp>.PDBC201120C14</stp>
        <tr r="V452" s="1"/>
      </tp>
      <tp t="s">
        <v>N/A</v>
        <stp/>
        <stp>INTRINSIC</stp>
        <stp>.XLU201120P66.5</stp>
        <tr r="R853" s="1"/>
      </tp>
      <tp t="s">
        <v>N/A</v>
        <stp/>
        <stp>INTRINSIC</stp>
        <stp>.XLP201120P66.5</stp>
        <tr r="R843" s="1"/>
      </tp>
      <tp t="s">
        <v>N/A</v>
        <stp/>
        <stp>INTRINSIC</stp>
        <stp>.XME201120P26.5</stp>
        <tr r="R886" s="1"/>
      </tp>
      <tp t="s">
        <v>N/A</v>
        <stp/>
        <stp>EXTRINSIC</stp>
        <stp>.XLP201120P66.5</stp>
        <tr r="S843" s="1"/>
      </tp>
      <tp t="s">
        <v>N/A</v>
        <stp/>
        <stp>EXTRINSIC</stp>
        <stp>.XLU201120P66.5</stp>
        <tr r="S853" s="1"/>
      </tp>
      <tp t="s">
        <v>N/A</v>
        <stp/>
        <stp>EXTRINSIC</stp>
        <stp>.XME201120P26.5</stp>
        <tr r="S886" s="1"/>
      </tp>
      <tp t="s">
        <v>N/A</v>
        <stp/>
        <stp>INTRINSIC</stp>
        <stp>.XME201120C26.5</stp>
        <tr r="R885" s="1"/>
      </tp>
      <tp t="s">
        <v>N/A</v>
        <stp/>
        <stp>INTRINSIC</stp>
        <stp>.XLU201120C66.5</stp>
        <tr r="R852" s="1"/>
      </tp>
      <tp t="s">
        <v>N/A</v>
        <stp/>
        <stp>INTRINSIC</stp>
        <stp>.XLP201120C66.5</stp>
        <tr r="R842" s="1"/>
      </tp>
      <tp t="s">
        <v>N/A</v>
        <stp/>
        <stp>EXTRINSIC</stp>
        <stp>.XME201120C26.5</stp>
        <tr r="S885" s="1"/>
      </tp>
      <tp t="s">
        <v>N/A</v>
        <stp/>
        <stp>EXTRINSIC</stp>
        <stp>.XLP201120C66.5</stp>
        <tr r="S842" s="1"/>
      </tp>
      <tp t="s">
        <v>N/A</v>
        <stp/>
        <stp>EXTRINSIC</stp>
        <stp>.XLU201120C66.5</stp>
        <tr r="S852" s="1"/>
      </tp>
      <tp t="s">
        <v>N/A</v>
        <stp/>
        <stp>RHO</stp>
        <stp>.XLK201120P121.5</stp>
        <tr r="Q834" s="1"/>
      </tp>
      <tp t="s">
        <v>N/A</v>
        <stp/>
        <stp>RHO</stp>
        <stp>.XLV201120P111.5</stp>
        <tr r="Q864" s="1"/>
      </tp>
      <tp t="s">
        <v>N/A</v>
        <stp/>
        <stp>RHO</stp>
        <stp>.XLY201120P151.5</stp>
        <tr r="Q869" s="1"/>
      </tp>
      <tp t="s">
        <v>N/A</v>
        <stp/>
        <stp>PROB_OTM</stp>
        <stp>.IEMG201120P58</stp>
        <tr r="U260" s="1"/>
      </tp>
      <tp t="s">
        <v>N/A</v>
        <stp/>
        <stp>PROB_OTM</stp>
        <stp>.IEMG201120P57</stp>
        <tr r="U258" s="1"/>
      </tp>
      <tp>
        <v>115</v>
        <stp/>
        <stp>OPEN_INT</stp>
        <stp>.XLRE201120P37</stp>
        <tr r="G848" s="1"/>
      </tp>
      <tp t="s">
        <v>N/A</v>
        <stp/>
        <stp>PROB_OF_EXPIRING</stp>
        <stp>.VGIT201120C70</stp>
        <tr r="T719" s="1"/>
      </tp>
      <tp t="s">
        <v>N/A</v>
        <stp/>
        <stp>DESCRIPTION</stp>
        <stp>.TLT201120P156.5</stp>
        <tr r="B697" s="1"/>
      </tp>
      <tp t="s">
        <v>N/A</v>
        <stp/>
        <stp>INTRINSIC</stp>
        <stp>.SHY201120P86.5</stp>
        <tr r="R547" s="1"/>
      </tp>
      <tp t="s">
        <v>N/A</v>
        <stp/>
        <stp>EXTRINSIC</stp>
        <stp>.SHY201120P86.5</stp>
        <tr r="S547" s="1"/>
      </tp>
      <tp t="s">
        <v>N/A</v>
        <stp/>
        <stp>INTRINSIC</stp>
        <stp>.SHY201120C86.5</stp>
        <tr r="R546" s="1"/>
      </tp>
      <tp t="s">
        <v>N/A</v>
        <stp/>
        <stp>EXTRINSIC</stp>
        <stp>.SHY201120C86.5</stp>
        <tr r="S546" s="1"/>
      </tp>
      <tp t="s">
        <v>N/A</v>
        <stp/>
        <stp>PROB_OF_EXPIRING</stp>
        <stp>.VCIT201120C96</stp>
        <tr r="T702" s="1"/>
      </tp>
      <tp>
        <v>0</v>
        <stp/>
        <stp>OPEN_INT</stp>
        <stp>.DGRO201120P43</stp>
        <tr r="G61" s="1"/>
      </tp>
      <tp t="s">
        <v>N/A</v>
        <stp/>
        <stp>EXTRINSIC</stp>
        <stp>.VWO201120C46.5</stp>
        <tr r="S749" s="1"/>
      </tp>
      <tp t="s">
        <v>N/A</v>
        <stp/>
        <stp>INTRINSIC</stp>
        <stp>.VWO201120C46.5</stp>
        <tr r="R749" s="1"/>
      </tp>
      <tp t="s">
        <v>N/A</v>
        <stp/>
        <stp>EXTRINSIC</stp>
        <stp>.VWO201120P46.5</stp>
        <tr r="S750" s="1"/>
      </tp>
      <tp t="s">
        <v>N/A</v>
        <stp/>
        <stp>INTRINSIC</stp>
        <stp>.VWO201120P46.5</stp>
        <tr r="R750" s="1"/>
      </tp>
      <tp t="s">
        <v>N/A</v>
        <stp/>
        <stp>EXTRINSIC</stp>
        <stp>.TAN201120P76.5</stp>
        <tr r="S677" s="1"/>
      </tp>
      <tp t="s">
        <v>N/A</v>
        <stp/>
        <stp>INTRINSIC</stp>
        <stp>.TAN201120P76.5</stp>
        <tr r="R677" s="1"/>
      </tp>
      <tp t="s">
        <v>N/A</v>
        <stp/>
        <stp>EXTRINSIC</stp>
        <stp>.TAN201120C76.5</stp>
        <tr r="S676" s="1"/>
      </tp>
      <tp t="s">
        <v>N/A</v>
        <stp/>
        <stp>INTRINSIC</stp>
        <stp>.TAN201120C76.5</stp>
        <tr r="R676" s="1"/>
      </tp>
      <tp>
        <v>1.92</v>
        <stp/>
        <stp>BID</stp>
        <stp>.XLK201120P120.5</stp>
        <tr r="H830" s="1"/>
      </tp>
      <tp t="s">
        <v>N/A</v>
        <stp/>
        <stp>PUT_CALL_RATIO</stp>
        <stp>.ARKW201120C118</stp>
        <tr r="C39" s="1"/>
      </tp>
      <tp t="s">
        <v>N/A</v>
        <stp/>
        <stp>PUT_CALL_RATIO</stp>
        <stp>.ARKW201120P118</stp>
        <tr r="C40" s="1"/>
      </tp>
      <tp t="s">
        <v>N/A</v>
        <stp/>
        <stp>PUT_CALL_RATIO</stp>
        <stp>.ARKW201120C119</stp>
        <tr r="C41" s="1"/>
      </tp>
      <tp t="s">
        <v>N/A</v>
        <stp/>
        <stp>PUT_CALL_RATIO</stp>
        <stp>.ARKW201120P119</stp>
        <tr r="C42" s="1"/>
      </tp>
      <tp>
        <v>0.89</v>
        <stp/>
        <stp>BID</stp>
        <stp>.XLV201120P110.5</stp>
        <tr r="H860" s="1"/>
      </tp>
      <tp t="s">
        <v>N/A</v>
        <stp/>
        <stp>PUT_CALL_RATIO</stp>
        <stp>.ARKW201120C116</stp>
        <tr r="C35" s="1"/>
      </tp>
      <tp t="s">
        <v>N/A</v>
        <stp/>
        <stp>PUT_CALL_RATIO</stp>
        <stp>.ARKW201120P116</stp>
        <tr r="C36" s="1"/>
      </tp>
      <tp t="s">
        <v>N/A</v>
        <stp/>
        <stp>PUT_CALL_RATIO</stp>
        <stp>.ARKW201120C117</stp>
        <tr r="C37" s="1"/>
      </tp>
      <tp t="s">
        <v>N/A</v>
        <stp/>
        <stp>PUT_CALL_RATIO</stp>
        <stp>.ARKW201120P117</stp>
        <tr r="C38" s="1"/>
      </tp>
      <tp t="s">
        <v>N/A</v>
        <stp/>
        <stp>PROB_OF_EXPIRING</stp>
        <stp>.IGIB201120C61</stp>
        <tr r="T262" s="1"/>
      </tp>
      <tp t="s">
        <v>N/A</v>
        <stp/>
        <stp>EXTRINSIC</stp>
        <stp>.KRE201120C46.5</stp>
        <tr r="S391" s="1"/>
      </tp>
      <tp t="s">
        <v>N/A</v>
        <stp/>
        <stp>INTRINSIC</stp>
        <stp>.KRE201120C46.5</stp>
        <tr r="R391" s="1"/>
      </tp>
      <tp t="s">
        <v>N/A</v>
        <stp/>
        <stp>EXTRINSIC</stp>
        <stp>.KRE201120P46.5</stp>
        <tr r="S392" s="1"/>
      </tp>
      <tp t="s">
        <v>N/A</v>
        <stp/>
        <stp>INTRINSIC</stp>
        <stp>.KRE201120P46.5</stp>
        <tr r="R392" s="1"/>
      </tp>
      <tp t="s">
        <v>N/A</v>
        <stp/>
        <stp>IMPL_VOL</stp>
        <stp>.JETS201120P20</stp>
        <tr r="D379" s="1"/>
      </tp>
      <tp t="s">
        <v>N/A</v>
        <stp/>
        <stp>DESCRIPTION</stp>
        <stp>.TLT201120C156.5</stp>
        <tr r="B696" s="1"/>
      </tp>
      <tp t="s">
        <v>N/A</v>
        <stp/>
        <stp>PROB_OTM</stp>
        <stp>.USMV201120P67</stp>
        <tr r="U700" s="1"/>
      </tp>
      <tp t="s">
        <v>N/A</v>
        <stp/>
        <stp>RHO</stp>
        <stp>.XLK201120C121.5</stp>
        <tr r="Q833" s="1"/>
      </tp>
      <tp t="s">
        <v>N/A</v>
        <stp/>
        <stp>RHO</stp>
        <stp>.XLV201120C111.5</stp>
        <tr r="Q863" s="1"/>
      </tp>
      <tp t="s">
        <v>N/A</v>
        <stp/>
        <stp>RHO</stp>
        <stp>.XLY201120C151.5</stp>
        <tr r="Q868" s="1"/>
      </tp>
      <tp t="s">
        <v>N/A</v>
        <stp/>
        <stp>VOLUME</stp>
        <stp>.MTUM201120C151</stp>
        <tr r="F431" s="1"/>
      </tp>
      <tp t="s">
        <v>N/A</v>
        <stp/>
        <stp>VOLUME</stp>
        <stp>.MTUM201120P151</stp>
        <tr r="F432" s="1"/>
      </tp>
      <tp>
        <v>0</v>
        <stp/>
        <stp>VOLUME</stp>
        <stp>.MTUM201120C150</stp>
        <tr r="F429" s="1"/>
      </tp>
      <tp t="s">
        <v>N/A</v>
        <stp/>
        <stp>VOLUME</stp>
        <stp>.MTUM201120P150</stp>
        <tr r="F430" s="1"/>
      </tp>
      <tp>
        <v>0</v>
        <stp/>
        <stp>VOLUME</stp>
        <stp>.MTUM201120C152</stp>
        <tr r="F433" s="1"/>
      </tp>
      <tp t="s">
        <v>N/A</v>
        <stp/>
        <stp>VOLUME</stp>
        <stp>.MTUM201120P152</stp>
        <tr r="F434" s="1"/>
      </tp>
      <tp>
        <v>0</v>
        <stp/>
        <stp>VOLUME</stp>
        <stp>.MTUM201120C149</stp>
        <tr r="F427" s="1"/>
      </tp>
      <tp t="s">
        <v>N/A</v>
        <stp/>
        <stp>VOLUME</stp>
        <stp>.MTUM201120P149</stp>
        <tr r="F428" s="1"/>
      </tp>
      <tp t="s">
        <v>N/A</v>
        <stp/>
        <stp>PROB_OF_EXPIRING</stp>
        <stp>.NAIL201120C44</stp>
        <tr r="T439" s="1"/>
      </tp>
      <tp t="s">
        <v>N/A</v>
        <stp/>
        <stp>PROB_OF_EXPIRING</stp>
        <stp>.NAIL201120C45</stp>
        <tr r="T441" s="1"/>
      </tp>
      <tp t="s">
        <v>N/A</v>
        <stp/>
        <stp>PROB_OF_EXPIRING</stp>
        <stp>.NAIL201120C46</stp>
        <tr r="T443" s="1"/>
      </tp>
      <tp t="s">
        <v>N/A</v>
        <stp/>
        <stp>PROB_OF_EXPIRING</stp>
        <stp>.NAIL201120C47</stp>
        <tr r="T445" s="1"/>
      </tp>
      <tp t="s">
        <v>N/A</v>
        <stp/>
        <stp>PROB_OF_EXPIRING</stp>
        <stp>.NAIL201120C48</stp>
        <tr r="T447" s="1"/>
      </tp>
      <tp t="s">
        <v>N/A</v>
        <stp/>
        <stp>PROB_OF_EXPIRING</stp>
        <stp>.NAIL201120C49</stp>
        <tr r="T449" s="1"/>
      </tp>
      <tp t="s">
        <v>N/A</v>
        <stp/>
        <stp>EXTRINSIC</stp>
        <stp>.GDX201120P36.5</stp>
        <tr r="S197" s="1"/>
      </tp>
      <tp t="s">
        <v>N/A</v>
        <stp/>
        <stp>INTRINSIC</stp>
        <stp>.GDX201120P36.5</stp>
        <tr r="R197" s="1"/>
      </tp>
      <tp t="s">
        <v>N/A</v>
        <stp/>
        <stp>EXTRINSIC</stp>
        <stp>.GDX201120C36.5</stp>
        <tr r="S196" s="1"/>
      </tp>
      <tp t="s">
        <v>N/A</v>
        <stp/>
        <stp>INTRINSIC</stp>
        <stp>.GDX201120C36.5</stp>
        <tr r="R196" s="1"/>
      </tp>
      <tp>
        <v>1.91</v>
        <stp/>
        <stp>BID</stp>
        <stp>.XLK201120C120.5</stp>
        <tr r="H829" s="1"/>
      </tp>
      <tp>
        <v>1.08</v>
        <stp/>
        <stp>BID</stp>
        <stp>.XLV201120C110.5</stp>
        <tr r="H859" s="1"/>
      </tp>
      <tp>
        <v>1</v>
        <stp/>
        <stp>DELTA</stp>
        <stp>RWM</stp>
        <tr r="M517" s="1"/>
      </tp>
      <tp t="s">
        <v>N/A</v>
        <stp/>
        <stp>GAMMA</stp>
        <stp>.IBB201120C140.5</stp>
        <tr r="N239" s="1"/>
      </tp>
      <tp t="s">
        <v>N/A</v>
        <stp/>
        <stp>GAMMA</stp>
        <stp>.LQD201120P135.5</stp>
        <tr r="N410" s="1"/>
      </tp>
      <tp>
        <v>0</v>
        <stp/>
        <stp>GAMMA</stp>
        <stp>SMH</stp>
        <tr r="N551" s="1"/>
      </tp>
      <tp>
        <v>1</v>
        <stp/>
        <stp>DELTA</stp>
        <stp>RSX</stp>
        <tr r="M512" s="1"/>
      </tp>
      <tp>
        <v>1</v>
        <stp/>
        <stp>DELTA</stp>
        <stp>RSP</stp>
        <tr r="M505" s="1"/>
      </tp>
      <tp>
        <v>49.14</v>
        <stp/>
        <stp>HIGH</stp>
        <stp>HYLB</stp>
        <tr r="J225" s="1"/>
      </tp>
      <tp>
        <v>0</v>
        <stp/>
        <stp>GAMMA</stp>
        <stp>SHY</stp>
        <tr r="N545" s="1"/>
      </tp>
      <tp>
        <v>0.55000000000000004</v>
        <stp/>
        <stp>ASK</stp>
        <stp>.JETS201120C19.5</stp>
        <tr r="I376" s="1"/>
      </tp>
      <tp>
        <v>0.85</v>
        <stp/>
        <stp>ASK</stp>
        <stp>.JETS201120P19.5</stp>
        <tr r="I377" s="1"/>
      </tp>
      <tp>
        <v>0</v>
        <stp/>
        <stp>GAMMA</stp>
        <stp>SDS</stp>
        <tr r="N537" s="1"/>
      </tp>
      <tp t="s">
        <v>N/A</v>
        <stp/>
        <stp>THETA</stp>
        <stp>.SMH201120P193.5</stp>
        <tr r="O557" s="1"/>
      </tp>
      <tp>
        <v>0</v>
        <stp/>
        <stp>GAMMA</stp>
        <stp>SCZ</stp>
        <tr r="N534" s="1"/>
      </tp>
      <tp>
        <v>0</v>
        <stp/>
        <stp>VEGA</stp>
        <stp>HYLB</stp>
        <tr r="P225" s="1"/>
      </tp>
      <tp t="s">
        <v>N/A</v>
        <stp/>
        <stp>DELTA</stp>
        <stp>.SMH201120C193.5</stp>
        <tr r="M556" s="1"/>
      </tp>
      <tp t="s">
        <v>N/A</v>
        <stp/>
        <stp>GAMMA</stp>
        <stp>.IBB201120P140.5</stp>
        <tr r="N240" s="1"/>
      </tp>
      <tp t="s">
        <v>N/A</v>
        <stp/>
        <stp>GAMMA</stp>
        <stp>.LQD201120C135.5</stp>
        <tr r="N409" s="1"/>
      </tp>
      <tp t="s">
        <v>N/A</v>
        <stp/>
        <stp>GAMMA</stp>
        <stp>.PXH201120C20</stp>
        <tr r="N460" s="1"/>
      </tp>
      <tp t="s">
        <v>N/A</v>
        <stp/>
        <stp>GAMMA</stp>
        <stp>.PXH201120C19</stp>
        <tr r="N458" s="1"/>
      </tp>
      <tp t="s">
        <v>N/A</v>
        <stp/>
        <stp>THETA</stp>
        <stp>.DXD201120P14</stp>
        <tr r="O93" s="1"/>
      </tp>
      <tp t="s">
        <v>N/A</v>
        <stp/>
        <stp>GAMMA</stp>
        <stp>.FXI201120C48</stp>
        <tr r="N193" s="1"/>
      </tp>
      <tp t="s">
        <v>N/A</v>
        <stp/>
        <stp>GAMMA</stp>
        <stp>.FXI201120C47</stp>
        <tr r="N189" s="1"/>
      </tp>
      <tp t="s">
        <v>N/A</v>
        <stp/>
        <stp>THETA</stp>
        <stp>.PXH201120P20</stp>
        <tr r="O461" s="1"/>
      </tp>
      <tp t="s">
        <v>N/A</v>
        <stp/>
        <stp>DELTA</stp>
        <stp>.XHB201120P56</stp>
        <tr r="M786" s="1"/>
      </tp>
      <tp t="s">
        <v>N/A</v>
        <stp/>
        <stp>DELTA</stp>
        <stp>.XHB201120P55</stp>
        <tr r="M782" s="1"/>
      </tp>
      <tp>
        <v>22.45</v>
        <stp/>
        <stp>LAST</stp>
        <stp>AMLP</stp>
        <tr r="E18" s="1"/>
      </tp>
      <tp>
        <v>31.96</v>
        <stp/>
        <stp>LAST</stp>
        <stp>EMLC</stp>
        <tr r="E114" s="1"/>
      </tp>
      <tp t="s">
        <v>N/A</v>
        <stp/>
        <stp>THETA</stp>
        <stp>.PXH201120P19</stp>
        <tr r="O459" s="1"/>
      </tp>
      <tp t="s">
        <v>N/A</v>
        <stp/>
        <stp>DELTA</stp>
        <stp>.SMH201120P193.5</stp>
        <tr r="M557" s="1"/>
      </tp>
      <tp>
        <v>0</v>
        <stp/>
        <stp>GAMMA</stp>
        <stp>SSO</stp>
        <tr r="N642" s="1"/>
      </tp>
      <tp>
        <v>0</v>
        <stp/>
        <stp>GAMMA</stp>
        <stp>SPY</stp>
        <tr r="N590" s="1"/>
      </tp>
      <tp t="s">
        <v>N/A</v>
        <stp/>
        <stp>THETA</stp>
        <stp>.FXI201120P47</stp>
        <tr r="O190" s="1"/>
      </tp>
      <tp t="s">
        <v>N/A</v>
        <stp/>
        <stp>THETA</stp>
        <stp>.FXI201120P48</stp>
        <tr r="O194" s="1"/>
      </tp>
      <tp t="s">
        <v>N/A</v>
        <stp/>
        <stp>VEGA</stp>
        <stp>.ARKK201120P100</stp>
        <tr r="P33" s="1"/>
      </tp>
      <tp t="s">
        <v>N/A</v>
        <stp/>
        <stp>VEGA</stp>
        <stp>.ARKK201120C100</stp>
        <tr r="P32" s="1"/>
      </tp>
      <tp t="s">
        <v>N/A</v>
        <stp/>
        <stp>THETA</stp>
        <stp>.SMH201120C193.5</stp>
        <tr r="O556" s="1"/>
      </tp>
      <tp t="s">
        <v>N/A</v>
        <stp/>
        <stp>GAMMA</stp>
        <stp>.DXD201120C14</stp>
        <tr r="N92" s="1"/>
      </tp>
      <tp t="s">
        <v>N/A</v>
        <stp/>
        <stp>VOLUME</stp>
        <stp>.PXH201120C19</stp>
        <tr r="F458" s="1"/>
      </tp>
      <tp t="s">
        <v>N/A</v>
        <stp/>
        <stp>VOLUME</stp>
        <stp>.PXH201120C20</stp>
        <tr r="F460" s="1"/>
      </tp>
      <tp>
        <v>167</v>
        <stp/>
        <stp>VOLUME</stp>
        <stp>.FXI201120C48</stp>
        <tr r="F193" s="1"/>
      </tp>
      <tp>
        <v>2539</v>
        <stp/>
        <stp>VOLUME</stp>
        <stp>.FXI201120C47</stp>
        <tr r="F189" s="1"/>
      </tp>
      <tp t="s">
        <v>N/A</v>
        <stp/>
        <stp>DESCRIPTION</stp>
        <stp>.PDBC201120P14</stp>
        <tr r="B453" s="1"/>
      </tp>
      <tp t="s">
        <v>N/A</v>
        <stp/>
        <stp>STRIKE</stp>
        <stp>.SCZ201120C63</stp>
        <tr r="W535" s="1"/>
      </tp>
      <tp>
        <v>171</v>
        <stp/>
        <stp>VOLUME</stp>
        <stp>.DXD201120C14</stp>
        <tr r="F92" s="1"/>
      </tp>
      <tp t="s">
        <v>N/A</v>
        <stp/>
        <stp>PUT_CALL_RATIO</stp>
        <stp>.XHB201120P55</stp>
        <tr r="C782" s="1"/>
      </tp>
      <tp t="s">
        <v>N/A</v>
        <stp/>
        <stp>PUT_CALL_RATIO</stp>
        <stp>.XHB201120P56</stp>
        <tr r="C786" s="1"/>
      </tp>
      <tp>
        <v>2</v>
        <stp/>
        <stp>OPEN_INT</stp>
        <stp>.TBF201120P16</stp>
        <tr r="G682" s="1"/>
      </tp>
      <tp t="s">
        <v>N/A</v>
        <stp/>
        <stp>PROB_OF_TOUCHING</stp>
        <stp>.IYE201120P18</stp>
        <tr r="V365" s="1"/>
      </tp>
      <tp>
        <v>0</v>
        <stp/>
        <stp>VOLUME</stp>
        <stp>.VT201120P87</stp>
        <tr r="F738" s="1"/>
      </tp>
      <tp>
        <v>0</v>
        <stp/>
        <stp>VOLUME</stp>
        <stp>.VT201120P86</stp>
        <tr r="F736" s="1"/>
      </tp>
      <tp t="s">
        <v>N/A</v>
        <stp/>
        <stp>PROB_OF_TOUCHING</stp>
        <stp>.VYM201120P87</stp>
        <tr r="V760" s="1"/>
      </tp>
      <tp t="s">
        <v>N/A</v>
        <stp/>
        <stp>PROB_OTM</stp>
        <stp>.EWZ201120P32</stp>
        <tr r="U176" s="1"/>
      </tp>
      <tp t="s">
        <v>N/A</v>
        <stp/>
        <stp>OPEN_INT</stp>
        <stp>.KBE201120P38</stp>
        <tr r="G387" s="1"/>
      </tp>
      <tp t="s">
        <v>N/A</v>
        <stp/>
        <stp>PROB_OF_TOUCHING</stp>
        <stp>.VYM201120P88</stp>
        <tr r="V762" s="1"/>
      </tp>
      <tp t="s">
        <v>N/A</v>
        <stp/>
        <stp>EXTRINSIC</stp>
        <stp>.SHYG201120P45</stp>
        <tr r="S550" s="1"/>
      </tp>
      <tp t="s">
        <v>N/A</v>
        <stp/>
        <stp>PROB_OTM</stp>
        <stp>.GDX201120C37</stp>
        <tr r="U198" s="1"/>
      </tp>
      <tp t="s">
        <v>N/A</v>
        <stp/>
        <stp>EXTRINSIC</stp>
        <stp>.SPYG201120P53</stp>
        <tr r="S633" s="1"/>
      </tp>
      <tp t="s">
        <v>N/A</v>
        <stp/>
        <stp>EXTRINSIC</stp>
        <stp>.SPYG201120P52</stp>
        <tr r="S631" s="1"/>
      </tp>
      <tp t="s">
        <v>N/A</v>
        <stp/>
        <stp>IMPL_VOL</stp>
        <stp>.DXD201120P14</stp>
        <tr r="D93" s="1"/>
      </tp>
      <tp t="s">
        <v>N/A</v>
        <stp/>
        <stp>PROB_OTM</stp>
        <stp>.EWY201120P72</stp>
        <tr r="U165" s="1"/>
      </tp>
      <tp t="s">
        <v>N/A</v>
        <stp/>
        <stp>PROB_OTM</stp>
        <stp>.EWY201120P73</stp>
        <tr r="U169" s="1"/>
      </tp>
      <tp t="s">
        <v>N/A</v>
        <stp/>
        <stp>PROB_OF_EXPIRING</stp>
        <stp>.SSO201120P84</stp>
        <tr r="T656" s="1"/>
      </tp>
      <tp t="s">
        <v>N/A</v>
        <stp/>
        <stp>PROB_OF_EXPIRING</stp>
        <stp>.SSO201120P81</stp>
        <tr r="T644" s="1"/>
      </tp>
      <tp t="s">
        <v>N/A</v>
        <stp/>
        <stp>PROB_OF_EXPIRING</stp>
        <stp>.SSO201120P83</stp>
        <tr r="T652" s="1"/>
      </tp>
      <tp t="s">
        <v>N/A</v>
        <stp/>
        <stp>PROB_OF_EXPIRING</stp>
        <stp>.SSO201120P82</stp>
        <tr r="T648" s="1"/>
      </tp>
      <tp t="s">
        <v>N/A</v>
        <stp/>
        <stp>IMPL_VOL</stp>
        <stp>.PXH201120P19</stp>
        <tr r="D459" s="1"/>
      </tp>
      <tp t="s">
        <v>N/A</v>
        <stp/>
        <stp>PROB_OTM</stp>
        <stp>.EWT201120P48</stp>
        <tr r="U150" s="1"/>
      </tp>
      <tp t="s">
        <v>N/A</v>
        <stp/>
        <stp>PROB_OTM</stp>
        <stp>.SDS201120C14</stp>
        <tr r="U540" s="1"/>
      </tp>
      <tp t="s">
        <v>N/A</v>
        <stp/>
        <stp>PROB_OTM</stp>
        <stp>.EWP201120P26</stp>
        <tr r="U147" s="1"/>
      </tp>
      <tp t="s">
        <v>N/A</v>
        <stp/>
        <stp>IMPL_VOL</stp>
        <stp>.PXH201120P20</stp>
        <tr r="D461" s="1"/>
      </tp>
      <tp t="s">
        <v>N/A</v>
        <stp/>
        <stp>PROB_OF_TOUCHING</stp>
        <stp>.HYG201120P86</stp>
        <tr r="V224" s="1"/>
      </tp>
      <tp t="s">
        <v>N/A</v>
        <stp/>
        <stp>IMPL_VOL</stp>
        <stp>.FXI201120P47</stp>
        <tr r="D190" s="1"/>
      </tp>
      <tp t="s">
        <v>N/A</v>
        <stp/>
        <stp>IMPL_VOL</stp>
        <stp>.FXI201120P48</stp>
        <tr r="D194" s="1"/>
      </tp>
      <tp t="s">
        <v>N/A</v>
        <stp/>
        <stp>PROB_OTM</stp>
        <stp>.EWW201120P39</stp>
        <tr r="U158" s="1"/>
      </tp>
      <tp t="s">
        <v>N/A</v>
        <stp/>
        <stp>PROB_OTM</stp>
        <stp>.EWL201120P43</stp>
        <tr r="U144" s="1"/>
      </tp>
      <tp t="s">
        <v>N/A</v>
        <stp/>
        <stp>PROB_OTM</stp>
        <stp>.EWH201120P24</stp>
        <tr r="U131" s="1"/>
      </tp>
      <tp t="s">
        <v>N/A</v>
        <stp/>
        <stp>OPEN_INT</stp>
        <stp>.TBT201120P17</stp>
        <tr r="G685" s="1"/>
      </tp>
      <tp t="s">
        <v>N/A</v>
        <stp/>
        <stp>PROB_OTM</stp>
        <stp>.VWO201120P47</stp>
        <tr r="U752" s="1"/>
      </tp>
      <tp t="s">
        <v>N/A</v>
        <stp/>
        <stp>PROB_OTM</stp>
        <stp>.EWI201120P27</stp>
        <tr r="U134" s="1"/>
      </tp>
      <tp t="s">
        <v>N/A</v>
        <stp/>
        <stp>PUT_CALL_RATIO</stp>
        <stp>.XBI201120C124</stp>
        <tr r="C772" s="1"/>
      </tp>
      <tp t="s">
        <v>N/A</v>
        <stp/>
        <stp>PUT_CALL_RATIO</stp>
        <stp>.XBI201120P124</stp>
        <tr r="C773" s="1"/>
      </tp>
      <tp t="s">
        <v>N/A</v>
        <stp/>
        <stp>PUT_CALL_RATIO</stp>
        <stp>.XBI201120C125</stp>
        <tr r="C776" s="1"/>
      </tp>
      <tp t="s">
        <v>N/A</v>
        <stp/>
        <stp>PUT_CALL_RATIO</stp>
        <stp>.XBI201120P125</stp>
        <tr r="C777" s="1"/>
      </tp>
      <tp t="s">
        <v>N/A</v>
        <stp/>
        <stp>PUT_CALL_RATIO</stp>
        <stp>.XBI201120C122</stp>
        <tr r="C764" s="1"/>
      </tp>
      <tp t="s">
        <v>N/A</v>
        <stp/>
        <stp>PUT_CALL_RATIO</stp>
        <stp>.XBI201120P122</stp>
        <tr r="C765" s="1"/>
      </tp>
      <tp t="s">
        <v>N/A</v>
        <stp/>
        <stp>PUT_CALL_RATIO</stp>
        <stp>.XBI201120C123</stp>
        <tr r="C768" s="1"/>
      </tp>
      <tp t="s">
        <v>N/A</v>
        <stp/>
        <stp>PUT_CALL_RATIO</stp>
        <stp>.XBI201120P123</stp>
        <tr r="C769" s="1"/>
      </tp>
      <tp t="s">
        <v>N/A</v>
        <stp/>
        <stp>STRIKE</stp>
        <stp>.IBB201120P140</stp>
        <tr r="W238" s="1"/>
      </tp>
      <tp t="s">
        <v>N/A</v>
        <stp/>
        <stp>STRIKE</stp>
        <stp>.IBB201120C140</stp>
        <tr r="W237" s="1"/>
      </tp>
      <tp t="s">
        <v>N/A</v>
        <stp/>
        <stp>STRIKE</stp>
        <stp>.IBB201120P141</stp>
        <tr r="W242" s="1"/>
      </tp>
      <tp t="s">
        <v>N/A</v>
        <stp/>
        <stp>STRIKE</stp>
        <stp>.IBB201120C141</stp>
        <tr r="W241" s="1"/>
      </tp>
      <tp t="s">
        <v>N/A</v>
        <stp/>
        <stp>PROB_OTM</stp>
        <stp>.EWJ201120P64</stp>
        <tr r="U141" s="1"/>
      </tp>
      <tp t="s">
        <v>N/A</v>
        <stp/>
        <stp>PROB_OTM</stp>
        <stp>.EWJ201120P63</stp>
        <tr r="U137" s="1"/>
      </tp>
      <tp t="s">
        <v>N/A</v>
        <stp/>
        <stp>STRIKE</stp>
        <stp>.IBB201120P138</stp>
        <tr r="W230" s="1"/>
      </tp>
      <tp t="s">
        <v>N/A</v>
        <stp/>
        <stp>STRIKE</stp>
        <stp>.IBB201120C138</stp>
        <tr r="W229" s="1"/>
      </tp>
      <tp t="s">
        <v>N/A</v>
        <stp/>
        <stp>STRIKE</stp>
        <stp>.IBB201120P139</stp>
        <tr r="W234" s="1"/>
      </tp>
      <tp t="s">
        <v>N/A</v>
        <stp/>
        <stp>STRIKE</stp>
        <stp>.IBB201120C139</stp>
        <tr r="W233" s="1"/>
      </tp>
      <tp t="s">
        <v>N/A</v>
        <stp/>
        <stp>EXTRINSIC</stp>
        <stp>.SPYV201120P33</stp>
        <tr r="S636" s="1"/>
      </tp>
      <tp t="s">
        <v>N/A</v>
        <stp/>
        <stp>PROB_OF_EXPIRING</stp>
        <stp>.RSX201120P22</stp>
        <tr r="T514" s="1"/>
      </tp>
      <tp t="s">
        <v>N/A</v>
        <stp/>
        <stp>STRIKE</stp>
        <stp>.EMB201120P114</stp>
        <tr r="W113" s="1"/>
      </tp>
      <tp t="s">
        <v>N/A</v>
        <stp/>
        <stp>STRIKE</stp>
        <stp>.EMB201120C114</stp>
        <tr r="W112" s="1"/>
      </tp>
      <tp t="s">
        <v>N/A</v>
        <stp/>
        <stp>STRIKE</stp>
        <stp>.MUB201120C116</stp>
        <tr r="W436" s="1"/>
      </tp>
      <tp t="s">
        <v>N/A</v>
        <stp/>
        <stp>STRIKE</stp>
        <stp>.MUB201120P116</stp>
        <tr r="W437" s="1"/>
      </tp>
      <tp t="s">
        <v>N/A</v>
        <stp/>
        <stp>PROB_OTM</stp>
        <stp>.RWM201120P29</stp>
        <tr r="U519" s="1"/>
      </tp>
      <tp t="s">
        <v>N/A</v>
        <stp/>
        <stp>PROB_OTM</stp>
        <stp>.EWC201120P29</stp>
        <tr r="U125" s="1"/>
      </tp>
      <tp t="s">
        <v>N/A</v>
        <stp/>
        <stp>PUT_CALL_RATIO</stp>
        <stp>.VTI201120P181</stp>
        <tr r="C741" s="1"/>
      </tp>
      <tp t="s">
        <v>N/A</v>
        <stp/>
        <stp>PUT_CALL_RATIO</stp>
        <stp>.VTI201120C181</stp>
        <tr r="C740" s="1"/>
      </tp>
      <tp t="s">
        <v>N/A</v>
        <stp/>
        <stp>PUT_CALL_RATIO</stp>
        <stp>.VTI201120P182</stp>
        <tr r="C743" s="1"/>
      </tp>
      <tp t="s">
        <v>N/A</v>
        <stp/>
        <stp>PUT_CALL_RATIO</stp>
        <stp>.VTI201120C182</stp>
        <tr r="C742" s="1"/>
      </tp>
      <tp t="s">
        <v>N/A</v>
        <stp/>
        <stp>PUT_CALL_RATIO</stp>
        <stp>.VTI201120P183</stp>
        <tr r="C745" s="1"/>
      </tp>
      <tp t="s">
        <v>N/A</v>
        <stp/>
        <stp>PUT_CALL_RATIO</stp>
        <stp>.VTI201120C183</stp>
        <tr r="C744" s="1"/>
      </tp>
      <tp t="s">
        <v>N/A</v>
        <stp/>
        <stp>PUT_CALL_RATIO</stp>
        <stp>.VTI201120P184</stp>
        <tr r="C747" s="1"/>
      </tp>
      <tp t="s">
        <v>N/A</v>
        <stp/>
        <stp>PUT_CALL_RATIO</stp>
        <stp>.VTI201120C184</stp>
        <tr r="C746" s="1"/>
      </tp>
      <tp t="s">
        <v>N/A</v>
        <stp/>
        <stp>PROB_OTM</stp>
        <stp>.EWA201120P22</stp>
        <tr r="U122" s="1"/>
      </tp>
      <tp t="s">
        <v>N/A</v>
        <stp/>
        <stp>PROB_OTM</stp>
        <stp>.EWG201120P30</stp>
        <tr r="U128" s="1"/>
      </tp>
      <tp t="s">
        <v>N/A</v>
        <stp/>
        <stp>INTRINSIC</stp>
        <stp>.ITOT201120P81</stp>
        <tr r="R301" s="1"/>
      </tp>
      <tp t="s">
        <v>N/A</v>
        <stp/>
        <stp>INTRINSIC</stp>
        <stp>.ITOT201120P80</stp>
        <tr r="R299" s="1"/>
      </tp>
      <tp t="s">
        <v>N/A</v>
        <stp/>
        <stp>PROB_OF_TOUCHING</stp>
        <stp>.IJR201120C80</stp>
        <tr r="V275" s="1"/>
      </tp>
      <tp t="s">
        <v>N/A</v>
        <stp/>
        <stp>PROB_OF_TOUCHING</stp>
        <stp>.IYR201120P84</stp>
        <tr r="V368" s="1"/>
      </tp>
      <tp t="s">
        <v>N/A</v>
        <stp/>
        <stp>PROB_OF_TOUCHING</stp>
        <stp>.IYR201120P85</stp>
        <tr r="V372" s="1"/>
      </tp>
      <tp t="s">
        <v>N/A</v>
        <stp/>
        <stp>STRIKE</stp>
        <stp>.DIA201120P297</stp>
        <tr r="W78" s="1"/>
      </tp>
      <tp t="s">
        <v>N/A</v>
        <stp/>
        <stp>STRIKE</stp>
        <stp>.DIA201120C297</stp>
        <tr r="W77" s="1"/>
      </tp>
      <tp t="s">
        <v>N/A</v>
        <stp/>
        <stp>STRIKE</stp>
        <stp>.DIA201120P296</stp>
        <tr r="W76" s="1"/>
      </tp>
      <tp t="s">
        <v>N/A</v>
        <stp/>
        <stp>STRIKE</stp>
        <stp>.DIA201120C296</stp>
        <tr r="W75" s="1"/>
      </tp>
      <tp t="s">
        <v>N/A</v>
        <stp/>
        <stp>STRIKE</stp>
        <stp>.DIA201120P295</stp>
        <tr r="W74" s="1"/>
      </tp>
      <tp t="s">
        <v>N/A</v>
        <stp/>
        <stp>STRIKE</stp>
        <stp>.DIA201120C295</stp>
        <tr r="W73" s="1"/>
      </tp>
      <tp t="s">
        <v>N/A</v>
        <stp/>
        <stp>STRIKE</stp>
        <stp>.DIA201120P294</stp>
        <tr r="W72" s="1"/>
      </tp>
      <tp t="s">
        <v>N/A</v>
        <stp/>
        <stp>STRIKE</stp>
        <stp>.DIA201120C294</stp>
        <tr r="W71" s="1"/>
      </tp>
      <tp t="s">
        <v>N/A</v>
        <stp/>
        <stp>STRIKE</stp>
        <stp>.DIA201120P293</stp>
        <tr r="W70" s="1"/>
      </tp>
      <tp t="s">
        <v>N/A</v>
        <stp/>
        <stp>STRIKE</stp>
        <stp>.DIA201120C293</stp>
        <tr r="W69" s="1"/>
      </tp>
      <tp t="s">
        <v>N/A</v>
        <stp/>
        <stp>STRIKE</stp>
        <stp>.DIA201120P292</stp>
        <tr r="W66" s="1"/>
      </tp>
      <tp t="s">
        <v>N/A</v>
        <stp/>
        <stp>STRIKE</stp>
        <stp>.DIA201120C292</stp>
        <tr r="W65" s="1"/>
      </tp>
      <tp t="s">
        <v>N/A</v>
        <stp/>
        <stp>STRIKE</stp>
        <stp>.DIA201120P291</stp>
        <tr r="W64" s="1"/>
      </tp>
      <tp t="s">
        <v>N/A</v>
        <stp/>
        <stp>STRIKE</stp>
        <stp>.DIA201120C291</stp>
        <tr r="W63" s="1"/>
      </tp>
      <tp>
        <v>0</v>
        <stp/>
        <stp>VOLUME</stp>
        <stp>.QUAL201120P110</stp>
        <tr r="F500" s="1"/>
      </tp>
      <tp t="s">
        <v>N/A</v>
        <stp/>
        <stp>VOLUME</stp>
        <stp>.QUAL201120C110</stp>
        <tr r="F499" s="1"/>
      </tp>
      <tp>
        <v>0</v>
        <stp/>
        <stp>VOLUME</stp>
        <stp>.QUAL201120P111</stp>
        <tr r="F502" s="1"/>
      </tp>
      <tp>
        <v>0</v>
        <stp/>
        <stp>VOLUME</stp>
        <stp>.QUAL201120C111</stp>
        <tr r="F501" s="1"/>
      </tp>
      <tp t="s">
        <v>N/A</v>
        <stp/>
        <stp>VOLUME</stp>
        <stp>.QUAL201120P112</stp>
        <tr r="F504" s="1"/>
      </tp>
      <tp t="s">
        <v>N/A</v>
        <stp/>
        <stp>VOLUME</stp>
        <stp>.QUAL201120C112</stp>
        <tr r="F503" s="1"/>
      </tp>
      <tp t="s">
        <v>N/A</v>
        <stp/>
        <stp>INTRINSIC</stp>
        <stp>.XOP201120P47.5</stp>
        <tr r="R893" s="1"/>
      </tp>
      <tp t="s">
        <v>N/A</v>
        <stp/>
        <stp>EXTRINSIC</stp>
        <stp>.XOP201120P47.5</stp>
        <tr r="S893" s="1"/>
      </tp>
      <tp t="s">
        <v>N/A</v>
        <stp/>
        <stp>INTRINSIC</stp>
        <stp>.XOP201120C47.5</stp>
        <tr r="R892" s="1"/>
      </tp>
      <tp t="s">
        <v>N/A</v>
        <stp/>
        <stp>PROB_OF_EXPIRING</stp>
        <stp>.SCHP201120C61</stp>
        <tr r="T532" s="1"/>
      </tp>
      <tp t="s">
        <v>N/A</v>
        <stp/>
        <stp>EXTRINSIC</stp>
        <stp>.XOP201120C47.5</stp>
        <tr r="S892" s="1"/>
      </tp>
      <tp t="s">
        <v>N/A</v>
        <stp/>
        <stp>PROB_OTM</stp>
        <stp>.HYLB201120P49</stp>
        <tr r="U227" s="1"/>
      </tp>
      <tp t="s">
        <v>N/A</v>
        <stp/>
        <stp>IMPL_VOL</stp>
        <stp>.IEFA201120C66</stp>
        <tr r="D254" s="1"/>
      </tp>
      <tp t="s">
        <v>N/A</v>
        <stp/>
        <stp>IMPL_VOL</stp>
        <stp>.IEFA201120C65</stp>
        <tr r="D252" s="1"/>
      </tp>
      <tp>
        <v>7.95</v>
        <stp/>
        <stp>ASK</stp>
        <stp>.DIA201120P297.5</stp>
        <tr r="I80" s="1"/>
      </tp>
      <tp t="s">
        <v>N/A</v>
        <stp/>
        <stp>PROB_OTM</stp>
        <stp>.EMLC201120P32</stp>
        <tr r="U116" s="1"/>
      </tp>
      <tp t="s">
        <v>N/A</v>
        <stp/>
        <stp>PROB_OF_EXPIRING</stp>
        <stp>.ASHR201120C38</stp>
        <tr r="T46" s="1"/>
      </tp>
      <tp t="s">
        <v>N/A</v>
        <stp/>
        <stp>RHO</stp>
        <stp>.XLK201120P120.5</stp>
        <tr r="Q830" s="1"/>
      </tp>
      <tp t="s">
        <v>N/A</v>
        <stp/>
        <stp>RHO</stp>
        <stp>.XLV201120P110.5</stp>
        <tr r="Q860" s="1"/>
      </tp>
      <tp t="s">
        <v>N/A</v>
        <stp/>
        <stp>PROB_OTM</stp>
        <stp>.SPLG201120P42</stp>
        <tr r="U586" s="1"/>
      </tp>
      <tp t="s">
        <v>N/A</v>
        <stp/>
        <stp>PROB_OTM</stp>
        <stp>.BKLN201120P22</stp>
        <tr r="U50" s="1"/>
      </tp>
      <tp t="s">
        <v>N/A</v>
        <stp/>
        <stp>PROB_OTM</stp>
        <stp>.ICLN201120P22</stp>
        <tr r="U247" s="1"/>
      </tp>
      <tp t="s">
        <v>N/A</v>
        <stp/>
        <stp>DESCRIPTION</stp>
        <stp>.QQQ201120C292.5</stp>
        <tr r="B492" s="1"/>
      </tp>
      <tp>
        <v>25</v>
        <stp/>
        <stp>OPEN_INT</stp>
        <stp>.GUSH201120P27</stp>
        <tr r="G217" s="1"/>
      </tp>
      <tp>
        <v>149</v>
        <stp/>
        <stp>OPEN_INT</stp>
        <stp>.GUSH201120P26</stp>
        <tr r="G215" s="1"/>
      </tp>
      <tp>
        <v>25</v>
        <stp/>
        <stp>OPEN_INT</stp>
        <stp>.GUSH201120P28</stp>
        <tr r="G219" s="1"/>
      </tp>
      <tp t="s">
        <v>N/A</v>
        <stp/>
        <stp>IMPL_VOL</stp>
        <stp>.EUFN201120C16</stp>
        <tr r="D118" s="1"/>
      </tp>
      <tp>
        <v>2.39</v>
        <stp/>
        <stp>BID</stp>
        <stp>.XLK201120P121.5</stp>
        <tr r="H834" s="1"/>
      </tp>
      <tp>
        <v>1.3</v>
        <stp/>
        <stp>BID</stp>
        <stp>.XLV201120P111.5</stp>
        <tr r="H864" s="1"/>
      </tp>
      <tp t="s">
        <v>N/A</v>
        <stp/>
        <stp>BID</stp>
        <stp>.XLY201120P151.5</stp>
        <tr r="H869" s="1"/>
      </tp>
      <tp t="s">
        <v>N/A</v>
        <stp/>
        <stp>EXTRINSIC</stp>
        <stp>.KRE201120C47.5</stp>
        <tr r="S395" s="1"/>
      </tp>
      <tp t="s">
        <v>N/A</v>
        <stp/>
        <stp>INTRINSIC</stp>
        <stp>.KRE201120C47.5</stp>
        <tr r="R395" s="1"/>
      </tp>
      <tp t="s">
        <v>N/A</v>
        <stp/>
        <stp>EXTRINSIC</stp>
        <stp>.KRE201120P47.5</stp>
        <tr r="S396" s="1"/>
      </tp>
      <tp t="s">
        <v>N/A</v>
        <stp/>
        <stp>PROB_OF_EXPIRING</stp>
        <stp>.SCHF201120C34</stp>
        <tr r="T529" s="1"/>
      </tp>
      <tp t="s">
        <v>N/A</v>
        <stp/>
        <stp>INTRINSIC</stp>
        <stp>.KRE201120P47.5</stp>
        <tr r="R396" s="1"/>
      </tp>
      <tp t="s">
        <v>N/A</v>
        <stp/>
        <stp>PROB_OF_EXPIRING</stp>
        <stp>.SCHE201120C29</stp>
        <tr r="T526" s="1"/>
      </tp>
      <tp t="s">
        <v>N/A</v>
        <stp/>
        <stp>PROB_OF_EXPIRING</stp>
        <stp>.SPHD201120C36</stp>
        <tr r="T582" s="1"/>
      </tp>
      <tp t="s">
        <v>N/A</v>
        <stp/>
        <stp>PROB_OF_EXPIRING</stp>
        <stp>.MCHI201120C80</stp>
        <tr r="T412" s="1"/>
      </tp>
      <tp t="s">
        <v>N/A</v>
        <stp/>
        <stp>IMPL_VOL</stp>
        <stp>.VXUS201120P56</stp>
        <tr r="D755" s="1"/>
      </tp>
      <tp t="s">
        <v>N/A</v>
        <stp/>
        <stp>IMPL_VOL</stp>
        <stp>.VXUS201120P57</stp>
        <tr r="D757" s="1"/>
      </tp>
      <tp t="s">
        <v>N/A</v>
        <stp/>
        <stp>IMPL_VOL</stp>
        <stp>.IXUS201120P63</stp>
        <tr r="D362" s="1"/>
      </tp>
      <tp t="s">
        <v>N/A</v>
        <stp/>
        <stp>PROB_OTM</stp>
        <stp>.SPLV201120P55</stp>
        <tr r="U589" s="1"/>
      </tp>
      <tp t="s">
        <v>N/A</v>
        <stp/>
        <stp>PROB_OF_EXPIRING</stp>
        <stp>.SCHD201120C61</stp>
        <tr r="T521" s="1"/>
      </tp>
      <tp t="s">
        <v>N/A</v>
        <stp/>
        <stp>PROB_OF_EXPIRING</stp>
        <stp>.SCHD201120C62</stp>
        <tr r="T523" s="1"/>
      </tp>
      <tp t="s">
        <v>N/A</v>
        <stp/>
        <stp>RHO</stp>
        <stp>.XLK201120C120.5</stp>
        <tr r="Q829" s="1"/>
      </tp>
      <tp t="s">
        <v>N/A</v>
        <stp/>
        <stp>RHO</stp>
        <stp>.XLV201120C110.5</stp>
        <tr r="Q859" s="1"/>
      </tp>
      <tp t="s">
        <v>N/A</v>
        <stp/>
        <stp>PROB_OTM</stp>
        <stp>.AMLP201120P23</stp>
        <tr r="U20" s="1"/>
      </tp>
      <tp t="s">
        <v>N/A</v>
        <stp/>
        <stp>PROB_OTM</stp>
        <stp>.AMLP201120P24</stp>
        <tr r="U24" s="1"/>
      </tp>
      <tp>
        <v>1.36</v>
        <stp/>
        <stp>ASK</stp>
        <stp>.DIA201120C297.5</stp>
        <tr r="I79" s="1"/>
      </tp>
      <tp t="s">
        <v>N/A</v>
        <stp/>
        <stp>DESCRIPTION</stp>
        <stp>.QQQ201120P292.5</stp>
        <tr r="B493" s="1"/>
      </tp>
      <tp t="s">
        <v>N/A</v>
        <stp/>
        <stp>INTRINSIC</stp>
        <stp>.FXI201120C47.5</stp>
        <tr r="R191" s="1"/>
      </tp>
      <tp t="s">
        <v>N/A</v>
        <stp/>
        <stp>EXTRINSIC</stp>
        <stp>.FXI201120C47.5</stp>
        <tr r="S191" s="1"/>
      </tp>
      <tp t="s">
        <v>N/A</v>
        <stp/>
        <stp>INTRINSIC</stp>
        <stp>.FXI201120P47.5</stp>
        <tr r="R192" s="1"/>
      </tp>
      <tp t="s">
        <v>N/A</v>
        <stp/>
        <stp>EXTRINSIC</stp>
        <stp>.FXI201120P47.5</stp>
        <tr r="S192" s="1"/>
      </tp>
      <tp t="s">
        <v>N/A</v>
        <stp/>
        <stp>EXTRINSIC</stp>
        <stp>.GDX201120P37.5</stp>
        <tr r="S201" s="1"/>
      </tp>
      <tp t="s">
        <v>N/A</v>
        <stp/>
        <stp>INTRINSIC</stp>
        <stp>.GDX201120P37.5</stp>
        <tr r="R201" s="1"/>
      </tp>
      <tp t="s">
        <v>N/A</v>
        <stp/>
        <stp>EXTRINSIC</stp>
        <stp>.GDX201120C37.5</stp>
        <tr r="S200" s="1"/>
      </tp>
      <tp t="s">
        <v>N/A</v>
        <stp/>
        <stp>INTRINSIC</stp>
        <stp>.GDX201120C37.5</stp>
        <tr r="R200" s="1"/>
      </tp>
      <tp>
        <v>1.37</v>
        <stp/>
        <stp>BID</stp>
        <stp>.XLK201120C121.5</stp>
        <tr r="H833" s="1"/>
      </tp>
      <tp>
        <v>0.56999999999999995</v>
        <stp/>
        <stp>BID</stp>
        <stp>.XLV201120C111.5</stp>
        <tr r="H863" s="1"/>
      </tp>
      <tp>
        <v>1.7</v>
        <stp/>
        <stp>BID</stp>
        <stp>.XLY201120C151.5</stp>
        <tr r="H868" s="1"/>
      </tp>
      <tp t="s">
        <v>N/A</v>
        <stp/>
        <stp>EXTRINSIC</stp>
        <stp>.EEM201120P47.5</stp>
        <tr r="S96" s="1"/>
      </tp>
      <tp t="s">
        <v>N/A</v>
        <stp/>
        <stp>INTRINSIC</stp>
        <stp>.EEM201120P47.5</stp>
        <tr r="R96" s="1"/>
      </tp>
      <tp t="s">
        <v>N/A</v>
        <stp/>
        <stp>EXTRINSIC</stp>
        <stp>.EEM201120C47.5</stp>
        <tr r="S95" s="1"/>
      </tp>
      <tp t="s">
        <v>N/A</v>
        <stp/>
        <stp>INTRINSIC</stp>
        <stp>.EEM201120C47.5</stp>
        <tr r="R95" s="1"/>
      </tp>
      <tp t="s">
        <v>N/A</v>
        <stp/>
        <stp>THETA</stp>
        <stp>.EWP201120P26</stp>
        <tr r="O147" s="1"/>
      </tp>
      <tp t="s">
        <v>N/A</v>
        <stp/>
        <stp>THETA</stp>
        <stp>.SDS201120C14</stp>
        <tr r="O540" s="1"/>
      </tp>
      <tp t="s">
        <v>N/A</v>
        <stp/>
        <stp>GAMMA</stp>
        <stp>.GDX201120P37</stp>
        <tr r="N199" s="1"/>
      </tp>
      <tp>
        <v>80.58</v>
        <stp/>
        <stp>OPEN</stp>
        <stp>ITOT</stp>
        <tr r="L297" s="1"/>
      </tp>
      <tp t="s">
        <v>N/A</v>
        <stp/>
        <stp>GAMMA</stp>
        <stp>.EWZ201120C32</stp>
        <tr r="N175" s="1"/>
      </tp>
      <tp t="s">
        <v>N/A</v>
        <stp/>
        <stp>THETA</stp>
        <stp>.EWT201120P48</stp>
        <tr r="O150" s="1"/>
      </tp>
      <tp t="s">
        <v>N/A</v>
        <stp/>
        <stp>GAMMA</stp>
        <stp>.EWY201120C72</stp>
        <tr r="N164" s="1"/>
      </tp>
      <tp t="s">
        <v>N/A</v>
        <stp/>
        <stp>GAMMA</stp>
        <stp>.EWY201120C73</stp>
        <tr r="N168" s="1"/>
      </tp>
      <tp t="s">
        <v>N/A</v>
        <stp/>
        <stp>THETA</stp>
        <stp>.EWW201120P39</stp>
        <tr r="O158" s="1"/>
      </tp>
      <tp t="s">
        <v>N/A</v>
        <stp/>
        <stp>DELTA</stp>
        <stp>.PGX201120P15</stp>
        <tr r="M456" s="1"/>
      </tp>
      <tp t="s">
        <v>N/A</v>
        <stp/>
        <stp>GAMMA</stp>
        <stp>.DIA201120C292.5</stp>
        <tr r="N67" s="1"/>
      </tp>
      <tp t="s">
        <v>N/A</v>
        <stp/>
        <stp>THETA</stp>
        <stp>.GDX201120C37</stp>
        <tr r="O198" s="1"/>
      </tp>
      <tp t="s">
        <v>N/A</v>
        <stp/>
        <stp>GAMMA</stp>
        <stp>.EWP201120C26</stp>
        <tr r="N146" s="1"/>
      </tp>
      <tp t="s">
        <v>N/A</v>
        <stp/>
        <stp>GAMMA</stp>
        <stp>.SDS201120P14</stp>
        <tr r="N541" s="1"/>
      </tp>
      <tp t="s">
        <v>N/A</v>
        <stp/>
        <stp>THETA</stp>
        <stp>.EWZ201120P32</stp>
        <tr r="O176" s="1"/>
      </tp>
      <tp t="s">
        <v>N/A</v>
        <stp/>
        <stp>GAMMA</stp>
        <stp>.EWT201120C48</stp>
        <tr r="N149" s="1"/>
      </tp>
      <tp t="s">
        <v>N/A</v>
        <stp/>
        <stp>THETA</stp>
        <stp>.EWY201120P72</stp>
        <tr r="O165" s="1"/>
      </tp>
      <tp t="s">
        <v>N/A</v>
        <stp/>
        <stp>THETA</stp>
        <stp>.EWY201120P73</stp>
        <tr r="O169" s="1"/>
      </tp>
      <tp t="s">
        <v>N/A</v>
        <stp/>
        <stp>GAMMA</stp>
        <stp>.EWW201120C39</stp>
        <tr r="N157" s="1"/>
      </tp>
      <tp t="s">
        <v>N/A</v>
        <stp/>
        <stp>THETA</stp>
        <stp>.EWA201120P22</stp>
        <tr r="O122" s="1"/>
      </tp>
      <tp t="s">
        <v>N/A</v>
        <stp/>
        <stp>DELTA</stp>
        <stp>.VGK201120P57</stp>
        <tr r="M723" s="1"/>
      </tp>
      <tp t="s">
        <v>N/A</v>
        <stp/>
        <stp>GAMMA</stp>
        <stp>.EWH201120C24</stp>
        <tr r="N130" s="1"/>
      </tp>
      <tp t="s">
        <v>N/A</v>
        <stp/>
        <stp>GAMMA</stp>
        <stp>.EWI201120C27</stp>
        <tr r="N133" s="1"/>
      </tp>
      <tp t="s">
        <v>N/A</v>
        <stp/>
        <stp>GAMMA</stp>
        <stp>.VWO201120C47</stp>
        <tr r="N751" s="1"/>
      </tp>
      <tp t="s">
        <v>N/A</v>
        <stp/>
        <stp>INTRINSIC</stp>
        <stp>.MJ201120P13</stp>
        <tr r="R425" s="1"/>
      </tp>
      <tp t="s">
        <v>N/A</v>
        <stp/>
        <stp>GAMMA</stp>
        <stp>.EWL201120C43</stp>
        <tr r="N143" s="1"/>
      </tp>
      <tp t="s">
        <v>N/A</v>
        <stp/>
        <stp>THETA</stp>
        <stp>.EWC201120P29</stp>
        <tr r="O125" s="1"/>
      </tp>
      <tp>
        <v>0</v>
        <stp/>
        <stp>THETA</stp>
        <stp>TBF</stp>
        <tr r="O680" s="1"/>
      </tp>
      <tp>
        <v>0</v>
        <stp/>
        <stp>THETA</stp>
        <stp>TBT</stp>
        <tr r="O683" s="1"/>
      </tp>
      <tp t="s">
        <v>N/A</v>
        <stp/>
        <stp>GAMMA</stp>
        <stp>.RWM201120C29</stp>
        <tr r="N518" s="1"/>
      </tp>
      <tp>
        <v>0</v>
        <stp/>
        <stp>THETA</stp>
        <stp>TAN</stp>
        <tr r="O659" s="1"/>
      </tp>
      <tp t="s">
        <v>N/A</v>
        <stp/>
        <stp>GAMMA</stp>
        <stp>.EWJ201120C63</stp>
        <tr r="N136" s="1"/>
      </tp>
      <tp t="s">
        <v>N/A</v>
        <stp/>
        <stp>GAMMA</stp>
        <stp>.EWJ201120C64</stp>
        <tr r="N140" s="1"/>
      </tp>
      <tp t="s">
        <v>N/A</v>
        <stp/>
        <stp>THETA</stp>
        <stp>.EWG201120P30</stp>
        <tr r="O128" s="1"/>
      </tp>
      <tp t="s">
        <v>N/A</v>
        <stp/>
        <stp>THETA</stp>
        <stp>.VWO201120P47</stp>
        <tr r="O752" s="1"/>
      </tp>
      <tp t="s">
        <v>N/A</v>
        <stp/>
        <stp>THETA</stp>
        <stp>.EWI201120P27</stp>
        <tr r="O134" s="1"/>
      </tp>
      <tp>
        <v>150.62</v>
        <stp/>
        <stp>OPEN</stp>
        <stp>MTUM</stp>
        <tr r="L426" s="1"/>
      </tp>
      <tp t="s">
        <v>N/A</v>
        <stp/>
        <stp>THETA</stp>
        <stp>.EWH201120P24</stp>
        <tr r="O131" s="1"/>
      </tp>
      <tp t="s">
        <v>N/A</v>
        <stp/>
        <stp>GAMMA</stp>
        <stp>.EWA201120C22</stp>
        <tr r="N121" s="1"/>
      </tp>
      <tp t="s">
        <v>N/A</v>
        <stp/>
        <stp>DELTA</stp>
        <stp>.ITB201120C56</stp>
        <tr r="M295" s="1"/>
      </tp>
      <tp t="s">
        <v>N/A</v>
        <stp/>
        <stp>DELTA</stp>
        <stp>.ITB201120C55</stp>
        <tr r="M291" s="1"/>
      </tp>
      <tp t="s">
        <v>N/A</v>
        <stp/>
        <stp>GAMMA</stp>
        <stp>.DIA201120P292.5</stp>
        <tr r="N68" s="1"/>
      </tp>
      <tp>
        <v>0</v>
        <stp/>
        <stp>THETA</stp>
        <stp>TLT</stp>
        <tr r="O689" s="1"/>
      </tp>
      <tp t="s">
        <v>N/A</v>
        <stp/>
        <stp>THETA</stp>
        <stp>.EWL201120P43</stp>
        <tr r="O144" s="1"/>
      </tp>
      <tp t="s">
        <v>N/A</v>
        <stp/>
        <stp>GAMMA</stp>
        <stp>.EWC201120C29</stp>
        <tr r="N124" s="1"/>
      </tp>
      <tp t="s">
        <v>N/A</v>
        <stp/>
        <stp>THETA</stp>
        <stp>.RWM201120P29</stp>
        <tr r="O519" s="1"/>
      </tp>
      <tp t="s">
        <v>N/A</v>
        <stp/>
        <stp>EXTRINSIC</stp>
        <stp>.MJ201120P13</stp>
        <tr r="S425" s="1"/>
      </tp>
      <tp>
        <v>0</v>
        <stp/>
        <stp>THETA</stp>
        <stp>TIP</stp>
        <tr r="O686" s="1"/>
      </tp>
      <tp t="s">
        <v>N/A</v>
        <stp/>
        <stp>GAMMA</stp>
        <stp>.EWG201120C30</stp>
        <tr r="N127" s="1"/>
      </tp>
      <tp t="s">
        <v>N/A</v>
        <stp/>
        <stp>THETA</stp>
        <stp>.EWJ201120P63</stp>
        <tr r="O137" s="1"/>
      </tp>
      <tp t="s">
        <v>N/A</v>
        <stp/>
        <stp>THETA</stp>
        <stp>.EWJ201120P64</stp>
        <tr r="O141" s="1"/>
      </tp>
      <tp t="s">
        <v>N/A</v>
        <stp/>
        <stp>RHO</stp>
        <stp>.XLRE201120P37</stp>
        <tr r="Q848" s="1"/>
      </tp>
      <tp t="s">
        <v>N/A</v>
        <stp/>
        <stp>VOLUME</stp>
        <stp>.EWL201120C43</stp>
        <tr r="F143" s="1"/>
      </tp>
      <tp t="s">
        <v>N/A</v>
        <stp/>
        <stp>STRIKE</stp>
        <stp>.XLP201120C67</stp>
        <tr r="W844" s="1"/>
      </tp>
      <tp>
        <v>0</v>
        <stp/>
        <stp>VOLUME</stp>
        <stp>.EWI201120C27</stp>
        <tr r="F133" s="1"/>
      </tp>
      <tp t="s">
        <v>N/A</v>
        <stp/>
        <stp>VOLUME</stp>
        <stp>.VWO201120C47</stp>
        <tr r="F751" s="1"/>
      </tp>
      <tp t="s">
        <v>N/A</v>
        <stp/>
        <stp>VOLUME</stp>
        <stp>.EWH201120C24</stp>
        <tr r="F130" s="1"/>
      </tp>
      <tp t="s">
        <v>N/A</v>
        <stp/>
        <stp>ASK</stp>
        <stp>.QUAL201120P112</stp>
        <tr r="I504" s="1"/>
      </tp>
      <tp t="s">
        <v>N/A</v>
        <stp/>
        <stp>ASK</stp>
        <stp>.QUAL201120C112</stp>
        <tr r="I503" s="1"/>
      </tp>
      <tp>
        <v>4.9000000000000004</v>
        <stp/>
        <stp>ASK</stp>
        <stp>.QUAL201120P111</stp>
        <tr r="I502" s="1"/>
      </tp>
      <tp>
        <v>4.9000000000000004</v>
        <stp/>
        <stp>ASK</stp>
        <stp>.QUAL201120C111</stp>
        <tr r="I501" s="1"/>
      </tp>
      <tp>
        <v>2.5</v>
        <stp/>
        <stp>ASK</stp>
        <stp>.QUAL201120P110</stp>
        <tr r="I500" s="1"/>
      </tp>
      <tp t="s">
        <v>N/A</v>
        <stp/>
        <stp>ASK</stp>
        <stp>.QUAL201120C110</stp>
        <tr r="I499" s="1"/>
      </tp>
      <tp t="s">
        <v>N/A</v>
        <stp/>
        <stp>STRIKE</stp>
        <stp>.XLU201120C67</stp>
        <tr r="W854" s="1"/>
      </tp>
      <tp t="s">
        <v>N/A</v>
        <stp/>
        <stp>STRIKE</stp>
        <stp>.XLU201120C66</stp>
        <tr r="W850" s="1"/>
      </tp>
      <tp>
        <v>127</v>
        <stp/>
        <stp>VOLUME</stp>
        <stp>.EWJ201120C63</stp>
        <tr r="F136" s="1"/>
      </tp>
      <tp>
        <v>23</v>
        <stp/>
        <stp>VOLUME</stp>
        <stp>.EWJ201120C64</stp>
        <tr r="F140" s="1"/>
      </tp>
      <tp t="s">
        <v>N/A</v>
        <stp/>
        <stp>PUT_CALL_RATIO</stp>
        <stp>.PGX201120P15</stp>
        <tr r="C456" s="1"/>
      </tp>
      <tp>
        <v>2</v>
        <stp/>
        <stp>VOLUME</stp>
        <stp>.RWM201120C29</stp>
        <tr r="F518" s="1"/>
      </tp>
      <tp t="s">
        <v>N/A</v>
        <stp/>
        <stp>VOLUME</stp>
        <stp>.EWC201120C29</stp>
        <tr r="F124" s="1"/>
      </tp>
      <tp t="s">
        <v>N/A</v>
        <stp/>
        <stp>DESCRIPTION</stp>
        <stp>.IEMG201120P58</stp>
        <tr r="B260" s="1"/>
      </tp>
      <tp t="s">
        <v>N/A</v>
        <stp/>
        <stp>DESCRIPTION</stp>
        <stp>.IEMG201120P57</stp>
        <tr r="B258" s="1"/>
      </tp>
      <tp t="s">
        <v>N/A</v>
        <stp/>
        <stp>VOLUME</stp>
        <stp>.EWA201120C22</stp>
        <tr r="F121" s="1"/>
      </tp>
      <tp t="s">
        <v>N/A</v>
        <stp/>
        <stp>RHO</stp>
        <stp>.DGRO201120P43</stp>
        <tr r="Q61" s="1"/>
      </tp>
      <tp t="s">
        <v>N/A</v>
        <stp/>
        <stp>VOLUME</stp>
        <stp>.EWG201120C30</stp>
        <tr r="F127" s="1"/>
      </tp>
      <tp>
        <v>0</v>
        <stp/>
        <stp>BID</stp>
        <stp>.XLRE201120P37</stp>
        <tr r="H848" s="1"/>
      </tp>
      <tp>
        <v>141</v>
        <stp/>
        <stp>VOLUME</stp>
        <stp>.EWZ201120C32</stp>
        <tr r="F175" s="1"/>
      </tp>
      <tp t="s">
        <v>N/A</v>
        <stp/>
        <stp>STRIKE</stp>
        <stp>.XLE201120C34</stp>
        <tr r="W806" s="1"/>
      </tp>
      <tp>
        <v>1996</v>
        <stp/>
        <stp>VOLUME</stp>
        <stp>.GDX201120P37</stp>
        <tr r="F199" s="1"/>
      </tp>
      <tp t="s">
        <v>N/A</v>
        <stp/>
        <stp>STRIKE</stp>
        <stp>.XLC201120C64</stp>
        <tr r="W801" s="1"/>
      </tp>
      <tp t="s">
        <v>N/A</v>
        <stp/>
        <stp>STRIKE</stp>
        <stp>.XLC201120C63</stp>
        <tr r="W797" s="1"/>
      </tp>
      <tp t="s">
        <v>N/A</v>
        <stp/>
        <stp>PUT_CALL_RATIO</stp>
        <stp>.VGK201120P57</stp>
        <tr r="C723" s="1"/>
      </tp>
      <tp t="s">
        <v>N/A</v>
        <stp/>
        <stp>STRIKE</stp>
        <stp>.XLB201120C70</stp>
        <tr r="W794" s="1"/>
      </tp>
      <tp>
        <v>2.7</v>
        <stp/>
        <stp>ASK</stp>
        <stp>.XLRE201120P37</stp>
        <tr r="I848" s="1"/>
      </tp>
      <tp>
        <v>0.7</v>
        <stp/>
        <stp>LOW</stp>
        <stp>.DGRO201120P43</stp>
        <tr r="K61" s="1"/>
      </tp>
      <tp t="s">
        <v>N/A</v>
        <stp/>
        <stp>STRIKE</stp>
        <stp>.XLF201120C27</stp>
        <tr r="W811" s="1"/>
      </tp>
      <tp t="s">
        <v>N/A</v>
        <stp/>
        <stp>STRIKE</stp>
        <stp>.ILF201120C25</stp>
        <tr r="W278" s="1"/>
      </tp>
      <tp t="s">
        <v>N/A</v>
        <stp/>
        <stp>STRIKE</stp>
        <stp>.XLB201120C69</stp>
        <tr r="W790" s="1"/>
      </tp>
      <tp t="s">
        <v>N/A</v>
        <stp/>
        <stp>STRIKE</stp>
        <stp>.XLI201120C86</stp>
        <tr r="W822" s="1"/>
      </tp>
      <tp t="s">
        <v>N/A</v>
        <stp/>
        <stp>STRIKE</stp>
        <stp>.XLI201120C85</stp>
        <tr r="W818" s="1"/>
      </tp>
      <tp t="s">
        <v>N/A</v>
        <stp/>
        <stp>STRIKE</stp>
        <stp>.XLI201120C84</stp>
        <tr r="W814" s="1"/>
      </tp>
      <tp t="s">
        <v>N/A</v>
        <stp/>
        <stp>VOLUME</stp>
        <stp>.EWY201120C73</stp>
        <tr r="F168" s="1"/>
      </tp>
      <tp t="s">
        <v>N/A</v>
        <stp/>
        <stp>VOLUME</stp>
        <stp>.EWY201120C72</stp>
        <tr r="F164" s="1"/>
      </tp>
      <tp t="s">
        <v>N/A</v>
        <stp/>
        <stp>VOLUME</stp>
        <stp>.EWT201120C48</stp>
        <tr r="F149" s="1"/>
      </tp>
      <tp t="s">
        <v>N/A</v>
        <stp/>
        <stp>STRIKE</stp>
        <stp>.QLD201120C97</stp>
        <tr r="W465" s="1"/>
      </tp>
      <tp t="s">
        <v>N/A</v>
        <stp/>
        <stp>STRIKE</stp>
        <stp>.QLD201120C96</stp>
        <tr r="W463" s="1"/>
      </tp>
      <tp t="s">
        <v>N/A</v>
        <stp/>
        <stp>STRIKE</stp>
        <stp>.QLD201120C99</stp>
        <tr r="W469" s="1"/>
      </tp>
      <tp t="s">
        <v>N/A</v>
        <stp/>
        <stp>STRIKE</stp>
        <stp>.QLD201120C98</stp>
        <tr r="W467" s="1"/>
      </tp>
      <tp t="s">
        <v>N/A</v>
        <stp/>
        <stp>DESCRIPTION</stp>
        <stp>.USMV201120P67</stp>
        <tr r="B700" s="1"/>
      </tp>
      <tp t="s">
        <v>N/A</v>
        <stp/>
        <stp>VOLUME</stp>
        <stp>.EWP201120C26</stp>
        <tr r="F146" s="1"/>
      </tp>
      <tp t="s">
        <v>N/A</v>
        <stp/>
        <stp>VOLUME</stp>
        <stp>.SDS201120P14</stp>
        <tr r="F541" s="1"/>
      </tp>
      <tp t="s">
        <v>N/A</v>
        <stp/>
        <stp>PUT_CALL_RATIO</stp>
        <stp>.ITB201120C55</stp>
        <tr r="C291" s="1"/>
      </tp>
      <tp t="s">
        <v>N/A</v>
        <stp/>
        <stp>PUT_CALL_RATIO</stp>
        <stp>.ITB201120C56</stp>
        <tr r="C295" s="1"/>
      </tp>
      <tp>
        <v>0.65</v>
        <stp/>
        <stp>BID</stp>
        <stp>.DGRO201120P43</stp>
        <tr r="H61" s="1"/>
      </tp>
      <tp>
        <v>233</v>
        <stp/>
        <stp>VOLUME</stp>
        <stp>.EWW201120C39</stp>
        <tr r="F157" s="1"/>
      </tp>
      <tp>
        <v>1.25</v>
        <stp/>
        <stp>ASK</stp>
        <stp>.DGRO201120P43</stp>
        <tr r="I61" s="1"/>
      </tp>
      <tp>
        <v>0.4</v>
        <stp/>
        <stp>LOW</stp>
        <stp>.XLRE201120P37</stp>
        <tr r="K848" s="1"/>
      </tp>
      <tp>
        <v>77</v>
        <stp/>
        <stp>OPEN_INT</stp>
        <stp>.XME201120P27</stp>
        <tr r="G888" s="1"/>
      </tp>
      <tp t="s">
        <v>N/A</v>
        <stp/>
        <stp>IMPL_VOL</stp>
        <stp>.EWC201120P29</stp>
        <tr r="D125" s="1"/>
      </tp>
      <tp t="s">
        <v>N/A</v>
        <stp/>
        <stp>PROB_OF_TOUCHING</stp>
        <stp>.VEA201120C44</stp>
        <tr r="V708" s="1"/>
      </tp>
      <tp t="s">
        <v>N/A</v>
        <stp/>
        <stp>IMPL_VOL</stp>
        <stp>.EWA201120P22</stp>
        <tr r="D122" s="1"/>
      </tp>
      <tp t="s">
        <v>N/A</v>
        <stp/>
        <stp>PROB_OF_TOUCHING</stp>
        <stp>.FVD201120P35</stp>
        <tr r="V187" s="1"/>
      </tp>
      <tp t="s">
        <v>N/A</v>
        <stp/>
        <stp>EXTRINSIC</stp>
        <stp>.KWEB201120C74</stp>
        <tr r="S402" s="1"/>
      </tp>
      <tp t="s">
        <v>N/A</v>
        <stp/>
        <stp>EXTRINSIC</stp>
        <stp>.KWEB201120C73</stp>
        <tr r="S400" s="1"/>
      </tp>
      <tp t="s">
        <v>N/A</v>
        <stp/>
        <stp>EXTRINSIC</stp>
        <stp>.KWEB201120C72</stp>
        <tr r="S398" s="1"/>
      </tp>
      <tp t="s">
        <v>N/A</v>
        <stp/>
        <stp>IMPL_VOL</stp>
        <stp>.EWG201120P30</stp>
        <tr r="D128" s="1"/>
      </tp>
      <tp t="s">
        <v>N/A</v>
        <stp/>
        <stp>IMPL_VOL</stp>
        <stp>.EWL201120P43</stp>
        <tr r="D144" s="1"/>
      </tp>
      <tp t="s">
        <v>N/A</v>
        <stp/>
        <stp>IMPL_VOL</stp>
        <stp>.VWO201120P47</stp>
        <tr r="D752" s="1"/>
      </tp>
      <tp t="s">
        <v>N/A</v>
        <stp/>
        <stp>IMPL_VOL</stp>
        <stp>.EWI201120P27</stp>
        <tr r="D134" s="1"/>
      </tp>
      <tp t="s">
        <v>N/A</v>
        <stp/>
        <stp>IMPL_VOL</stp>
        <stp>.EWH201120P24</stp>
        <tr r="D131" s="1"/>
      </tp>
      <tp t="s">
        <v>N/A</v>
        <stp/>
        <stp>INTRINSIC</stp>
        <stp>.GUSH201120C27</stp>
        <tr r="R216" s="1"/>
      </tp>
      <tp t="s">
        <v>N/A</v>
        <stp/>
        <stp>INTRINSIC</stp>
        <stp>.GUSH201120C26</stp>
        <tr r="R214" s="1"/>
      </tp>
      <tp t="s">
        <v>N/A</v>
        <stp/>
        <stp>INTRINSIC</stp>
        <stp>.GUSH201120C28</stp>
        <tr r="R218" s="1"/>
      </tp>
      <tp t="s">
        <v>N/A</v>
        <stp/>
        <stp>IMPL_VOL</stp>
        <stp>.EWJ201120P63</stp>
        <tr r="D137" s="1"/>
      </tp>
      <tp t="s">
        <v>N/A</v>
        <stp/>
        <stp>IMPL_VOL</stp>
        <stp>.EWJ201120P64</stp>
        <tr r="D141" s="1"/>
      </tp>
      <tp t="s">
        <v>N/A</v>
        <stp/>
        <stp>PROB_OF_TOUCHING</stp>
        <stp>.EEM201120C48</stp>
        <tr r="V97" s="1"/>
      </tp>
      <tp t="s">
        <v>N/A</v>
        <stp/>
        <stp>IMPL_VOL</stp>
        <stp>.RWM201120P29</stp>
        <tr r="D519" s="1"/>
      </tp>
      <tp t="s">
        <v>N/A</v>
        <stp/>
        <stp>EXTRINSIC</stp>
        <stp>.DFEN201120C13</stp>
        <tr r="S55" s="1"/>
      </tp>
      <tp t="s">
        <v>N/A</v>
        <stp/>
        <stp>EXTRINSIC</stp>
        <stp>.DFEN201120C14</stp>
        <tr r="S57" s="1"/>
      </tp>
      <tp t="s">
        <v>N/A</v>
        <stp/>
        <stp>EXTRINSIC</stp>
        <stp>.SRVR201120P36</stp>
        <tr r="S641" s="1"/>
      </tp>
      <tp t="s">
        <v>N/A</v>
        <stp/>
        <stp>EXTRINSIC</stp>
        <stp>.SRVR201120P35</stp>
        <tr r="S639" s="1"/>
      </tp>
      <tp t="s">
        <v>N/A</v>
        <stp/>
        <stp>STRIKE</stp>
        <stp>.IWM201120C172</stp>
        <tr r="W350" s="1"/>
      </tp>
      <tp t="s">
        <v>N/A</v>
        <stp/>
        <stp>STRIKE</stp>
        <stp>.IWM201120P172</stp>
        <tr r="W351" s="1"/>
      </tp>
      <tp t="s">
        <v>N/A</v>
        <stp/>
        <stp>STRIKE</stp>
        <stp>.IWM201120C173</stp>
        <tr r="W354" s="1"/>
      </tp>
      <tp t="s">
        <v>N/A</v>
        <stp/>
        <stp>STRIKE</stp>
        <stp>.IWM201120P173</stp>
        <tr r="W355" s="1"/>
      </tp>
      <tp t="s">
        <v>N/A</v>
        <stp/>
        <stp>STRIKE</stp>
        <stp>.IWM201120C170</stp>
        <tr r="W346" s="1"/>
      </tp>
      <tp t="s">
        <v>N/A</v>
        <stp/>
        <stp>STRIKE</stp>
        <stp>.IWM201120P170</stp>
        <tr r="W347" s="1"/>
      </tp>
      <tp t="s">
        <v>N/A</v>
        <stp/>
        <stp>STRIKE</stp>
        <stp>.IWM201120C171</stp>
        <tr r="W348" s="1"/>
      </tp>
      <tp t="s">
        <v>N/A</v>
        <stp/>
        <stp>STRIKE</stp>
        <stp>.IWM201120P171</stp>
        <tr r="W349" s="1"/>
      </tp>
      <tp t="s">
        <v>N/A</v>
        <stp/>
        <stp>STRIKE</stp>
        <stp>.IWM201120C174</stp>
        <tr r="W356" s="1"/>
      </tp>
      <tp t="s">
        <v>N/A</v>
        <stp/>
        <stp>STRIKE</stp>
        <stp>.IWM201120P174</stp>
        <tr r="W357" s="1"/>
      </tp>
      <tp t="s">
        <v>N/A</v>
        <stp/>
        <stp>STRIKE</stp>
        <stp>.IWM201120C175</stp>
        <tr r="W358" s="1"/>
      </tp>
      <tp t="s">
        <v>N/A</v>
        <stp/>
        <stp>STRIKE</stp>
        <stp>.IWM201120P175</stp>
        <tr r="W359" s="1"/>
      </tp>
      <tp t="s">
        <v>N/A</v>
        <stp/>
        <stp>IMPL_VOL</stp>
        <stp>.EWT201120P48</stp>
        <tr r="D150" s="1"/>
      </tp>
      <tp t="s">
        <v>N/A</v>
        <stp/>
        <stp>PROB_OTM</stp>
        <stp>.PXH201120P19</stp>
        <tr r="U459" s="1"/>
      </tp>
      <tp t="s">
        <v>N/A</v>
        <stp/>
        <stp>PROB_OTM</stp>
        <stp>.PXH201120P20</stp>
        <tr r="U461" s="1"/>
      </tp>
      <tp t="s">
        <v>N/A</v>
        <stp/>
        <stp>IMPL_VOL</stp>
        <stp>.EWP201120P26</stp>
        <tr r="D147" s="1"/>
      </tp>
      <tp t="s">
        <v>N/A</v>
        <stp/>
        <stp>IMPL_VOL</stp>
        <stp>.SDS201120C14</stp>
        <tr r="D540" s="1"/>
      </tp>
      <tp t="s">
        <v>N/A</v>
        <stp/>
        <stp>PROB_OF_TOUCHING</stp>
        <stp>.DVY201120P92</stp>
        <tr r="V88" s="1"/>
      </tp>
      <tp t="s">
        <v>N/A</v>
        <stp/>
        <stp>PROB_OF_TOUCHING</stp>
        <stp>.DVY201120P93</stp>
        <tr r="V90" s="1"/>
      </tp>
      <tp t="s">
        <v>N/A</v>
        <stp/>
        <stp>PROB_OF_TOUCHING</stp>
        <stp>.DVY201120P91</stp>
        <tr r="V86" s="1"/>
      </tp>
      <tp t="s">
        <v>N/A</v>
        <stp/>
        <stp>PROB_OF_TOUCHING</stp>
        <stp>.VEU201120C55</stp>
        <tr r="V711" s="1"/>
      </tp>
      <tp t="s">
        <v>N/A</v>
        <stp/>
        <stp>STRIKE</stp>
        <stp>.VOO201120P330</stp>
        <tr r="W733" s="1"/>
      </tp>
      <tp t="s">
        <v>N/A</v>
        <stp/>
        <stp>STRIKE</stp>
        <stp>.VOO201120C330</stp>
        <tr r="W732" s="1"/>
      </tp>
      <tp t="s">
        <v>N/A</v>
        <stp/>
        <stp>PROB_OTM</stp>
        <stp>.FXI201120P47</stp>
        <tr r="U190" s="1"/>
      </tp>
      <tp t="s">
        <v>N/A</v>
        <stp/>
        <stp>IMPL_VOL</stp>
        <stp>.EWW201120P39</stp>
        <tr r="D158" s="1"/>
      </tp>
      <tp t="s">
        <v>N/A</v>
        <stp/>
        <stp>PROB_OTM</stp>
        <stp>.FXI201120P48</stp>
        <tr r="U194" s="1"/>
      </tp>
      <tp t="s">
        <v>N/A</v>
        <stp/>
        <stp>STRIKE</stp>
        <stp>.VOO201120P325</stp>
        <tr r="W731" s="1"/>
      </tp>
      <tp t="s">
        <v>N/A</v>
        <stp/>
        <stp>STRIKE</stp>
        <stp>.VOO201120C325</stp>
        <tr r="W730" s="1"/>
      </tp>
      <tp t="s">
        <v>N/A</v>
        <stp/>
        <stp>IMPL_VOL</stp>
        <stp>.EWZ201120P32</stp>
        <tr r="D176" s="1"/>
      </tp>
      <tp t="s">
        <v>N/A</v>
        <stp/>
        <stp>PROB_OF_TOUCHING</stp>
        <stp>.FEZ201120C40</stp>
        <tr r="V183" s="1"/>
      </tp>
      <tp t="s">
        <v>N/A</v>
        <stp/>
        <stp>IMPL_VOL</stp>
        <stp>.GDX201120C37</stp>
        <tr r="D198" s="1"/>
      </tp>
      <tp t="s">
        <v>N/A</v>
        <stp/>
        <stp>PROB_OF_EXPIRING</stp>
        <stp>.XOP201120C47</stp>
        <tr r="T890" s="1"/>
      </tp>
      <tp t="s">
        <v>N/A</v>
        <stp/>
        <stp>PROB_OF_EXPIRING</stp>
        <stp>.XOP201120C49</stp>
        <tr r="T898" s="1"/>
      </tp>
      <tp t="s">
        <v>N/A</v>
        <stp/>
        <stp>PROB_OF_EXPIRING</stp>
        <stp>.XOP201120C48</stp>
        <tr r="T894" s="1"/>
      </tp>
      <tp t="s">
        <v>N/A</v>
        <stp/>
        <stp>PROB_OTM</stp>
        <stp>.DXD201120P14</stp>
        <tr r="U93" s="1"/>
      </tp>
      <tp t="s">
        <v>N/A</v>
        <stp/>
        <stp>IMPL_VOL</stp>
        <stp>.EWY201120P72</stp>
        <tr r="D165" s="1"/>
      </tp>
      <tp t="s">
        <v>N/A</v>
        <stp/>
        <stp>IMPL_VOL</stp>
        <stp>.EWY201120P73</stp>
        <tr r="D169" s="1"/>
      </tp>
      <tp t="s">
        <v>N/A</v>
        <stp/>
        <stp>GAMMA</stp>
        <stp>.ASHR201120C37.5</stp>
        <tr r="N44" s="1"/>
      </tp>
      <tp t="s">
        <v>N/A</v>
        <stp/>
        <stp>GAMMA</stp>
        <stp>.ASHR201120P37.5</stp>
        <tr r="N45" s="1"/>
      </tp>
      <tp t="s">
        <v>N/A</v>
        <stp/>
        <stp>PROB_OF_TOUCHING</stp>
        <stp>.SPLG201120C42</stp>
        <tr r="V585" s="1"/>
      </tp>
      <tp>
        <v>5.44</v>
        <stp/>
        <stp>BID</stp>
        <stp>.QQQ201120C287.5</stp>
        <tr r="H480" s="1"/>
      </tp>
      <tp t="s">
        <v>N/A</v>
        <stp/>
        <stp>INTRINSIC</stp>
        <stp>.XLB201120P68.5</stp>
        <tr r="R789" s="1"/>
      </tp>
      <tp t="s">
        <v>N/A</v>
        <stp/>
        <stp>INTRINSIC</stp>
        <stp>.XOP201120P48.5</stp>
        <tr r="R897" s="1"/>
      </tp>
      <tp t="s">
        <v>N/A</v>
        <stp/>
        <stp>EXTRINSIC</stp>
        <stp>.XLB201120P68.5</stp>
        <tr r="S789" s="1"/>
      </tp>
      <tp t="s">
        <v>N/A</v>
        <stp/>
        <stp>EXTRINSIC</stp>
        <stp>.XOP201120P48.5</stp>
        <tr r="S897" s="1"/>
      </tp>
      <tp t="s">
        <v>N/A</v>
        <stp/>
        <stp>INTRINSIC</stp>
        <stp>.XOP201120C48.5</stp>
        <tr r="R896" s="1"/>
      </tp>
      <tp t="s">
        <v>N/A</v>
        <stp/>
        <stp>INTRINSIC</stp>
        <stp>.XLB201120C68.5</stp>
        <tr r="R788" s="1"/>
      </tp>
      <tp t="s">
        <v>N/A</v>
        <stp/>
        <stp>EXTRINSIC</stp>
        <stp>.XOP201120C48.5</stp>
        <tr r="S896" s="1"/>
      </tp>
      <tp t="s">
        <v>N/A</v>
        <stp/>
        <stp>EXTRINSIC</stp>
        <stp>.XLB201120C68.5</stp>
        <tr r="S788" s="1"/>
      </tp>
      <tp t="s">
        <v>N/A</v>
        <stp/>
        <stp>PROB_OF_TOUCHING</stp>
        <stp>.EMLC201120C32</stp>
        <tr r="V115" s="1"/>
      </tp>
      <tp t="s">
        <v>N/A</v>
        <stp/>
        <stp>ASK</stp>
        <stp>.JNK201120P106.5</stp>
        <tr r="I382" s="1"/>
      </tp>
      <tp t="s">
        <v>N/A</v>
        <stp/>
        <stp>RHO</stp>
        <stp>.IVW201120P61.25</stp>
        <tr r="Q332" s="1"/>
      </tp>
      <tp t="s">
        <v>N/A</v>
        <stp/>
        <stp>RHO</stp>
        <stp>.SMH201120P194.5</stp>
        <tr r="Q561" s="1"/>
      </tp>
      <tp t="s">
        <v>N/A</v>
        <stp/>
        <stp>PROB_OF_EXPIRING</stp>
        <stp>.JETS201120P20</stp>
        <tr r="T379" s="1"/>
      </tp>
      <tp t="s">
        <v>N/A</v>
        <stp/>
        <stp>PROB_OF_TOUCHING</stp>
        <stp>.HYLB201120C49</stp>
        <tr r="V226" s="1"/>
      </tp>
      <tp t="s">
        <v>N/A</v>
        <stp/>
        <stp>IMPL_VOL</stp>
        <stp>.IGIB201120C61</stp>
        <tr r="D262" s="1"/>
      </tp>
      <tp t="s">
        <v>N/A</v>
        <stp/>
        <stp>DESCRIPTION</stp>
        <stp>.XLY201120P154.5</stp>
        <tr r="B881" s="1"/>
      </tp>
      <tp t="s">
        <v>N/A</v>
        <stp/>
        <stp>DESCRIPTION</stp>
        <stp>.XBI201120P124.5</stp>
        <tr r="B775" s="1"/>
      </tp>
      <tp t="s">
        <v>N/A</v>
        <stp/>
        <stp>IMPL_VOL</stp>
        <stp>.NAIL201120C48</stp>
        <tr r="D447" s="1"/>
      </tp>
      <tp t="s">
        <v>N/A</v>
        <stp/>
        <stp>IMPL_VOL</stp>
        <stp>.NAIL201120C49</stp>
        <tr r="D449" s="1"/>
      </tp>
      <tp t="s">
        <v>N/A</v>
        <stp/>
        <stp>IMPL_VOL</stp>
        <stp>.NAIL201120C44</stp>
        <tr r="D439" s="1"/>
      </tp>
      <tp t="s">
        <v>N/A</v>
        <stp/>
        <stp>IMPL_VOL</stp>
        <stp>.NAIL201120C45</stp>
        <tr r="D441" s="1"/>
      </tp>
      <tp t="s">
        <v>N/A</v>
        <stp/>
        <stp>IMPL_VOL</stp>
        <stp>.NAIL201120C46</stp>
        <tr r="D443" s="1"/>
      </tp>
      <tp t="s">
        <v>N/A</v>
        <stp/>
        <stp>IMPL_VOL</stp>
        <stp>.NAIL201120C47</stp>
        <tr r="D445" s="1"/>
      </tp>
      <tp t="s">
        <v>N/A</v>
        <stp/>
        <stp>PROB_OF_TOUCHING</stp>
        <stp>.ICLN201120C22</stp>
        <tr r="V246" s="1"/>
      </tp>
      <tp t="s">
        <v>N/A</v>
        <stp/>
        <stp>PROB_OF_TOUCHING</stp>
        <stp>.BKLN201120C22</stp>
        <tr r="V49" s="1"/>
      </tp>
      <tp>
        <v>3</v>
        <stp/>
        <stp>LOW</stp>
        <stp>.SMH201120C193.5</stp>
        <tr r="K556" s="1"/>
      </tp>
      <tp>
        <v>4.45</v>
        <stp/>
        <stp>BID</stp>
        <stp>.SMH201120P195.5</stp>
        <tr r="H565" s="1"/>
      </tp>
      <tp t="s">
        <v>N/A</v>
        <stp/>
        <stp>IMPL_VOL</stp>
        <stp>.VGIT201120C70</stp>
        <tr r="D719" s="1"/>
      </tp>
      <tp t="s">
        <v>N/A</v>
        <stp/>
        <stp>PROB_OF_TOUCHING</stp>
        <stp>.SPLV201120C55</stp>
        <tr r="V588" s="1"/>
      </tp>
      <tp t="s">
        <v>N/A</v>
        <stp/>
        <stp>ASK</stp>
        <stp>.JNK201120C106.5</stp>
        <tr r="I381" s="1"/>
      </tp>
      <tp t="s">
        <v>N/A</v>
        <stp/>
        <stp>RHO</stp>
        <stp>.IVW201120C61.25</stp>
        <tr r="Q331" s="1"/>
      </tp>
      <tp t="s">
        <v>N/A</v>
        <stp/>
        <stp>PROB_OF_TOUCHING</stp>
        <stp>.AMLP201120C23</stp>
        <tr r="V19" s="1"/>
      </tp>
      <tp t="s">
        <v>N/A</v>
        <stp/>
        <stp>PROB_OF_TOUCHING</stp>
        <stp>.AMLP201120C24</stp>
        <tr r="V23" s="1"/>
      </tp>
      <tp>
        <v>3.88</v>
        <stp/>
        <stp>BID</stp>
        <stp>.QQQ201120P287.5</stp>
        <tr r="H481" s="1"/>
      </tp>
      <tp t="s">
        <v>N/A</v>
        <stp/>
        <stp>DESCRIPTION</stp>
        <stp>.XLY201120C154.5</stp>
        <tr r="B880" s="1"/>
      </tp>
      <tp t="s">
        <v>N/A</v>
        <stp/>
        <stp>IMPL_VOL</stp>
        <stp>.DRIP201120C45</stp>
        <tr r="D82" s="1"/>
      </tp>
      <tp t="s">
        <v>N/A</v>
        <stp/>
        <stp>RHO</stp>
        <stp>.SMH201120C194.5</stp>
        <tr r="Q560" s="1"/>
      </tp>
      <tp t="s">
        <v>N/A</v>
        <stp/>
        <stp>DESCRIPTION</stp>
        <stp>.XBI201120C124.5</stp>
        <tr r="B774" s="1"/>
      </tp>
      <tp>
        <v>2.29</v>
        <stp/>
        <stp>LOW</stp>
        <stp>.SMH201120P193.5</stp>
        <tr r="K557" s="1"/>
      </tp>
      <tp>
        <v>2.25</v>
        <stp/>
        <stp>BID</stp>
        <stp>.SMH201120C195.5</stp>
        <tr r="H564" s="1"/>
      </tp>
      <tp t="s">
        <v>N/A</v>
        <stp/>
        <stp>OPEN_INT</stp>
        <stp>.ITOT201120C81</stp>
        <tr r="G300" s="1"/>
      </tp>
      <tp t="s">
        <v>N/A</v>
        <stp/>
        <stp>OPEN_INT</stp>
        <stp>.ITOT201120C80</stp>
        <tr r="G298" s="1"/>
      </tp>
      <tp t="s">
        <v>N/A</v>
        <stp/>
        <stp>IMPL_VOL</stp>
        <stp>.VCIT201120C96</stp>
        <tr r="D702" s="1"/>
      </tp>
      <tp t="s">
        <v>N/A</v>
        <stp/>
        <stp>EXTRINSIC</stp>
        <stp>.EWU201120C28.5</stp>
        <tr r="S152" s="1"/>
      </tp>
      <tp t="s">
        <v>N/A</v>
        <stp/>
        <stp>EXTRINSIC</stp>
        <stp>.EWW201120C38.5</stp>
        <tr r="S155" s="1"/>
      </tp>
      <tp t="s">
        <v>N/A</v>
        <stp/>
        <stp>EXTRINSIC</stp>
        <stp>.EEM201120P48.5</stp>
        <tr r="S100" s="1"/>
      </tp>
      <tp t="s">
        <v>N/A</v>
        <stp/>
        <stp>INTRINSIC</stp>
        <stp>.EWW201120C38.5</stp>
        <tr r="R155" s="1"/>
      </tp>
      <tp t="s">
        <v>N/A</v>
        <stp/>
        <stp>INTRINSIC</stp>
        <stp>.EWU201120C28.5</stp>
        <tr r="R152" s="1"/>
      </tp>
      <tp t="s">
        <v>N/A</v>
        <stp/>
        <stp>INTRINSIC</stp>
        <stp>.EEM201120P48.5</stp>
        <tr r="R100" s="1"/>
      </tp>
      <tp t="s">
        <v>N/A</v>
        <stp/>
        <stp>EXTRINSIC</stp>
        <stp>.EEM201120C48.5</stp>
        <tr r="S99" s="1"/>
      </tp>
      <tp t="s">
        <v>N/A</v>
        <stp/>
        <stp>EXTRINSIC</stp>
        <stp>.EWU201120P28.5</stp>
        <tr r="S153" s="1"/>
      </tp>
      <tp t="s">
        <v>N/A</v>
        <stp/>
        <stp>EXTRINSIC</stp>
        <stp>.EWW201120P38.5</stp>
        <tr r="S156" s="1"/>
      </tp>
      <tp t="s">
        <v>N/A</v>
        <stp/>
        <stp>INTRINSIC</stp>
        <stp>.EEM201120C48.5</stp>
        <tr r="R99" s="1"/>
      </tp>
      <tp t="s">
        <v>N/A</v>
        <stp/>
        <stp>INTRINSIC</stp>
        <stp>.EWW201120P38.5</stp>
        <tr r="R156" s="1"/>
      </tp>
      <tp t="s">
        <v>N/A</v>
        <stp/>
        <stp>INTRINSIC</stp>
        <stp>.EWU201120P28.5</stp>
        <tr r="R153" s="1"/>
      </tp>
      <tp>
        <v>49.3</v>
        <stp/>
        <stp>LAST</stp>
        <stp>ACWX</stp>
        <tr r="E12" s="1"/>
      </tp>
      <tp>
        <v>84.86</v>
        <stp/>
        <stp>LAST</stp>
        <stp>ACWI</stp>
        <tr r="E7" s="1"/>
      </tp>
      <tp t="s">
        <v>N/A</v>
        <stp/>
        <stp>THETA</stp>
        <stp>.DVY201120P92</stp>
        <tr r="O88" s="1"/>
      </tp>
      <tp t="s">
        <v>N/A</v>
        <stp/>
        <stp>THETA</stp>
        <stp>.DVY201120P93</stp>
        <tr r="O90" s="1"/>
      </tp>
      <tp t="s">
        <v>N/A</v>
        <stp/>
        <stp>THETA</stp>
        <stp>.DVY201120P91</stp>
        <tr r="O86" s="1"/>
      </tp>
      <tp t="s">
        <v>N/A</v>
        <stp/>
        <stp>THETA</stp>
        <stp>.VEU201120C55</stp>
        <tr r="O711" s="1"/>
      </tp>
      <tp t="s">
        <v>N/A</v>
        <stp/>
        <stp>GAMMA</stp>
        <stp>.FEZ201120P40</stp>
        <tr r="N184" s="1"/>
      </tp>
      <tp>
        <v>0</v>
        <stp/>
        <stp>VEGA</stp>
        <stp>KWEB</stp>
        <tr r="P397" s="1"/>
      </tp>
      <tp>
        <v>15.85</v>
        <stp/>
        <stp>OPEN</stp>
        <stp>EUFN</stp>
        <tr r="L117" s="1"/>
      </tp>
      <tp t="s">
        <v>N/A</v>
        <stp/>
        <stp>GAMMA</stp>
        <stp>.DVY201120C92</stp>
        <tr r="N87" s="1"/>
      </tp>
      <tp t="s">
        <v>N/A</v>
        <stp/>
        <stp>GAMMA</stp>
        <stp>.DVY201120C93</stp>
        <tr r="N89" s="1"/>
      </tp>
      <tp t="s">
        <v>N/A</v>
        <stp/>
        <stp>GAMMA</stp>
        <stp>.DVY201120C91</stp>
        <tr r="N85" s="1"/>
      </tp>
      <tp t="s">
        <v>N/A</v>
        <stp/>
        <stp>GAMMA</stp>
        <stp>.VEU201120P55</stp>
        <tr r="N712" s="1"/>
      </tp>
      <tp t="s">
        <v>N/A</v>
        <stp/>
        <stp>DELTA</stp>
        <stp>.EFV201120P45</stp>
        <tr r="M110" s="1"/>
      </tp>
      <tp>
        <v>110.58</v>
        <stp/>
        <stp>OPEN</stp>
        <stp>QUAL</stp>
        <tr r="L498" s="1"/>
      </tp>
      <tp t="s">
        <v>N/A</v>
        <stp/>
        <stp>THETA</stp>
        <stp>.FEZ201120C40</stp>
        <tr r="O183" s="1"/>
      </tp>
      <tp>
        <v>76.265000000000001</v>
        <stp/>
        <stp>HIGH</stp>
        <stp>KWEB</stp>
        <tr r="J397" s="1"/>
      </tp>
      <tp t="s">
        <v>N/A</v>
        <stp/>
        <stp>DELTA</stp>
        <stp>.VFH201120P67</stp>
        <tr r="M717" s="1"/>
      </tp>
      <tp t="s">
        <v>N/A</v>
        <stp/>
        <stp>DELTA</stp>
        <stp>.VFH201120P66</stp>
        <tr r="M715" s="1"/>
      </tp>
      <tp t="s">
        <v>N/A</v>
        <stp/>
        <stp>GAMMA</stp>
        <stp>.EEM201120P48</stp>
        <tr r="N98" s="1"/>
      </tp>
      <tp t="s">
        <v>N/A</v>
        <stp/>
        <stp>THETA</stp>
        <stp>.FVD201120P35</stp>
        <tr r="O187" s="1"/>
      </tp>
      <tp t="s">
        <v>N/A</v>
        <stp/>
        <stp>THETA</stp>
        <stp>.VEA201120C44</stp>
        <tr r="O708" s="1"/>
      </tp>
      <tp t="s">
        <v>N/A</v>
        <stp/>
        <stp>DELTA</stp>
        <stp>.EFA201120P70</stp>
        <tr r="M107" s="1"/>
      </tp>
      <tp t="s">
        <v>N/A</v>
        <stp/>
        <stp>DELTA</stp>
        <stp>.EFA201120P69</stp>
        <tr r="M103" s="1"/>
      </tp>
      <tp>
        <v>107.93</v>
        <stp/>
        <stp>LAST</stp>
        <stp>VCLT</stp>
        <tr r="E704" s="1"/>
      </tp>
      <tp>
        <v>21.6</v>
        <stp/>
        <stp>LAST</stp>
        <stp>ICLN</stp>
        <tr r="E245" s="1"/>
      </tp>
      <tp t="s">
        <v>N/A</v>
        <stp/>
        <stp>THETA</stp>
        <stp>.EEM201120C48</stp>
        <tr r="O97" s="1"/>
      </tp>
      <tp t="s">
        <v>N/A</v>
        <stp/>
        <stp>GAMMA</stp>
        <stp>.FVD201120C35</stp>
        <tr r="N186" s="1"/>
      </tp>
      <tp>
        <v>61.03</v>
        <stp/>
        <stp>LAST</stp>
        <stp>SCHP</stp>
        <tr r="E531" s="1"/>
      </tp>
      <tp>
        <v>33.6</v>
        <stp/>
        <stp>LAST</stp>
        <stp>SCHF</stp>
        <tr r="E528" s="1"/>
      </tp>
      <tp>
        <v>28.89</v>
        <stp/>
        <stp>LAST</stp>
        <stp>SCHE</stp>
        <tr r="E525" s="1"/>
      </tp>
      <tp>
        <v>60.36</v>
        <stp/>
        <stp>LAST</stp>
        <stp>SCHD</stp>
        <tr r="E520" s="1"/>
      </tp>
      <tp>
        <v>79.739999999999995</v>
        <stp/>
        <stp>LAST</stp>
        <stp>MCHI</stp>
        <tr r="E411" s="1"/>
      </tp>
      <tp>
        <v>96.15</v>
        <stp/>
        <stp>LAST</stp>
        <stp>VCIT</stp>
        <tr r="E701" s="1"/>
      </tp>
      <tp>
        <v>26.07</v>
        <stp/>
        <stp>OPEN</stp>
        <stp>GUSH</stp>
        <tr r="L213" s="1"/>
      </tp>
      <tp t="s">
        <v>N/A</v>
        <stp/>
        <stp>GAMMA</stp>
        <stp>.VEA201120P44</stp>
        <tr r="N709" s="1"/>
      </tp>
      <tp>
        <v>424</v>
        <stp/>
        <stp>VOLUME</stp>
        <stp>.EEM201120P48</stp>
        <tr r="F98" s="1"/>
      </tp>
      <tp t="s">
        <v>N/A</v>
        <stp/>
        <stp>DESCRIPTION</stp>
        <stp>.BKLN201120P22</stp>
        <tr r="B50" s="1"/>
      </tp>
      <tp t="s">
        <v>N/A</v>
        <stp/>
        <stp>DESCRIPTION</stp>
        <stp>.ICLN201120P22</stp>
        <tr r="B247" s="1"/>
      </tp>
      <tp t="s">
        <v>N/A</v>
        <stp/>
        <stp>DESCRIPTION</stp>
        <stp>.SPLG201120P42</stp>
        <tr r="B586" s="1"/>
      </tp>
      <tp t="s">
        <v>N/A</v>
        <stp/>
        <stp>DESCRIPTION</stp>
        <stp>.EMLC201120P32</stp>
        <tr r="B116" s="1"/>
      </tp>
      <tp t="s">
        <v>N/A</v>
        <stp/>
        <stp>RHO</stp>
        <stp>.GUSH201120P28</stp>
        <tr r="Q219" s="1"/>
      </tp>
      <tp t="s">
        <v>N/A</v>
        <stp/>
        <stp>RHO</stp>
        <stp>.GUSH201120P26</stp>
        <tr r="Q215" s="1"/>
      </tp>
      <tp t="s">
        <v>N/A</v>
        <stp/>
        <stp>RHO</stp>
        <stp>.GUSH201120P27</stp>
        <tr r="Q217" s="1"/>
      </tp>
      <tp t="s">
        <v>N/A</v>
        <stp/>
        <stp>VOLUME</stp>
        <stp>.VEA201120P44</stp>
        <tr r="F709" s="1"/>
      </tp>
      <tp t="s">
        <v>N/A</v>
        <stp/>
        <stp>DESCRIPTION</stp>
        <stp>.HYLB201120P49</stp>
        <tr r="B227" s="1"/>
      </tp>
      <tp t="s">
        <v>N/A</v>
        <stp/>
        <stp>VOLUME</stp>
        <stp>.FVD201120C35</stp>
        <tr r="F186" s="1"/>
      </tp>
      <tp t="s">
        <v>N/A</v>
        <stp/>
        <stp>PUT_CALL_RATIO</stp>
        <stp>.EFV201120P45</stp>
        <tr r="C110" s="1"/>
      </tp>
      <tp t="s">
        <v>N/A</v>
        <stp/>
        <stp>STRIKE</stp>
        <stp>.XME201120C27</stp>
        <tr r="W887" s="1"/>
      </tp>
      <tp>
        <v>2.4</v>
        <stp/>
        <stp>LOW</stp>
        <stp>.GUSH201120P28</stp>
        <tr r="K219" s="1"/>
      </tp>
      <tp>
        <v>1.7</v>
        <stp/>
        <stp>LOW</stp>
        <stp>.GUSH201120P27</stp>
        <tr r="K217" s="1"/>
      </tp>
      <tp>
        <v>1.25</v>
        <stp/>
        <stp>LOW</stp>
        <stp>.GUSH201120P26</stp>
        <tr r="K215" s="1"/>
      </tp>
      <tp t="s">
        <v>N/A</v>
        <stp/>
        <stp>PUT_CALL_RATIO</stp>
        <stp>.VFH201120P67</stp>
        <tr r="C717" s="1"/>
      </tp>
      <tp t="s">
        <v>N/A</v>
        <stp/>
        <stp>PUT_CALL_RATIO</stp>
        <stp>.VFH201120P66</stp>
        <tr r="C715" s="1"/>
      </tp>
      <tp>
        <v>2</v>
        <stp/>
        <stp>VOLUME</stp>
        <stp>.FEZ201120P40</stp>
        <tr r="F184" s="1"/>
      </tp>
      <tp t="s">
        <v>N/A</v>
        <stp/>
        <stp>DESCRIPTION</stp>
        <stp>.SPLV201120P55</stp>
        <tr r="B589" s="1"/>
      </tp>
      <tp t="s">
        <v>N/A</v>
        <stp/>
        <stp>DESCRIPTION</stp>
        <stp>.AMLP201120P24</stp>
        <tr r="B24" s="1"/>
      </tp>
      <tp t="s">
        <v>N/A</v>
        <stp/>
        <stp>DESCRIPTION</stp>
        <stp>.AMLP201120P23</stp>
        <tr r="B20" s="1"/>
      </tp>
      <tp t="s">
        <v>N/A</v>
        <stp/>
        <stp>VOLUME</stp>
        <stp>.DVY201120C93</stp>
        <tr r="F89" s="1"/>
      </tp>
      <tp t="s">
        <v>N/A</v>
        <stp/>
        <stp>VOLUME</stp>
        <stp>.DVY201120C92</stp>
        <tr r="F87" s="1"/>
      </tp>
      <tp t="s">
        <v>N/A</v>
        <stp/>
        <stp>VOLUME</stp>
        <stp>.DVY201120C91</stp>
        <tr r="F85" s="1"/>
      </tp>
      <tp t="s">
        <v>N/A</v>
        <stp/>
        <stp>VOLUME</stp>
        <stp>.VEU201120P55</stp>
        <tr r="F712" s="1"/>
      </tp>
      <tp t="s">
        <v>N/A</v>
        <stp/>
        <stp>PUT_CALL_RATIO</stp>
        <stp>.EFA201120P70</stp>
        <tr r="C107" s="1"/>
      </tp>
      <tp t="s">
        <v>N/A</v>
        <stp/>
        <stp>PUT_CALL_RATIO</stp>
        <stp>.EFA201120P69</stp>
        <tr r="C103" s="1"/>
      </tp>
      <tp>
        <v>4.2</v>
        <stp/>
        <stp>ASK</stp>
        <stp>.MTUM201120C152</stp>
        <tr r="I433" s="1"/>
      </tp>
      <tp t="s">
        <v>N/A</v>
        <stp/>
        <stp>ASK</stp>
        <stp>.MTUM201120P152</stp>
        <tr r="I434" s="1"/>
      </tp>
      <tp>
        <v>4.5999999999999996</v>
        <stp/>
        <stp>ASK</stp>
        <stp>.MTUM201120C150</stp>
        <tr r="I429" s="1"/>
      </tp>
      <tp t="s">
        <v>N/A</v>
        <stp/>
        <stp>ASK</stp>
        <stp>.MTUM201120P150</stp>
        <tr r="I430" s="1"/>
      </tp>
      <tp t="s">
        <v>N/A</v>
        <stp/>
        <stp>ASK</stp>
        <stp>.MTUM201120C151</stp>
        <tr r="I431" s="1"/>
      </tp>
      <tp t="s">
        <v>N/A</v>
        <stp/>
        <stp>ASK</stp>
        <stp>.MTUM201120P151</stp>
        <tr r="I432" s="1"/>
      </tp>
      <tp>
        <v>3.6</v>
        <stp/>
        <stp>BID</stp>
        <stp>.GUSH201120P28</stp>
        <tr r="H219" s="1"/>
      </tp>
      <tp>
        <v>2.85</v>
        <stp/>
        <stp>BID</stp>
        <stp>.GUSH201120P27</stp>
        <tr r="H217" s="1"/>
      </tp>
      <tp>
        <v>2.15</v>
        <stp/>
        <stp>BID</stp>
        <stp>.GUSH201120P26</stp>
        <tr r="H215" s="1"/>
      </tp>
      <tp t="s">
        <v>N/A</v>
        <stp/>
        <stp>ASK</stp>
        <stp>.MTUM201120C149</stp>
        <tr r="I427" s="1"/>
      </tp>
      <tp t="s">
        <v>N/A</v>
        <stp/>
        <stp>ASK</stp>
        <stp>.MTUM201120P149</stp>
        <tr r="I428" s="1"/>
      </tp>
      <tp>
        <v>3.1</v>
        <stp/>
        <stp>ASK</stp>
        <stp>.GUSH201120P27</stp>
        <tr r="I217" s="1"/>
      </tp>
      <tp>
        <v>2.4</v>
        <stp/>
        <stp>ASK</stp>
        <stp>.GUSH201120P26</stp>
        <tr r="I215" s="1"/>
      </tp>
      <tp>
        <v>3.9</v>
        <stp/>
        <stp>ASK</stp>
        <stp>.GUSH201120P28</stp>
        <tr r="I219" s="1"/>
      </tp>
      <tp t="s">
        <v>N/A</v>
        <stp/>
        <stp>PROB_OF_TOUCHING</stp>
        <stp>.EWG201120P30</stp>
        <tr r="V128" s="1"/>
      </tp>
      <tp t="s">
        <v>N/A</v>
        <stp/>
        <stp>EXTRINSIC</stp>
        <stp>.ACWI201120P85</stp>
        <tr r="S9" s="1"/>
      </tp>
      <tp t="s">
        <v>N/A</v>
        <stp/>
        <stp>EXTRINSIC</stp>
        <stp>.ACWI201120P86</stp>
        <tr r="S11" s="1"/>
      </tp>
      <tp>
        <v>1634</v>
        <stp/>
        <stp>OPEN_INT</stp>
        <stp>.XLE201120P34</stp>
        <tr r="G807" s="1"/>
      </tp>
      <tp t="s">
        <v>N/A</v>
        <stp/>
        <stp>OPEN_INT</stp>
        <stp>.XLB201120P70</stp>
        <tr r="G795" s="1"/>
      </tp>
      <tp t="s">
        <v>N/A</v>
        <stp/>
        <stp>PROB_OTM</stp>
        <stp>.IYR201120P84</stp>
        <tr r="U368" s="1"/>
      </tp>
      <tp t="s">
        <v>N/A</v>
        <stp/>
        <stp>PROB_OTM</stp>
        <stp>.IYR201120P85</stp>
        <tr r="U372" s="1"/>
      </tp>
      <tp t="s">
        <v>N/A</v>
        <stp/>
        <stp>OPEN_INT</stp>
        <stp>.XLC201120P63</stp>
        <tr r="G798" s="1"/>
      </tp>
      <tp t="s">
        <v>N/A</v>
        <stp/>
        <stp>OPEN_INT</stp>
        <stp>.XLC201120P64</stp>
        <tr r="G802" s="1"/>
      </tp>
      <tp t="s">
        <v>N/A</v>
        <stp/>
        <stp>PROB_OTM</stp>
        <stp>.IJR201120C80</stp>
        <tr r="U275" s="1"/>
      </tp>
      <tp>
        <v>2509</v>
        <stp/>
        <stp>VOLUME</stp>
        <stp>.QQQ201120P291</stp>
        <tr r="F489" s="1"/>
      </tp>
      <tp>
        <v>6708</v>
        <stp/>
        <stp>VOLUME</stp>
        <stp>.QQQ201120C291</stp>
        <tr r="F488" s="1"/>
      </tp>
      <tp>
        <v>9631</v>
        <stp/>
        <stp>VOLUME</stp>
        <stp>.QQQ201120P290</stp>
        <tr r="F487" s="1"/>
      </tp>
      <tp>
        <v>8960</v>
        <stp/>
        <stp>VOLUME</stp>
        <stp>.QQQ201120C290</stp>
        <tr r="F486" s="1"/>
      </tp>
      <tp>
        <v>196</v>
        <stp/>
        <stp>VOLUME</stp>
        <stp>.QQQ201120P293</stp>
        <tr r="F495" s="1"/>
      </tp>
      <tp>
        <v>1827</v>
        <stp/>
        <stp>VOLUME</stp>
        <stp>.QQQ201120C293</stp>
        <tr r="F494" s="1"/>
      </tp>
      <tp>
        <v>781</v>
        <stp/>
        <stp>VOLUME</stp>
        <stp>.QQQ201120P292</stp>
        <tr r="F491" s="1"/>
      </tp>
      <tp>
        <v>1901</v>
        <stp/>
        <stp>VOLUME</stp>
        <stp>.QQQ201120C292</stp>
        <tr r="F490" s="1"/>
      </tp>
      <tp>
        <v>565</v>
        <stp/>
        <stp>VOLUME</stp>
        <stp>.QQQ201120P294</stp>
        <tr r="F497" s="1"/>
      </tp>
      <tp>
        <v>3065</v>
        <stp/>
        <stp>VOLUME</stp>
        <stp>.QQQ201120C294</stp>
        <tr r="F496" s="1"/>
      </tp>
      <tp t="s">
        <v>N/A</v>
        <stp/>
        <stp>OPEN_INT</stp>
        <stp>.ILF201120P25</stp>
        <tr r="G279" s="1"/>
      </tp>
      <tp>
        <v>30297</v>
        <stp/>
        <stp>OPEN_INT</stp>
        <stp>.XLF201120P27</stp>
        <tr r="G812" s="1"/>
      </tp>
      <tp>
        <v>954</v>
        <stp/>
        <stp>OPEN_INT</stp>
        <stp>.XLB201120P69</stp>
        <tr r="G791" s="1"/>
      </tp>
      <tp>
        <v>2324</v>
        <stp/>
        <stp>VOLUME</stp>
        <stp>.QQQ201120P287</stp>
        <tr r="F479" s="1"/>
      </tp>
      <tp>
        <v>313</v>
        <stp/>
        <stp>VOLUME</stp>
        <stp>.QQQ201120C287</stp>
        <tr r="F478" s="1"/>
      </tp>
      <tp>
        <v>2967</v>
        <stp/>
        <stp>VOLUME</stp>
        <stp>.QQQ201120P286</stp>
        <tr r="F477" s="1"/>
      </tp>
      <tp>
        <v>489</v>
        <stp/>
        <stp>VOLUME</stp>
        <stp>.QQQ201120C286</stp>
        <tr r="F476" s="1"/>
      </tp>
      <tp>
        <v>2445</v>
        <stp/>
        <stp>VOLUME</stp>
        <stp>.QQQ201120P289</stp>
        <tr r="F485" s="1"/>
      </tp>
      <tp>
        <v>3681</v>
        <stp/>
        <stp>VOLUME</stp>
        <stp>.QQQ201120C289</stp>
        <tr r="F484" s="1"/>
      </tp>
      <tp>
        <v>5569</v>
        <stp/>
        <stp>VOLUME</stp>
        <stp>.QQQ201120P288</stp>
        <tr r="F483" s="1"/>
      </tp>
      <tp>
        <v>1662</v>
        <stp/>
        <stp>VOLUME</stp>
        <stp>.QQQ201120C288</stp>
        <tr r="F482" s="1"/>
      </tp>
      <tp t="s">
        <v>N/A</v>
        <stp/>
        <stp>EXTRINSIC</stp>
        <stp>.INDA201120C36</stp>
        <tr r="S281" s="1"/>
      </tp>
      <tp t="s">
        <v>N/A</v>
        <stp/>
        <stp>IMPL_VOL</stp>
        <stp>.VEA201120C44</stp>
        <tr r="D708" s="1"/>
      </tp>
      <tp t="s">
        <v>N/A</v>
        <stp/>
        <stp>PROB_OF_TOUCHING</stp>
        <stp>.EWC201120P29</stp>
        <tr r="V125" s="1"/>
      </tp>
      <tp t="s">
        <v>N/A</v>
        <stp/>
        <stp>OPEN_INT</stp>
        <stp>.XLI201120P84</stp>
        <tr r="G815" s="1"/>
      </tp>
      <tp>
        <v>4214</v>
        <stp/>
        <stp>OPEN_INT</stp>
        <stp>.XLI201120P85</stp>
        <tr r="G819" s="1"/>
      </tp>
      <tp t="s">
        <v>N/A</v>
        <stp/>
        <stp>OPEN_INT</stp>
        <stp>.XLI201120P86</stp>
        <tr r="G823" s="1"/>
      </tp>
      <tp t="s">
        <v>N/A</v>
        <stp/>
        <stp>IMPL_VOL</stp>
        <stp>.FVD201120P35</stp>
        <tr r="D187" s="1"/>
      </tp>
      <tp t="s">
        <v>N/A</v>
        <stp/>
        <stp>PROB_OF_TOUCHING</stp>
        <stp>.EWA201120P22</stp>
        <tr r="V122" s="1"/>
      </tp>
      <tp t="s">
        <v>N/A</v>
        <stp/>
        <stp>INTRINSIC</stp>
        <stp>.XLRE201120C37</stp>
        <tr r="R847" s="1"/>
      </tp>
      <tp t="s">
        <v>N/A</v>
        <stp/>
        <stp>PROB_OF_TOUCHING</stp>
        <stp>.EWJ201120P63</stp>
        <tr r="V137" s="1"/>
      </tp>
      <tp t="s">
        <v>N/A</v>
        <stp/>
        <stp>PROB_OF_TOUCHING</stp>
        <stp>.EWJ201120P64</stp>
        <tr r="V141" s="1"/>
      </tp>
      <tp t="s">
        <v>N/A</v>
        <stp/>
        <stp>IMPL_VOL</stp>
        <stp>.EEM201120C48</stp>
        <tr r="D97" s="1"/>
      </tp>
      <tp>
        <v>138</v>
        <stp/>
        <stp>OPEN_INT</stp>
        <stp>.QLD201120P96</stp>
        <tr r="G464" s="1"/>
      </tp>
      <tp>
        <v>34</v>
        <stp/>
        <stp>OPEN_INT</stp>
        <stp>.QLD201120P97</stp>
        <tr r="G466" s="1"/>
      </tp>
      <tp>
        <v>103</v>
        <stp/>
        <stp>OPEN_INT</stp>
        <stp>.QLD201120P98</stp>
        <tr r="G468" s="1"/>
      </tp>
      <tp>
        <v>10</v>
        <stp/>
        <stp>OPEN_INT</stp>
        <stp>.QLD201120P99</stp>
        <tr r="G470" s="1"/>
      </tp>
      <tp t="s">
        <v>N/A</v>
        <stp/>
        <stp>INTRINSIC</stp>
        <stp>.DGRO201120C43</stp>
        <tr r="R60" s="1"/>
      </tp>
      <tp t="s">
        <v>N/A</v>
        <stp/>
        <stp>PROB_OF_TOUCHING</stp>
        <stp>.RWM201120P29</stp>
        <tr r="V519" s="1"/>
      </tp>
      <tp t="s">
        <v>N/A</v>
        <stp/>
        <stp>PROB_OF_TOUCHING</stp>
        <stp>.EWL201120P43</stp>
        <tr r="V144" s="1"/>
      </tp>
      <tp t="s">
        <v>N/A</v>
        <stp/>
        <stp>PROB_OF_TOUCHING</stp>
        <stp>.EWH201120P24</stp>
        <tr r="V131" s="1"/>
      </tp>
      <tp t="s">
        <v>N/A</v>
        <stp/>
        <stp>PROB_OF_TOUCHING</stp>
        <stp>.VWO201120P47</stp>
        <tr r="V752" s="1"/>
      </tp>
      <tp t="s">
        <v>N/A</v>
        <stp/>
        <stp>PROB_OF_TOUCHING</stp>
        <stp>.EWI201120P27</stp>
        <tr r="V134" s="1"/>
      </tp>
      <tp t="s">
        <v>N/A</v>
        <stp/>
        <stp>PROB_OF_TOUCHING</stp>
        <stp>.EWW201120P39</stp>
        <tr r="V158" s="1"/>
      </tp>
      <tp t="s">
        <v>N/A</v>
        <stp/>
        <stp>PUT_CALL_RATIO</stp>
        <stp>.AGG201120C117</stp>
        <tr r="C16" s="1"/>
      </tp>
      <tp t="s">
        <v>N/A</v>
        <stp/>
        <stp>PUT_CALL_RATIO</stp>
        <stp>.AGG201120P117</stp>
        <tr r="C17" s="1"/>
      </tp>
      <tp t="s">
        <v>N/A</v>
        <stp/>
        <stp>IMPL_VOL</stp>
        <stp>.DVY201120P92</stp>
        <tr r="D88" s="1"/>
      </tp>
      <tp t="s">
        <v>N/A</v>
        <stp/>
        <stp>IMPL_VOL</stp>
        <stp>.DVY201120P93</stp>
        <tr r="D90" s="1"/>
      </tp>
      <tp t="s">
        <v>N/A</v>
        <stp/>
        <stp>IMPL_VOL</stp>
        <stp>.DVY201120P91</stp>
        <tr r="D86" s="1"/>
      </tp>
      <tp t="s">
        <v>N/A</v>
        <stp/>
        <stp>IMPL_VOL</stp>
        <stp>.VEU201120C55</stp>
        <tr r="D711" s="1"/>
      </tp>
      <tp>
        <v>84</v>
        <stp/>
        <stp>OPEN_INT</stp>
        <stp>.XLP201120P67</stp>
        <tr r="G845" s="1"/>
      </tp>
      <tp>
        <v>1151</v>
        <stp/>
        <stp>OPEN_INT</stp>
        <stp>.XLU201120P66</stp>
        <tr r="G851" s="1"/>
      </tp>
      <tp>
        <v>131</v>
        <stp/>
        <stp>OPEN_INT</stp>
        <stp>.XLU201120P67</stp>
        <tr r="G855" s="1"/>
      </tp>
      <tp t="s">
        <v>N/A</v>
        <stp/>
        <stp>PROB_OF_TOUCHING</stp>
        <stp>.EWT201120P48</stp>
        <tr r="V150" s="1"/>
      </tp>
      <tp t="s">
        <v>N/A</v>
        <stp/>
        <stp>EXTRINSIC</stp>
        <stp>.SPDW201120C32</stp>
        <tr r="S579" s="1"/>
      </tp>
      <tp t="s">
        <v>N/A</v>
        <stp/>
        <stp>PROB_OF_EXPIRING</stp>
        <stp>.VNQ201120C85</stp>
        <tr r="T727" s="1"/>
      </tp>
      <tp t="s">
        <v>N/A</v>
        <stp/>
        <stp>PROB_OF_EXPIRING</stp>
        <stp>.VNQ201120C84</stp>
        <tr r="T725" s="1"/>
      </tp>
      <tp t="s">
        <v>N/A</v>
        <stp/>
        <stp>PROB_OF_TOUCHING</stp>
        <stp>.EWP201120P26</stp>
        <tr r="V147" s="1"/>
      </tp>
      <tp t="s">
        <v>N/A</v>
        <stp/>
        <stp>PROB_OF_TOUCHING</stp>
        <stp>.SDS201120C14</stp>
        <tr r="V540" s="1"/>
      </tp>
      <tp t="s">
        <v>N/A</v>
        <stp/>
        <stp>PROB_OTM</stp>
        <stp>.HYG201120P86</stp>
        <tr r="U224" s="1"/>
      </tp>
      <tp t="s">
        <v>N/A</v>
        <stp/>
        <stp>PROB_OF_TOUCHING</stp>
        <stp>.EWY201120P72</stp>
        <tr r="V165" s="1"/>
      </tp>
      <tp t="s">
        <v>N/A</v>
        <stp/>
        <stp>PROB_OF_TOUCHING</stp>
        <stp>.EWY201120P73</stp>
        <tr r="V169" s="1"/>
      </tp>
      <tp t="s">
        <v>N/A</v>
        <stp/>
        <stp>EXTRINSIC</stp>
        <stp>.INDY201120C38</stp>
        <tr r="S286" s="1"/>
      </tp>
      <tp t="s">
        <v>N/A</v>
        <stp/>
        <stp>PROB_OTM</stp>
        <stp>.IYE201120P18</stp>
        <tr r="U365" s="1"/>
      </tp>
      <tp t="s">
        <v>N/A</v>
        <stp/>
        <stp>EXTRINSIC</stp>
        <stp>.ACWX201120P50</stp>
        <tr r="S14" s="1"/>
      </tp>
      <tp t="s">
        <v>N/A</v>
        <stp/>
        <stp>PROB_OF_TOUCHING</stp>
        <stp>.EWZ201120P32</stp>
        <tr r="V176" s="1"/>
      </tp>
      <tp t="s">
        <v>N/A</v>
        <stp/>
        <stp>PROB_OTM</stp>
        <stp>.VYM201120P87</stp>
        <tr r="U760" s="1"/>
      </tp>
      <tp t="s">
        <v>N/A</v>
        <stp/>
        <stp>PROB_OTM</stp>
        <stp>.VYM201120P88</stp>
        <tr r="U762" s="1"/>
      </tp>
      <tp t="s">
        <v>N/A</v>
        <stp/>
        <stp>IMPL_VOL</stp>
        <stp>.FEZ201120C40</stp>
        <tr r="D183" s="1"/>
      </tp>
      <tp t="s">
        <v>N/A</v>
        <stp/>
        <stp>PROB_OF_TOUCHING</stp>
        <stp>.GDX201120C37</stp>
        <tr r="V198" s="1"/>
      </tp>
      <tp t="s">
        <v>N/A</v>
        <stp/>
        <stp>PROB_OF_EXPIRING</stp>
        <stp>.IXUS201120P63</stp>
        <tr r="T362" s="1"/>
      </tp>
      <tp t="s">
        <v>N/A</v>
        <stp/>
        <stp>PROB_OF_TOUCHING</stp>
        <stp>.IEMG201120C57</stp>
        <tr r="V257" s="1"/>
      </tp>
      <tp t="s">
        <v>N/A</v>
        <stp/>
        <stp>PROB_OF_TOUCHING</stp>
        <stp>.IEMG201120C58</stp>
        <tr r="V259" s="1"/>
      </tp>
      <tp t="s">
        <v>N/A</v>
        <stp/>
        <stp>IMPL_VOL</stp>
        <stp>.SCHD201120C61</stp>
        <tr r="D521" s="1"/>
      </tp>
      <tp t="s">
        <v>N/A</v>
        <stp/>
        <stp>IMPL_VOL</stp>
        <stp>.SCHD201120C62</stp>
        <tr r="D523" s="1"/>
      </tp>
      <tp>
        <v>2.67</v>
        <stp/>
        <stp>LOW</stp>
        <stp>.SPY201120P352.5</stp>
        <tr r="K608" s="1"/>
      </tp>
      <tp t="s">
        <v>N/A</v>
        <stp/>
        <stp>INTRINSIC</stp>
        <stp>.XLB201120P69.5</stp>
        <tr r="R793" s="1"/>
      </tp>
      <tp t="s">
        <v>N/A</v>
        <stp/>
        <stp>INTRINSIC</stp>
        <stp>.XOP201120P49.5</stp>
        <tr r="R901" s="1"/>
      </tp>
      <tp t="s">
        <v>N/A</v>
        <stp/>
        <stp>IMPL_VOL</stp>
        <stp>.MCHI201120C80</stp>
        <tr r="D412" s="1"/>
      </tp>
      <tp t="s">
        <v>N/A</v>
        <stp/>
        <stp>EXTRINSIC</stp>
        <stp>.XLB201120P69.5</stp>
        <tr r="S793" s="1"/>
      </tp>
      <tp t="s">
        <v>N/A</v>
        <stp/>
        <stp>EXTRINSIC</stp>
        <stp>.XOP201120P49.5</stp>
        <tr r="S901" s="1"/>
      </tp>
      <tp t="s">
        <v>N/A</v>
        <stp/>
        <stp>INTRINSIC</stp>
        <stp>.XOP201120C49.5</stp>
        <tr r="R900" s="1"/>
      </tp>
      <tp t="s">
        <v>N/A</v>
        <stp/>
        <stp>INTRINSIC</stp>
        <stp>.XLB201120C69.5</stp>
        <tr r="R792" s="1"/>
      </tp>
      <tp t="s">
        <v>N/A</v>
        <stp/>
        <stp>EXTRINSIC</stp>
        <stp>.XOP201120C49.5</stp>
        <tr r="S900" s="1"/>
      </tp>
      <tp t="s">
        <v>N/A</v>
        <stp/>
        <stp>PROB_OF_EXPIRING</stp>
        <stp>.VXUS201120P56</stp>
        <tr r="T755" s="1"/>
      </tp>
      <tp t="s">
        <v>N/A</v>
        <stp/>
        <stp>EXTRINSIC</stp>
        <stp>.XLB201120C69.5</stp>
        <tr r="S792" s="1"/>
      </tp>
      <tp t="s">
        <v>N/A</v>
        <stp/>
        <stp>PROB_OF_EXPIRING</stp>
        <stp>.VXUS201120P57</stp>
        <tr r="T757" s="1"/>
      </tp>
      <tp t="s">
        <v>N/A</v>
        <stp/>
        <stp>IMPL_VOL</stp>
        <stp>.SPHD201120C36</stp>
        <tr r="D582" s="1"/>
      </tp>
      <tp t="s">
        <v>N/A</v>
        <stp/>
        <stp>IMPL_VOL</stp>
        <stp>.SCHE201120C29</stp>
        <tr r="D526" s="1"/>
      </tp>
      <tp t="s">
        <v>N/A</v>
        <stp/>
        <stp>RHO</stp>
        <stp>.SMH201120P195.5</stp>
        <tr r="Q565" s="1"/>
      </tp>
      <tp t="s">
        <v>N/A</v>
        <stp/>
        <stp>IMPL_VOL</stp>
        <stp>.SCHF201120C34</stp>
        <tr r="D529" s="1"/>
      </tp>
      <tp t="s">
        <v>N/A</v>
        <stp/>
        <stp>PROB_OTM</stp>
        <stp>.PDBC201120P14</stp>
        <tr r="U453" s="1"/>
      </tp>
      <tp t="s">
        <v>N/A</v>
        <stp/>
        <stp>BID</stp>
        <stp>.IVW201120P61.25</stp>
        <tr r="H332" s="1"/>
      </tp>
      <tp t="s">
        <v>N/A</v>
        <stp/>
        <stp>DESCRIPTION</stp>
        <stp>.XBI201120P125.5</stp>
        <tr r="B779" s="1"/>
      </tp>
      <tp t="s">
        <v>N/A</v>
        <stp/>
        <stp>RHO</stp>
        <stp>.QQQ201120C287.5</stp>
        <tr r="Q480" s="1"/>
      </tp>
      <tp>
        <v>2.29</v>
        <stp/>
        <stp>LOW</stp>
        <stp>.XLK201120C119.5</stp>
        <tr r="K825" s="1"/>
      </tp>
      <tp>
        <v>1.92</v>
        <stp/>
        <stp>LOW</stp>
        <stp>.TLT201120C155.5</stp>
        <tr r="K692" s="1"/>
      </tp>
      <tp>
        <v>3.75</v>
        <stp/>
        <stp>LOW</stp>
        <stp>.SMH201120C192.5</stp>
        <tr r="K552" s="1"/>
      </tp>
      <tp>
        <v>3.85</v>
        <stp/>
        <stp>BID</stp>
        <stp>.SMH201120P194.5</stp>
        <tr r="H561" s="1"/>
      </tp>
      <tp t="s">
        <v>N/A</v>
        <stp/>
        <stp>IMPL_VOL</stp>
        <stp>.ASHR201120C38</stp>
        <tr r="D46" s="1"/>
      </tp>
      <tp>
        <v>4.24</v>
        <stp/>
        <stp>LOW</stp>
        <stp>.SPY201120C352.5</stp>
        <tr r="K607" s="1"/>
      </tp>
      <tp t="s">
        <v>N/A</v>
        <stp/>
        <stp>PROB_OF_EXPIRING</stp>
        <stp>.IEFA201120C66</stp>
        <tr r="T254" s="1"/>
      </tp>
      <tp t="s">
        <v>N/A</v>
        <stp/>
        <stp>PROB_OF_EXPIRING</stp>
        <stp>.IEFA201120C65</stp>
        <tr r="T252" s="1"/>
      </tp>
      <tp t="s">
        <v>N/A</v>
        <stp/>
        <stp>PROB_OF_TOUCHING</stp>
        <stp>.USMV201120C67</stp>
        <tr r="V699" s="1"/>
      </tp>
      <tp t="s">
        <v>N/A</v>
        <stp/>
        <stp>IMPL_VOL</stp>
        <stp>.SCHP201120C61</stp>
        <tr r="D532" s="1"/>
      </tp>
      <tp t="s">
        <v>N/A</v>
        <stp/>
        <stp>RHO</stp>
        <stp>.SMH201120C195.5</stp>
        <tr r="Q564" s="1"/>
      </tp>
      <tp t="s">
        <v>N/A</v>
        <stp/>
        <stp>RHO</stp>
        <stp>.QQQ201120P287.5</stp>
        <tr r="Q481" s="1"/>
      </tp>
      <tp t="s">
        <v>N/A</v>
        <stp/>
        <stp>DESCRIPTION</stp>
        <stp>.XBI201120C125.5</stp>
        <tr r="B778" s="1"/>
      </tp>
      <tp t="s">
        <v>N/A</v>
        <stp/>
        <stp>PROB_OF_EXPIRING</stp>
        <stp>.EUFN201120C16</stp>
        <tr r="T118" s="1"/>
      </tp>
      <tp>
        <v>0.25</v>
        <stp/>
        <stp>BID</stp>
        <stp>.IVW201120C61.25</stp>
        <tr r="H331" s="1"/>
      </tp>
      <tp t="s">
        <v>N/A</v>
        <stp/>
        <stp>EXTRINSIC</stp>
        <stp>.FEZ201120P39.5</stp>
        <tr r="S182" s="1"/>
      </tp>
      <tp t="s">
        <v>N/A</v>
        <stp/>
        <stp>INTRINSIC</stp>
        <stp>.FEZ201120P39.5</stp>
        <tr r="R182" s="1"/>
      </tp>
      <tp t="s">
        <v>N/A</v>
        <stp/>
        <stp>EXTRINSIC</stp>
        <stp>.FEZ201120C39.5</stp>
        <tr r="S181" s="1"/>
      </tp>
      <tp t="s">
        <v>N/A</v>
        <stp/>
        <stp>INTRINSIC</stp>
        <stp>.FEZ201120C39.5</stp>
        <tr r="R181" s="1"/>
      </tp>
      <tp>
        <v>0</v>
        <stp/>
        <stp>LOW</stp>
        <stp>.SMH201120P192.5</stp>
        <tr r="K553" s="1"/>
      </tp>
      <tp>
        <v>2.63</v>
        <stp/>
        <stp>BID</stp>
        <stp>.SMH201120C194.5</stp>
        <tr r="H560" s="1"/>
      </tp>
      <tp>
        <v>1.52</v>
        <stp/>
        <stp>LOW</stp>
        <stp>.XLK201120P119.5</stp>
        <tr r="K826" s="1"/>
      </tp>
      <tp>
        <v>0.37</v>
        <stp/>
        <stp>LOW</stp>
        <stp>.TLT201120P155.5</stp>
        <tr r="K693" s="1"/>
      </tp>
      <tp t="s">
        <v>N/A</v>
        <stp/>
        <stp>EXTRINSIC</stp>
        <stp>.EWW201120C39.5</stp>
        <tr r="S159" s="1"/>
      </tp>
      <tp t="s">
        <v>N/A</v>
        <stp/>
        <stp>EXTRINSIC</stp>
        <stp>.EFA201120P69.5</stp>
        <tr r="S105" s="1"/>
      </tp>
      <tp t="s">
        <v>N/A</v>
        <stp/>
        <stp>INTRINSIC</stp>
        <stp>.EWW201120C39.5</stp>
        <tr r="R159" s="1"/>
      </tp>
      <tp t="s">
        <v>N/A</v>
        <stp/>
        <stp>INTRINSIC</stp>
        <stp>.EFA201120P69.5</stp>
        <tr r="R105" s="1"/>
      </tp>
      <tp t="s">
        <v>N/A</v>
        <stp/>
        <stp>EXTRINSIC</stp>
        <stp>.EFA201120C69.5</stp>
        <tr r="S104" s="1"/>
      </tp>
      <tp t="s">
        <v>N/A</v>
        <stp/>
        <stp>EXTRINSIC</stp>
        <stp>.EWW201120P39.5</stp>
        <tr r="S160" s="1"/>
      </tp>
      <tp t="s">
        <v>N/A</v>
        <stp/>
        <stp>INTRINSIC</stp>
        <stp>.EFA201120C69.5</stp>
        <tr r="R104" s="1"/>
      </tp>
      <tp t="s">
        <v>N/A</v>
        <stp/>
        <stp>INTRINSIC</stp>
        <stp>.EWW201120P39.5</stp>
        <tr r="R160" s="1"/>
      </tp>
      <tp t="s">
        <v>N/A</v>
        <stp/>
        <stp>DELTA</stp>
        <stp>.XBI201120C125.5</stp>
        <tr r="M778" s="1"/>
      </tp>
      <tp>
        <v>0</v>
        <stp/>
        <stp>THETA</stp>
        <stp>VWO</stp>
        <tr r="O748" s="1"/>
      </tp>
      <tp t="s">
        <v>N/A</v>
        <stp/>
        <stp>DELTA</stp>
        <stp>.FEZ201120P40</stp>
        <tr r="M184" s="1"/>
      </tp>
      <tp t="s">
        <v>N/A</v>
        <stp/>
        <stp>THETA</stp>
        <stp>.EFV201120C45</stp>
        <tr r="O109" s="1"/>
      </tp>
      <tp t="s">
        <v>N/A</v>
        <stp/>
        <stp>THETA</stp>
        <stp>.XBI201120P125.5</stp>
        <tr r="O779" s="1"/>
      </tp>
      <tp>
        <v>0</v>
        <stp/>
        <stp>THETA</stp>
        <stp>VTI</stp>
        <tr r="O739" s="1"/>
      </tp>
      <tp>
        <v>80.86</v>
        <stp/>
        <stp>HIGH</stp>
        <stp>ITOT</stp>
        <tr r="J297" s="1"/>
      </tp>
      <tp t="s">
        <v>N/A</v>
        <stp/>
        <stp>GAMMA</stp>
        <stp>.EFV201120P45</stp>
        <tr r="N110" s="1"/>
      </tp>
      <tp>
        <v>0</v>
        <stp/>
        <stp>VEGA</stp>
        <stp>ITOT</stp>
        <tr r="P297" s="1"/>
      </tp>
      <tp>
        <v>0</v>
        <stp/>
        <stp>THETA</stp>
        <stp>VYM</stp>
        <tr r="O758" s="1"/>
      </tp>
      <tp t="s">
        <v>N/A</v>
        <stp/>
        <stp>DELTA</stp>
        <stp>.DVY201120C93</stp>
        <tr r="M89" s="1"/>
      </tp>
      <tp t="s">
        <v>N/A</v>
        <stp/>
        <stp>DELTA</stp>
        <stp>.DVY201120C92</stp>
        <tr r="M87" s="1"/>
      </tp>
      <tp t="s">
        <v>N/A</v>
        <stp/>
        <stp>DELTA</stp>
        <stp>.DVY201120C91</stp>
        <tr r="M85" s="1"/>
      </tp>
      <tp t="s">
        <v>N/A</v>
        <stp/>
        <stp>DELTA</stp>
        <stp>.VEU201120P55</stp>
        <tr r="M712" s="1"/>
      </tp>
      <tp t="s">
        <v>N/A</v>
        <stp/>
        <stp>THETA</stp>
        <stp>.XBI201120C125.5</stp>
        <tr r="O778" s="1"/>
      </tp>
      <tp>
        <v>0</v>
        <stp/>
        <stp>THETA</stp>
        <stp>VGK</stp>
        <tr r="O721" s="1"/>
      </tp>
      <tp>
        <v>0</v>
        <stp/>
        <stp>THETA</stp>
        <stp>VFH</stp>
        <tr r="O713" s="1"/>
      </tp>
      <tp>
        <v>0</v>
        <stp/>
        <stp>THETA</stp>
        <stp>VEA</stp>
        <tr r="O707" s="1"/>
      </tp>
      <tp>
        <v>0</v>
        <stp/>
        <stp>THETA</stp>
        <stp>VEU</stp>
        <tr r="O710" s="1"/>
      </tp>
      <tp t="s">
        <v>N/A</v>
        <stp/>
        <stp>DELTA</stp>
        <stp>.XBI201120P125.5</stp>
        <tr r="M779" s="1"/>
      </tp>
      <tp t="s">
        <v>N/A</v>
        <stp/>
        <stp>THETA</stp>
        <stp>.EFA201120C69</stp>
        <tr r="O102" s="1"/>
      </tp>
      <tp t="s">
        <v>N/A</v>
        <stp/>
        <stp>GAMMA</stp>
        <stp>.VFH201120P66</stp>
        <tr r="N715" s="1"/>
      </tp>
      <tp t="s">
        <v>N/A</v>
        <stp/>
        <stp>GAMMA</stp>
        <stp>.VFH201120P67</stp>
        <tr r="N717" s="1"/>
      </tp>
      <tp t="s">
        <v>N/A</v>
        <stp/>
        <stp>THETA</stp>
        <stp>.EFA201120C70</stp>
        <tr r="O106" s="1"/>
      </tp>
      <tp>
        <v>0</v>
        <stp/>
        <stp>VEGA</stp>
        <stp>MTUM</stp>
        <tr r="P426" s="1"/>
      </tp>
      <tp t="s">
        <v>N/A</v>
        <stp/>
        <stp>DELTA</stp>
        <stp>.EEM201120P48</stp>
        <tr r="M98" s="1"/>
      </tp>
      <tp>
        <v>0</v>
        <stp/>
        <stp>THETA</stp>
        <stp>VOO</stp>
        <tr r="O729" s="1"/>
      </tp>
      <tp>
        <v>0</v>
        <stp/>
        <stp>THETA</stp>
        <stp>VNQ</stp>
        <tr r="O724" s="1"/>
      </tp>
      <tp t="s">
        <v>N/A</v>
        <stp/>
        <stp>DELTA</stp>
        <stp>.FVD201120C35</stp>
        <tr r="M186" s="1"/>
      </tp>
      <tp t="s">
        <v>N/A</v>
        <stp/>
        <stp>DELTA</stp>
        <stp>.VEA201120P44</stp>
        <tr r="M709" s="1"/>
      </tp>
      <tp t="s">
        <v>N/A</v>
        <stp/>
        <stp>GAMMA</stp>
        <stp>.EFA201120P70</stp>
        <tr r="N107" s="1"/>
      </tp>
      <tp t="s">
        <v>N/A</v>
        <stp/>
        <stp>GAMMA</stp>
        <stp>.EFA201120P69</stp>
        <tr r="N103" s="1"/>
      </tp>
      <tp t="s">
        <v>N/A</v>
        <stp/>
        <stp>THETA</stp>
        <stp>.VFH201120C66</stp>
        <tr r="O714" s="1"/>
      </tp>
      <tp t="s">
        <v>N/A</v>
        <stp/>
        <stp>THETA</stp>
        <stp>.VFH201120C67</stp>
        <tr r="O716" s="1"/>
      </tp>
      <tp>
        <v>151.86000000000001</v>
        <stp/>
        <stp>HIGH</stp>
        <stp>MTUM</stp>
        <tr r="J426" s="1"/>
      </tp>
      <tp t="s">
        <v>N/A</v>
        <stp/>
        <stp>PUT_CALL_RATIO</stp>
        <stp>.FEZ201120P40</stp>
        <tr r="C184" s="1"/>
      </tp>
      <tp t="s">
        <v>N/A</v>
        <stp/>
        <stp>BID</stp>
        <stp>.MTUM201120C151</stp>
        <tr r="H431" s="1"/>
      </tp>
      <tp t="s">
        <v>N/A</v>
        <stp/>
        <stp>BID</stp>
        <stp>.MTUM201120P151</stp>
        <tr r="H432" s="1"/>
      </tp>
      <tp>
        <v>0.95</v>
        <stp/>
        <stp>BID</stp>
        <stp>.MTUM201120C150</stp>
        <tr r="H429" s="1"/>
      </tp>
      <tp t="s">
        <v>N/A</v>
        <stp/>
        <stp>BID</stp>
        <stp>.MTUM201120P150</stp>
        <tr r="H430" s="1"/>
      </tp>
      <tp>
        <v>0.4</v>
        <stp/>
        <stp>BID</stp>
        <stp>.MTUM201120C152</stp>
        <tr r="H433" s="1"/>
      </tp>
      <tp t="s">
        <v>N/A</v>
        <stp/>
        <stp>BID</stp>
        <stp>.MTUM201120P152</stp>
        <tr r="H434" s="1"/>
      </tp>
      <tp>
        <v>1.4</v>
        <stp/>
        <stp>BID</stp>
        <stp>.MTUM201120C149</stp>
        <tr r="H427" s="1"/>
      </tp>
      <tp t="s">
        <v>N/A</v>
        <stp/>
        <stp>BID</stp>
        <stp>.MTUM201120P149</stp>
        <tr r="H428" s="1"/>
      </tp>
      <tp t="s">
        <v>N/A</v>
        <stp/>
        <stp>VOLUME</stp>
        <stp>.VFH201120P67</stp>
        <tr r="F717" s="1"/>
      </tp>
      <tp t="s">
        <v>N/A</v>
        <stp/>
        <stp>VOLUME</stp>
        <stp>.VFH201120P66</stp>
        <tr r="F715" s="1"/>
      </tp>
      <tp t="s">
        <v>N/A</v>
        <stp/>
        <stp>PUT_CALL_RATIO</stp>
        <stp>.DVY201120C91</stp>
        <tr r="C85" s="1"/>
      </tp>
      <tp t="s">
        <v>N/A</v>
        <stp/>
        <stp>PUT_CALL_RATIO</stp>
        <stp>.DVY201120C93</stp>
        <tr r="C89" s="1"/>
      </tp>
      <tp t="s">
        <v>N/A</v>
        <stp/>
        <stp>PUT_CALL_RATIO</stp>
        <stp>.DVY201120C92</stp>
        <tr r="C87" s="1"/>
      </tp>
      <tp t="s">
        <v>N/A</v>
        <stp/>
        <stp>PUT_CALL_RATIO</stp>
        <stp>.VEU201120P55</stp>
        <tr r="C712" s="1"/>
      </tp>
      <tp>
        <v>152</v>
        <stp/>
        <stp>VOLUME</stp>
        <stp>.EFA201120P69</stp>
        <tr r="F103" s="1"/>
      </tp>
      <tp t="s">
        <v>N/A</v>
        <stp/>
        <stp>STRIKE</stp>
        <stp>.VNQ201120C85</stp>
        <tr r="W727" s="1"/>
      </tp>
      <tp t="s">
        <v>N/A</v>
        <stp/>
        <stp>STRIKE</stp>
        <stp>.VNQ201120C84</stp>
        <tr r="W725" s="1"/>
      </tp>
      <tp t="s">
        <v>N/A</v>
        <stp/>
        <stp>VOLUME</stp>
        <stp>.EFA201120P70</stp>
        <tr r="F107" s="1"/>
      </tp>
      <tp t="s">
        <v>N/A</v>
        <stp/>
        <stp>PUT_CALL_RATIO</stp>
        <stp>.EEM201120P48</stp>
        <tr r="C98" s="1"/>
      </tp>
      <tp t="s">
        <v>N/A</v>
        <stp/>
        <stp>DESCRIPTION</stp>
        <stp>.ITOT201120P81</stp>
        <tr r="B301" s="1"/>
      </tp>
      <tp t="s">
        <v>N/A</v>
        <stp/>
        <stp>DESCRIPTION</stp>
        <stp>.ITOT201120P80</stp>
        <tr r="B299" s="1"/>
      </tp>
      <tp t="s">
        <v>N/A</v>
        <stp/>
        <stp>PUT_CALL_RATIO</stp>
        <stp>.VEA201120P44</stp>
        <tr r="C709" s="1"/>
      </tp>
      <tp t="s">
        <v>N/A</v>
        <stp/>
        <stp>VOLUME</stp>
        <stp>.EFV201120P45</stp>
        <tr r="F110" s="1"/>
      </tp>
      <tp t="s">
        <v>N/A</v>
        <stp/>
        <stp>PUT_CALL_RATIO</stp>
        <stp>.FVD201120C35</stp>
        <tr r="C186" s="1"/>
      </tp>
      <tp t="s">
        <v>N/A</v>
        <stp/>
        <stp>PROB_OF_TOUCHING</stp>
        <stp>.ITB201120P56</stp>
        <tr r="V296" s="1"/>
      </tp>
      <tp t="s">
        <v>N/A</v>
        <stp/>
        <stp>PROB_OF_TOUCHING</stp>
        <stp>.ITB201120P55</stp>
        <tr r="V292" s="1"/>
      </tp>
      <tp t="s">
        <v>N/A</v>
        <stp/>
        <stp>PUT_CALL_RATIO</stp>
        <stp>.VT201120C86</stp>
        <tr r="C735" s="1"/>
      </tp>
      <tp t="s">
        <v>N/A</v>
        <stp/>
        <stp>PUT_CALL_RATIO</stp>
        <stp>.VT201120C87</stp>
        <tr r="C737" s="1"/>
      </tp>
      <tp t="s">
        <v>N/A</v>
        <stp/>
        <stp>INTRINSIC</stp>
        <stp>.PDBC201120P14</stp>
        <tr r="R453" s="1"/>
      </tp>
      <tp t="s">
        <v>N/A</v>
        <stp/>
        <stp>IMPL_VOL</stp>
        <stp>.EFA201120C69</stp>
        <tr r="D102" s="1"/>
      </tp>
      <tp t="s">
        <v>N/A</v>
        <stp/>
        <stp>IMPL_VOL</stp>
        <stp>.EFA201120C70</stp>
        <tr r="D106" s="1"/>
      </tp>
      <tp t="s">
        <v>N/A</v>
        <stp/>
        <stp>PROB_OF_EXPIRING</stp>
        <stp>.XME201120C27</stp>
        <tr r="T887" s="1"/>
      </tp>
      <tp t="s">
        <v>N/A</v>
        <stp/>
        <stp>PROB_OTM</stp>
        <stp>.BZQ201120P12</stp>
        <tr r="U53" s="1"/>
      </tp>
      <tp t="s">
        <v>N/A</v>
        <stp/>
        <stp>PROB_OTM</stp>
        <stp>.EZU201120P42</stp>
        <tr r="U179" s="1"/>
      </tp>
      <tp t="s">
        <v>N/A</v>
        <stp/>
        <stp>PROB_OF_TOUCHING</stp>
        <stp>.VGK201120C57</stp>
        <tr r="V722" s="1"/>
      </tp>
      <tp t="s">
        <v>N/A</v>
        <stp/>
        <stp>IMPL_VOL</stp>
        <stp>.VFH201120C66</stp>
        <tr r="D714" s="1"/>
      </tp>
      <tp t="s">
        <v>N/A</v>
        <stp/>
        <stp>IMPL_VOL</stp>
        <stp>.VFH201120C67</stp>
        <tr r="D716" s="1"/>
      </tp>
      <tp t="s">
        <v>N/A</v>
        <stp/>
        <stp>EXTRINSIC</stp>
        <stp>.JETS201120P20</stp>
        <tr r="S379" s="1"/>
      </tp>
      <tp t="s">
        <v>N/A</v>
        <stp/>
        <stp>PUT_CALL_RATIO</stp>
        <stp>.QLD201120C101</stp>
        <tr r="C473" s="1"/>
      </tp>
      <tp t="s">
        <v>N/A</v>
        <stp/>
        <stp>PUT_CALL_RATIO</stp>
        <stp>.QLD201120P101</stp>
        <tr r="C474" s="1"/>
      </tp>
      <tp t="s">
        <v>N/A</v>
        <stp/>
        <stp>PUT_CALL_RATIO</stp>
        <stp>.QLD201120C100</stp>
        <tr r="C471" s="1"/>
      </tp>
      <tp t="s">
        <v>N/A</v>
        <stp/>
        <stp>PUT_CALL_RATIO</stp>
        <stp>.QLD201120P100</stp>
        <tr r="C472" s="1"/>
      </tp>
      <tp t="s">
        <v>N/A</v>
        <stp/>
        <stp>PUT_CALL_RATIO</stp>
        <stp>.IWD201120P130</stp>
        <tr r="C339" s="1"/>
      </tp>
      <tp t="s">
        <v>N/A</v>
        <stp/>
        <stp>PUT_CALL_RATIO</stp>
        <stp>.LQD201120P135</stp>
        <tr r="C408" s="1"/>
      </tp>
      <tp t="s">
        <v>N/A</v>
        <stp/>
        <stp>PUT_CALL_RATIO</stp>
        <stp>.IWD201120C130</stp>
        <tr r="C338" s="1"/>
      </tp>
      <tp t="s">
        <v>N/A</v>
        <stp/>
        <stp>PUT_CALL_RATIO</stp>
        <stp>.LQD201120C135</stp>
        <tr r="C407" s="1"/>
      </tp>
      <tp t="s">
        <v>N/A</v>
        <stp/>
        <stp>IMPL_VOL</stp>
        <stp>.EFV201120C45</stp>
        <tr r="D109" s="1"/>
      </tp>
      <tp t="s">
        <v>N/A</v>
        <stp/>
        <stp>OPEN_INT</stp>
        <stp>.XOP201120P47</stp>
        <tr r="G891" s="1"/>
      </tp>
      <tp t="s">
        <v>N/A</v>
        <stp/>
        <stp>OPEN_INT</stp>
        <stp>.XOP201120P48</stp>
        <tr r="G895" s="1"/>
      </tp>
      <tp t="s">
        <v>N/A</v>
        <stp/>
        <stp>OPEN_INT</stp>
        <stp>.XOP201120P49</stp>
        <tr r="G899" s="1"/>
      </tp>
      <tp t="s">
        <v>N/A</v>
        <stp/>
        <stp>PUT_CALL_RATIO</stp>
        <stp>.IWD201120P129</stp>
        <tr r="C337" s="1"/>
      </tp>
      <tp t="s">
        <v>N/A</v>
        <stp/>
        <stp>PUT_CALL_RATIO</stp>
        <stp>.IWD201120C129</stp>
        <tr r="C336" s="1"/>
      </tp>
      <tp t="s">
        <v>N/A</v>
        <stp/>
        <stp>PUT_CALL_RATIO</stp>
        <stp>.IWD201120P128</stp>
        <tr r="C335" s="1"/>
      </tp>
      <tp t="s">
        <v>N/A</v>
        <stp/>
        <stp>PUT_CALL_RATIO</stp>
        <stp>.IWD201120C128</stp>
        <tr r="C334" s="1"/>
      </tp>
      <tp t="s">
        <v>N/A</v>
        <stp/>
        <stp>PROB_OF_TOUCHING</stp>
        <stp>.PGX201120C15</stp>
        <tr r="V455" s="1"/>
      </tp>
      <tp t="s">
        <v>N/A</v>
        <stp/>
        <stp>IMPL_VOL</stp>
        <stp>.ARKK201120C97</stp>
        <tr r="D26" s="1"/>
      </tp>
      <tp t="s">
        <v>N/A</v>
        <stp/>
        <stp>IMPL_VOL</stp>
        <stp>.AAXJ201120P84</stp>
        <tr r="D6" s="1"/>
      </tp>
      <tp t="s">
        <v>N/A</v>
        <stp/>
        <stp>IMPL_VOL</stp>
        <stp>.AAXJ201120P83</stp>
        <tr r="D4" s="1"/>
      </tp>
      <tp t="s">
        <v>N/A</v>
        <stp/>
        <stp>IMPL_VOL</stp>
        <stp>.ARKK201120C99</stp>
        <tr r="D30" s="1"/>
      </tp>
      <tp t="s">
        <v>N/A</v>
        <stp/>
        <stp>IMPL_VOL</stp>
        <stp>.ARKK201120C98</stp>
        <tr r="D28" s="1"/>
      </tp>
      <tp>
        <v>2.4700000000000002</v>
        <stp/>
        <stp>BID</stp>
        <stp>.SPY201120C357.5</stp>
        <tr r="H619" s="1"/>
      </tp>
      <tp>
        <v>96</v>
        <stp/>
        <stp>OPEN_INT</stp>
        <stp>.IEMG201120C58</stp>
        <tr r="G259" s="1"/>
      </tp>
      <tp>
        <v>258</v>
        <stp/>
        <stp>OPEN_INT</stp>
        <stp>.IEMG201120C57</stp>
        <tr r="G257" s="1"/>
      </tp>
      <tp t="s">
        <v>N/A</v>
        <stp/>
        <stp>PROB_OTM</stp>
        <stp>.XLRE201120C37</stp>
        <tr r="U847" s="1"/>
      </tp>
      <tp t="s">
        <v>N/A</v>
        <stp/>
        <stp>RHO</stp>
        <stp>.SMH201120P196.5</stp>
        <tr r="Q569" s="1"/>
      </tp>
      <tp t="s">
        <v>N/A</v>
        <stp/>
        <stp>PROB_OF_EXPIRING</stp>
        <stp>.SRVR201120P35</stp>
        <tr r="T639" s="1"/>
      </tp>
      <tp t="s">
        <v>N/A</v>
        <stp/>
        <stp>PROB_OF_EXPIRING</stp>
        <stp>.SRVR201120P36</stp>
        <tr r="T641" s="1"/>
      </tp>
      <tp>
        <v>3.1</v>
        <stp/>
        <stp>ASK</stp>
        <stp>.IVV201120C357.5</stp>
        <tr r="I318" s="1"/>
      </tp>
      <tp t="s">
        <v>N/A</v>
        <stp/>
        <stp>ASK</stp>
        <stp>.IWF201120C227.5</stp>
        <tr r="I343" s="1"/>
      </tp>
      <tp t="s">
        <v>N/A</v>
        <stp/>
        <stp>IMPL_VOL</stp>
        <stp>.GDXJ201120P53</stp>
        <tr r="D208" s="1"/>
      </tp>
      <tp t="s">
        <v>N/A</v>
        <stp/>
        <stp>IMPL_VOL</stp>
        <stp>.GDXJ201120P52</stp>
        <tr r="D204" s="1"/>
      </tp>
      <tp t="s">
        <v>N/A</v>
        <stp/>
        <stp>IMPL_VOL</stp>
        <stp>.GDXJ201120P54</stp>
        <tr r="D212" s="1"/>
      </tp>
      <tp t="s">
        <v>N/A</v>
        <stp/>
        <stp>PROB_OTM</stp>
        <stp>.DGRO201120C43</stp>
        <tr r="U60" s="1"/>
      </tp>
      <tp>
        <v>1.36</v>
        <stp/>
        <stp>LOW</stp>
        <stp>.TLT201120C156.5</stp>
        <tr r="K696" s="1"/>
      </tp>
      <tp>
        <v>5.7</v>
        <stp/>
        <stp>BID</stp>
        <stp>.SMH201120P197.5</stp>
        <tr r="H573" s="1"/>
      </tp>
      <tp>
        <v>40</v>
        <stp/>
        <stp>OPEN_INT</stp>
        <stp>.USMV201120C67</stp>
        <tr r="G699" s="1"/>
      </tp>
      <tp t="s">
        <v>N/A</v>
        <stp/>
        <stp>PROB_OF_EXPIRING</stp>
        <stp>.KWEB201120C74</stp>
        <tr r="T402" s="1"/>
      </tp>
      <tp t="s">
        <v>N/A</v>
        <stp/>
        <stp>PROB_OF_EXPIRING</stp>
        <stp>.KWEB201120C73</stp>
        <tr r="T400" s="1"/>
      </tp>
      <tp t="s">
        <v>N/A</v>
        <stp/>
        <stp>PROB_OF_EXPIRING</stp>
        <stp>.KWEB201120C72</stp>
        <tr r="T398" s="1"/>
      </tp>
      <tp>
        <v>6.1</v>
        <stp/>
        <stp>BID</stp>
        <stp>.SPY201120P357.5</stp>
        <tr r="H620" s="1"/>
      </tp>
      <tp t="s">
        <v>N/A</v>
        <stp/>
        <stp>GAMMA</stp>
        <stp>.GDXJ201120P53.5</stp>
        <tr r="N210" s="1"/>
      </tp>
      <tp t="s">
        <v>N/A</v>
        <stp/>
        <stp>GAMMA</stp>
        <stp>.GDXJ201120C53.5</stp>
        <tr r="N209" s="1"/>
      </tp>
      <tp t="s">
        <v>N/A</v>
        <stp/>
        <stp>RHO</stp>
        <stp>.SMH201120C196.5</stp>
        <tr r="Q568" s="1"/>
      </tp>
      <tp>
        <v>5.5</v>
        <stp/>
        <stp>ASK</stp>
        <stp>.IWF201120P227.5</stp>
        <tr r="I344" s="1"/>
      </tp>
      <tp t="s">
        <v>N/A</v>
        <stp/>
        <stp>PROB_OF_EXPIRING</stp>
        <stp>.DFEN201120C13</stp>
        <tr r="T55" s="1"/>
      </tp>
      <tp t="s">
        <v>N/A</v>
        <stp/>
        <stp>PROB_OF_EXPIRING</stp>
        <stp>.DFEN201120C14</stp>
        <tr r="T57" s="1"/>
      </tp>
      <tp>
        <v>6.5</v>
        <stp/>
        <stp>ASK</stp>
        <stp>.IVV201120P357.5</stp>
        <tr r="I319" s="1"/>
      </tp>
      <tp>
        <v>1.51</v>
        <stp/>
        <stp>BID</stp>
        <stp>.SMH201120C197.5</stp>
        <tr r="H572" s="1"/>
      </tp>
      <tp>
        <v>0.56999999999999995</v>
        <stp/>
        <stp>LOW</stp>
        <stp>.TLT201120P156.5</stp>
        <tr r="K697" s="1"/>
      </tp>
      <tp t="s">
        <v>N/A</v>
        <stp/>
        <stp>DELTA</stp>
        <stp>.XBI201120C124.5</stp>
        <tr r="M774" s="1"/>
      </tp>
      <tp t="s">
        <v>N/A</v>
        <stp/>
        <stp>DELTA</stp>
        <stp>.EWY201120C73</stp>
        <tr r="M168" s="1"/>
      </tp>
      <tp t="s">
        <v>N/A</v>
        <stp/>
        <stp>DELTA</stp>
        <stp>.EWY201120C72</stp>
        <tr r="M164" s="1"/>
      </tp>
      <tp>
        <v>0</v>
        <stp/>
        <stp>VEGA</stp>
        <stp>QUAL</stp>
        <tr r="P498" s="1"/>
      </tp>
      <tp>
        <v>1.35</v>
        <stp/>
        <stp>ASK</stp>
        <stp>.INDA201120P36.5</stp>
        <tr r="I284" s="1"/>
      </tp>
      <tp t="s">
        <v>N/A</v>
        <stp/>
        <stp>ASK</stp>
        <stp>.INDA201120C36.5</stp>
        <tr r="I283" s="1"/>
      </tp>
      <tp t="s">
        <v>N/A</v>
        <stp/>
        <stp>THETA</stp>
        <stp>.XBI201120P124.5</stp>
        <tr r="O775" s="1"/>
      </tp>
      <tp t="s">
        <v>N/A</v>
        <stp/>
        <stp>GAMMA</stp>
        <stp>.PGX201120P15</stp>
        <tr r="N456" s="1"/>
      </tp>
      <tp>
        <v>0</v>
        <stp/>
        <stp>VEGA</stp>
        <stp>EUFN</stp>
        <tr r="P117" s="1"/>
      </tp>
      <tp t="s">
        <v>N/A</v>
        <stp/>
        <stp>DELTA</stp>
        <stp>.GDX201120P37</stp>
        <tr r="M199" s="1"/>
      </tp>
      <tp t="s">
        <v>N/A</v>
        <stp/>
        <stp>DELTA</stp>
        <stp>.EWZ201120C32</stp>
        <tr r="M175" s="1"/>
      </tp>
      <tp>
        <v>75.69</v>
        <stp/>
        <stp>OPEN</stp>
        <stp>KWEB</stp>
        <tr r="L397" s="1"/>
      </tp>
      <tp t="s">
        <v>N/A</v>
        <stp/>
        <stp>DELTA</stp>
        <stp>.EWW201120C39</stp>
        <tr r="M157" s="1"/>
      </tp>
      <tp t="s">
        <v>N/A</v>
        <stp/>
        <stp>THETA</stp>
        <stp>.PGX201120C15</stp>
        <tr r="O455" s="1"/>
      </tp>
      <tp>
        <v>110.82</v>
        <stp/>
        <stp>HIGH</stp>
        <stp>QUAL</stp>
        <tr r="J498" s="1"/>
      </tp>
      <tp>
        <v>15.99</v>
        <stp/>
        <stp>HIGH</stp>
        <stp>EUFN</stp>
        <tr r="J117" s="1"/>
      </tp>
      <tp t="s">
        <v>N/A</v>
        <stp/>
        <stp>DELTA</stp>
        <stp>.EWP201120C26</stp>
        <tr r="M146" s="1"/>
      </tp>
      <tp t="s">
        <v>N/A</v>
        <stp/>
        <stp>DELTA</stp>
        <stp>.SDS201120P14</stp>
        <tr r="M541" s="1"/>
      </tp>
      <tp t="s">
        <v>N/A</v>
        <stp/>
        <stp>THETA</stp>
        <stp>.XLY201120P154.5</stp>
        <tr r="O881" s="1"/>
      </tp>
      <tp>
        <v>83.27</v>
        <stp/>
        <stp>LAST</stp>
        <stp>AAXJ</stp>
        <tr r="E2" s="1"/>
      </tp>
      <tp t="s">
        <v>N/A</v>
        <stp/>
        <stp>DELTA</stp>
        <stp>.XLY201120C154.5</stp>
        <tr r="M880" s="1"/>
      </tp>
      <tp t="s">
        <v>N/A</v>
        <stp/>
        <stp>DELTA</stp>
        <stp>.EWT201120C48</stp>
        <tr r="M149" s="1"/>
      </tp>
      <tp>
        <v>0</v>
        <stp/>
        <stp>VEGA</stp>
        <stp>GUSH</stp>
        <tr r="P213" s="1"/>
      </tp>
      <tp t="s">
        <v>N/A</v>
        <stp/>
        <stp>THETA</stp>
        <stp>.XBI201120C124.5</stp>
        <tr r="O774" s="1"/>
      </tp>
      <tp t="s">
        <v>N/A</v>
        <stp/>
        <stp>DELTA</stp>
        <stp>.RWM201120C29</stp>
        <tr r="M518" s="1"/>
      </tp>
      <tp t="s">
        <v>N/A</v>
        <stp/>
        <stp>DELTA</stp>
        <stp>.EWJ201120C63</stp>
        <tr r="M136" s="1"/>
      </tp>
      <tp t="s">
        <v>N/A</v>
        <stp/>
        <stp>DELTA</stp>
        <stp>.EWJ201120C64</stp>
        <tr r="M140" s="1"/>
      </tp>
      <tp t="s">
        <v>N/A</v>
        <stp/>
        <stp>DELTA</stp>
        <stp>.XBI201120P124.5</stp>
        <tr r="M775" s="1"/>
      </tp>
      <tp t="s">
        <v>N/A</v>
        <stp/>
        <stp>THETA</stp>
        <stp>.ITB201120P56</stp>
        <tr r="O296" s="1"/>
      </tp>
      <tp t="s">
        <v>N/A</v>
        <stp/>
        <stp>THETA</stp>
        <stp>.ITB201120P55</stp>
        <tr r="O292" s="1"/>
      </tp>
      <tp t="s">
        <v>N/A</v>
        <stp/>
        <stp>GAMMA</stp>
        <stp>.VGK201120P57</stp>
        <tr r="N723" s="1"/>
      </tp>
      <tp t="s">
        <v>N/A</v>
        <stp/>
        <stp>DELTA</stp>
        <stp>.EWH201120C24</stp>
        <tr r="M130" s="1"/>
      </tp>
      <tp t="s">
        <v>N/A</v>
        <stp/>
        <stp>DELTA</stp>
        <stp>.VWO201120C47</stp>
        <tr r="M751" s="1"/>
      </tp>
      <tp t="s">
        <v>N/A</v>
        <stp/>
        <stp>DELTA</stp>
        <stp>.EWI201120C27</stp>
        <tr r="M133" s="1"/>
      </tp>
      <tp t="s">
        <v>N/A</v>
        <stp/>
        <stp>DELTA</stp>
        <stp>.EWL201120C43</stp>
        <tr r="M143" s="1"/>
      </tp>
      <tp>
        <v>27.05</v>
        <stp/>
        <stp>HIGH</stp>
        <stp>GUSH</stp>
        <tr r="J213" s="1"/>
      </tp>
      <tp t="s">
        <v>N/A</v>
        <stp/>
        <stp>DELTA</stp>
        <stp>.EWG201120C30</stp>
        <tr r="M127" s="1"/>
      </tp>
      <tp t="s">
        <v>N/A</v>
        <stp/>
        <stp>DELTA</stp>
        <stp>.XLY201120P154.5</stp>
        <tr r="M881" s="1"/>
      </tp>
      <tp t="s">
        <v>N/A</v>
        <stp/>
        <stp>THETA</stp>
        <stp>.VGK201120C57</stp>
        <tr r="O722" s="1"/>
      </tp>
      <tp t="s">
        <v>N/A</v>
        <stp/>
        <stp>DELTA</stp>
        <stp>.EWA201120C22</stp>
        <tr r="M121" s="1"/>
      </tp>
      <tp t="s">
        <v>N/A</v>
        <stp/>
        <stp>GAMMA</stp>
        <stp>.ITB201120C56</stp>
        <tr r="N295" s="1"/>
      </tp>
      <tp t="s">
        <v>N/A</v>
        <stp/>
        <stp>GAMMA</stp>
        <stp>.ITB201120C55</stp>
        <tr r="N291" s="1"/>
      </tp>
      <tp t="s">
        <v>N/A</v>
        <stp/>
        <stp>THETA</stp>
        <stp>.XLY201120C154.5</stp>
        <tr r="O880" s="1"/>
      </tp>
      <tp>
        <v>43.81</v>
        <stp/>
        <stp>LAST</stp>
        <stp>NAIL</stp>
        <tr r="E438" s="1"/>
      </tp>
      <tp>
        <v>2.59</v>
        <stp/>
        <stp>HIGH</stp>
        <stp>.ARKK201120C100</stp>
        <tr r="J32" s="1"/>
      </tp>
      <tp>
        <v>3</v>
        <stp/>
        <stp>HIGH</stp>
        <stp>.ARKK201120P100</stp>
        <tr r="J33" s="1"/>
      </tp>
      <tp t="s">
        <v>N/A</v>
        <stp/>
        <stp>DELTA</stp>
        <stp>.EWC201120C29</stp>
        <tr r="M124" s="1"/>
      </tp>
      <tp t="s">
        <v>N/A</v>
        <stp/>
        <stp>PUT_CALL_RATIO</stp>
        <stp>.EWY201120C73</stp>
        <tr r="C168" s="1"/>
      </tp>
      <tp t="s">
        <v>N/A</v>
        <stp/>
        <stp>PUT_CALL_RATIO</stp>
        <stp>.EWY201120C72</stp>
        <tr r="C164" s="1"/>
      </tp>
      <tp t="s">
        <v>N/A</v>
        <stp/>
        <stp>STRIKE</stp>
        <stp>.XOP201120C47</stp>
        <tr r="W890" s="1"/>
      </tp>
      <tp t="s">
        <v>N/A</v>
        <stp/>
        <stp>STRIKE</stp>
        <stp>.XOP201120C49</stp>
        <tr r="W898" s="1"/>
      </tp>
      <tp t="s">
        <v>N/A</v>
        <stp/>
        <stp>STRIKE</stp>
        <stp>.XOP201120C48</stp>
        <tr r="W894" s="1"/>
      </tp>
      <tp t="s">
        <v>N/A</v>
        <stp/>
        <stp>RHO</stp>
        <stp>.PDBC201120C14</stp>
        <tr r="Q452" s="1"/>
      </tp>
      <tp t="s">
        <v>N/A</v>
        <stp/>
        <stp>PUT_CALL_RATIO</stp>
        <stp>.EWZ201120C32</stp>
        <tr r="C175" s="1"/>
      </tp>
      <tp>
        <v>0</v>
        <stp/>
        <stp>VOLUME</stp>
        <stp>.VGK201120P57</stp>
        <tr r="F723" s="1"/>
      </tp>
      <tp t="s">
        <v>N/A</v>
        <stp/>
        <stp>PUT_CALL_RATIO</stp>
        <stp>.GDX201120P37</stp>
        <tr r="C199" s="1"/>
      </tp>
      <tp t="s">
        <v>N/A</v>
        <stp/>
        <stp>PUT_CALL_RATIO</stp>
        <stp>.EWW201120C39</stp>
        <tr r="C157" s="1"/>
      </tp>
      <tp t="s">
        <v>N/A</v>
        <stp/>
        <stp>PUT_CALL_RATIO</stp>
        <stp>.EWT201120C48</stp>
        <tr r="C149" s="1"/>
      </tp>
      <tp t="s">
        <v>N/A</v>
        <stp/>
        <stp>VOLUME</stp>
        <stp>.ITB201120C56</stp>
        <tr r="F295" s="1"/>
      </tp>
      <tp t="s">
        <v>N/A</v>
        <stp/>
        <stp>VOLUME</stp>
        <stp>.ITB201120C55</stp>
        <tr r="F291" s="1"/>
      </tp>
      <tp t="s">
        <v>N/A</v>
        <stp/>
        <stp>PUT_CALL_RATIO</stp>
        <stp>.SDS201120P14</stp>
        <tr r="C541" s="1"/>
      </tp>
      <tp t="s">
        <v>N/A</v>
        <stp/>
        <stp>PUT_CALL_RATIO</stp>
        <stp>.EWP201120C26</stp>
        <tr r="C146" s="1"/>
      </tp>
      <tp t="s">
        <v>N/A</v>
        <stp/>
        <stp>VOLUME</stp>
        <stp>.PGX201120P15</stp>
        <tr r="F456" s="1"/>
      </tp>
      <tp t="s">
        <v>N/A</v>
        <stp/>
        <stp>PUT_CALL_RATIO</stp>
        <stp>.EWJ201120C63</stp>
        <tr r="C136" s="1"/>
      </tp>
      <tp t="s">
        <v>N/A</v>
        <stp/>
        <stp>PUT_CALL_RATIO</stp>
        <stp>.EWJ201120C64</stp>
        <tr r="C140" s="1"/>
      </tp>
      <tp t="s">
        <v>N/A</v>
        <stp/>
        <stp>PUT_CALL_RATIO</stp>
        <stp>.RWM201120C29</stp>
        <tr r="C518" s="1"/>
      </tp>
      <tp>
        <v>0</v>
        <stp/>
        <stp>BID</stp>
        <stp>.PDBC201120C14</stp>
        <tr r="H452" s="1"/>
      </tp>
      <tp t="s">
        <v>N/A</v>
        <stp/>
        <stp>PUT_CALL_RATIO</stp>
        <stp>.EWL201120C43</stp>
        <tr r="C143" s="1"/>
      </tp>
      <tp t="s">
        <v>N/A</v>
        <stp/>
        <stp>PUT_CALL_RATIO</stp>
        <stp>.EWH201120C24</stp>
        <tr r="C130" s="1"/>
      </tp>
      <tp>
        <v>0.35</v>
        <stp/>
        <stp>ASK</stp>
        <stp>.PDBC201120C14</stp>
        <tr r="I452" s="1"/>
      </tp>
      <tp t="s">
        <v>N/A</v>
        <stp/>
        <stp>PUT_CALL_RATIO</stp>
        <stp>.VWO201120C47</stp>
        <tr r="C751" s="1"/>
      </tp>
      <tp t="s">
        <v>N/A</v>
        <stp/>
        <stp>PUT_CALL_RATIO</stp>
        <stp>.EWI201120C27</stp>
        <tr r="C133" s="1"/>
      </tp>
      <tp t="s">
        <v>N/A</v>
        <stp/>
        <stp>PUT_CALL_RATIO</stp>
        <stp>.EWG201120C30</stp>
        <tr r="C127" s="1"/>
      </tp>
      <tp>
        <v>0</v>
        <stp/>
        <stp>LOW</stp>
        <stp>.PDBC201120C14</stp>
        <tr r="K452" s="1"/>
      </tp>
      <tp t="s">
        <v>N/A</v>
        <stp/>
        <stp>PUT_CALL_RATIO</stp>
        <stp>.EWC201120C29</stp>
        <tr r="C124" s="1"/>
      </tp>
      <tp>
        <v>0.15</v>
        <stp/>
        <stp>BID</stp>
        <stp>.QUAL201120P110</stp>
        <tr r="H500" s="1"/>
      </tp>
      <tp t="s">
        <v>N/A</v>
        <stp/>
        <stp>BID</stp>
        <stp>.QUAL201120C110</stp>
        <tr r="H499" s="1"/>
      </tp>
      <tp>
        <v>0</v>
        <stp/>
        <stp>BID</stp>
        <stp>.QUAL201120P111</stp>
        <tr r="H502" s="1"/>
      </tp>
      <tp>
        <v>0.2</v>
        <stp/>
        <stp>BID</stp>
        <stp>.QUAL201120C111</stp>
        <tr r="H501" s="1"/>
      </tp>
      <tp t="s">
        <v>N/A</v>
        <stp/>
        <stp>BID</stp>
        <stp>.QUAL201120P112</stp>
        <tr r="H504" s="1"/>
      </tp>
      <tp t="s">
        <v>N/A</v>
        <stp/>
        <stp>BID</stp>
        <stp>.QUAL201120C112</stp>
        <tr r="H503" s="1"/>
      </tp>
      <tp t="s">
        <v>N/A</v>
        <stp/>
        <stp>PUT_CALL_RATIO</stp>
        <stp>.EWA201120C22</stp>
        <tr r="C121" s="1"/>
      </tp>
      <tp t="s">
        <v>N/A</v>
        <stp/>
        <stp>PROB_OF_EXPIRING</stp>
        <stp>.QLD201120C97</stp>
        <tr r="T465" s="1"/>
      </tp>
      <tp t="s">
        <v>N/A</v>
        <stp/>
        <stp>PROB_OF_EXPIRING</stp>
        <stp>.QLD201120C96</stp>
        <tr r="T463" s="1"/>
      </tp>
      <tp t="s">
        <v>N/A</v>
        <stp/>
        <stp>PROB_OF_EXPIRING</stp>
        <stp>.QLD201120C99</stp>
        <tr r="T469" s="1"/>
      </tp>
      <tp t="s">
        <v>N/A</v>
        <stp/>
        <stp>PROB_OF_EXPIRING</stp>
        <stp>.QLD201120C98</stp>
        <tr r="T467" s="1"/>
      </tp>
      <tp t="s">
        <v>N/A</v>
        <stp/>
        <stp>PROB_OF_TOUCHING</stp>
        <stp>.EFA201120C70</stp>
        <tr r="V106" s="1"/>
      </tp>
      <tp t="s">
        <v>N/A</v>
        <stp/>
        <stp>PROB_OF_TOUCHING</stp>
        <stp>.EFA201120C69</stp>
        <tr r="V102" s="1"/>
      </tp>
      <tp t="s">
        <v>N/A</v>
        <stp/>
        <stp>IMPL_VOL</stp>
        <stp>.ITB201120P56</stp>
        <tr r="D296" s="1"/>
      </tp>
      <tp t="s">
        <v>N/A</v>
        <stp/>
        <stp>IMPL_VOL</stp>
        <stp>.ITB201120P55</stp>
        <tr r="D292" s="1"/>
      </tp>
      <tp t="s">
        <v>N/A</v>
        <stp/>
        <stp>EXTRINSIC</stp>
        <stp>.IEFA201120C65</stp>
        <tr r="S252" s="1"/>
      </tp>
      <tp t="s">
        <v>N/A</v>
        <stp/>
        <stp>EXTRINSIC</stp>
        <stp>.IEFA201120C66</stp>
        <tr r="S254" s="1"/>
      </tp>
      <tp t="s">
        <v>N/A</v>
        <stp/>
        <stp>PROB_OF_EXPIRING</stp>
        <stp>.XLE201120C34</stp>
        <tr r="T806" s="1"/>
      </tp>
      <tp>
        <v>0</v>
        <stp/>
        <stp>VOLUME</stp>
        <stp>.TIP201120C125</stp>
        <tr r="F687" s="1"/>
      </tp>
      <tp t="s">
        <v>N/A</v>
        <stp/>
        <stp>VOLUME</stp>
        <stp>.TIP201120P125</stp>
        <tr r="F688" s="1"/>
      </tp>
      <tp t="s">
        <v>N/A</v>
        <stp/>
        <stp>VOLUME</stp>
        <stp>.RSP201120P120</stp>
        <tr r="F511" s="1"/>
      </tp>
      <tp>
        <v>0</v>
        <stp/>
        <stp>VOLUME</stp>
        <stp>.RSP201120C120</stp>
        <tr r="F510" s="1"/>
      </tp>
      <tp t="s">
        <v>N/A</v>
        <stp/>
        <stp>PROB_OF_EXPIRING</stp>
        <stp>.XLC201120C64</stp>
        <tr r="T801" s="1"/>
      </tp>
      <tp t="s">
        <v>N/A</v>
        <stp/>
        <stp>PROB_OF_EXPIRING</stp>
        <stp>.XLB201120C70</stp>
        <tr r="T794" s="1"/>
      </tp>
      <tp t="s">
        <v>N/A</v>
        <stp/>
        <stp>PROB_OF_EXPIRING</stp>
        <stp>.XLC201120C63</stp>
        <tr r="T797" s="1"/>
      </tp>
      <tp t="s">
        <v>N/A</v>
        <stp/>
        <stp>PROB_OF_TOUCHING</stp>
        <stp>.VFH201120C66</stp>
        <tr r="V714" s="1"/>
      </tp>
      <tp t="s">
        <v>N/A</v>
        <stp/>
        <stp>PROB_OF_TOUCHING</stp>
        <stp>.VFH201120C67</stp>
        <tr r="V716" s="1"/>
      </tp>
      <tp t="s">
        <v>N/A</v>
        <stp/>
        <stp>VOLUME</stp>
        <stp>.RSP201120P118</stp>
        <tr r="F507" s="1"/>
      </tp>
      <tp t="s">
        <v>N/A</v>
        <stp/>
        <stp>VOLUME</stp>
        <stp>.RSP201120C118</stp>
        <tr r="F506" s="1"/>
      </tp>
      <tp t="s">
        <v>N/A</v>
        <stp/>
        <stp>VOLUME</stp>
        <stp>.RSP201120P119</stp>
        <tr r="F509" s="1"/>
      </tp>
      <tp t="s">
        <v>N/A</v>
        <stp/>
        <stp>VOLUME</stp>
        <stp>.RSP201120C119</stp>
        <tr r="F508" s="1"/>
      </tp>
      <tp t="s">
        <v>N/A</v>
        <stp/>
        <stp>PROB_OF_EXPIRING</stp>
        <stp>.ILF201120C25</stp>
        <tr r="T278" s="1"/>
      </tp>
      <tp t="s">
        <v>N/A</v>
        <stp/>
        <stp>PROB_OF_EXPIRING</stp>
        <stp>.XLF201120C27</stp>
        <tr r="T811" s="1"/>
      </tp>
      <tp t="s">
        <v>N/A</v>
        <stp/>
        <stp>PROB_OF_EXPIRING</stp>
        <stp>.XLB201120C69</stp>
        <tr r="T790" s="1"/>
      </tp>
      <tp t="s">
        <v>N/A</v>
        <stp/>
        <stp>PROB_OF_EXPIRING</stp>
        <stp>.XLI201120C85</stp>
        <tr r="T818" s="1"/>
      </tp>
      <tp t="s">
        <v>N/A</v>
        <stp/>
        <stp>PROB_OF_EXPIRING</stp>
        <stp>.XLI201120C84</stp>
        <tr r="T814" s="1"/>
      </tp>
      <tp t="s">
        <v>N/A</v>
        <stp/>
        <stp>PROB_OF_EXPIRING</stp>
        <stp>.XLI201120C86</stp>
        <tr r="T822" s="1"/>
      </tp>
      <tp t="s">
        <v>N/A</v>
        <stp/>
        <stp>EXTRINSIC</stp>
        <stp>.EUFN201120C16</stp>
        <tr r="S118" s="1"/>
      </tp>
      <tp t="s">
        <v>N/A</v>
        <stp/>
        <stp>IMPL_VOL</stp>
        <stp>.VGK201120C57</stp>
        <tr r="D722" s="1"/>
      </tp>
      <tp t="s">
        <v>N/A</v>
        <stp/>
        <stp>PUT_CALL_RATIO</stp>
        <stp>.IWF201120P225</stp>
        <tr r="C342" s="1"/>
      </tp>
      <tp t="s">
        <v>N/A</v>
        <stp/>
        <stp>PUT_CALL_RATIO</stp>
        <stp>.IWF201120C225</stp>
        <tr r="C341" s="1"/>
      </tp>
      <tp t="s">
        <v>N/A</v>
        <stp/>
        <stp>PUT_CALL_RATIO</stp>
        <stp>.IVE201120P123</stp>
        <tr r="C308" s="1"/>
      </tp>
      <tp t="s">
        <v>N/A</v>
        <stp/>
        <stp>PUT_CALL_RATIO</stp>
        <stp>.IVE201120C123</stp>
        <tr r="C307" s="1"/>
      </tp>
      <tp t="s">
        <v>N/A</v>
        <stp/>
        <stp>PUT_CALL_RATIO</stp>
        <stp>.IVE201120P122</stp>
        <tr r="C306" s="1"/>
      </tp>
      <tp t="s">
        <v>N/A</v>
        <stp/>
        <stp>PUT_CALL_RATIO</stp>
        <stp>.IVE201120C122</stp>
        <tr r="C305" s="1"/>
      </tp>
      <tp t="s">
        <v>N/A</v>
        <stp/>
        <stp>PUT_CALL_RATIO</stp>
        <stp>.IVE201120P121</stp>
        <tr r="C304" s="1"/>
      </tp>
      <tp t="s">
        <v>N/A</v>
        <stp/>
        <stp>PUT_CALL_RATIO</stp>
        <stp>.IVE201120C121</stp>
        <tr r="C303" s="1"/>
      </tp>
      <tp t="s">
        <v>N/A</v>
        <stp/>
        <stp>EXTRINSIC</stp>
        <stp>.IXUS201120P63</stp>
        <tr r="S362" s="1"/>
      </tp>
      <tp t="s">
        <v>N/A</v>
        <stp/>
        <stp>PROB_OF_TOUCHING</stp>
        <stp>.EFV201120C45</stp>
        <tr r="V109" s="1"/>
      </tp>
      <tp t="s">
        <v>N/A</v>
        <stp/>
        <stp>EXTRINSIC</stp>
        <stp>.VXUS201120P56</stp>
        <tr r="S755" s="1"/>
      </tp>
      <tp t="s">
        <v>N/A</v>
        <stp/>
        <stp>EXTRINSIC</stp>
        <stp>.VXUS201120P57</stp>
        <tr r="S757" s="1"/>
      </tp>
      <tp t="s">
        <v>N/A</v>
        <stp/>
        <stp>IMPL_VOL</stp>
        <stp>.PGX201120C15</stp>
        <tr r="D455" s="1"/>
      </tp>
      <tp t="s">
        <v>N/A</v>
        <stp/>
        <stp>PROB_OF_EXPIRING</stp>
        <stp>.XLP201120C67</stp>
        <tr r="T844" s="1"/>
      </tp>
      <tp t="s">
        <v>N/A</v>
        <stp/>
        <stp>PROB_OF_EXPIRING</stp>
        <stp>.XLU201120C67</stp>
        <tr r="T854" s="1"/>
      </tp>
      <tp t="s">
        <v>N/A</v>
        <stp/>
        <stp>PROB_OF_EXPIRING</stp>
        <stp>.XLU201120C66</stp>
        <tr r="T850" s="1"/>
      </tp>
      <tp t="s">
        <v>N/A</v>
        <stp/>
        <stp>OPEN_INT</stp>
        <stp>.VNQ201120P84</stp>
        <tr r="G726" s="1"/>
      </tp>
      <tp t="s">
        <v>N/A</v>
        <stp/>
        <stp>OPEN_INT</stp>
        <stp>.VNQ201120P85</stp>
        <tr r="G728" s="1"/>
      </tp>
      <tp t="s">
        <v>N/A</v>
        <stp/>
        <stp>PROB_OTM</stp>
        <stp>.XHB201120C55</stp>
        <tr r="U781" s="1"/>
      </tp>
      <tp t="s">
        <v>N/A</v>
        <stp/>
        <stp>PROB_OTM</stp>
        <stp>.XHB201120C56</stp>
        <tr r="U785" s="1"/>
      </tp>
      <tp t="s">
        <v>N/A</v>
        <stp/>
        <stp>IMPL_VOL</stp>
        <stp>.SHYG201120P45</stp>
        <tr r="D550" s="1"/>
      </tp>
      <tp t="s">
        <v>N/A</v>
        <stp/>
        <stp>PROB_OF_EXPIRING</stp>
        <stp>.SPDW201120C32</stp>
        <tr r="T579" s="1"/>
      </tp>
      <tp>
        <v>4.97</v>
        <stp/>
        <stp>LOW</stp>
        <stp>.QQQ201120P292.5</stp>
        <tr r="K493" s="1"/>
      </tp>
      <tp>
        <v>2</v>
        <stp/>
        <stp>OPEN_INT</stp>
        <stp>.EMLC201120C32</stp>
        <tr r="G115" s="1"/>
      </tp>
      <tp t="s">
        <v>N/A</v>
        <stp/>
        <stp>IMPL_VOL</stp>
        <stp>.SPYG201120P53</stp>
        <tr r="D633" s="1"/>
      </tp>
      <tp t="s">
        <v>N/A</v>
        <stp/>
        <stp>IMPL_VOL</stp>
        <stp>.SPYG201120P52</stp>
        <tr r="D631" s="1"/>
      </tp>
      <tp t="s">
        <v>N/A</v>
        <stp/>
        <stp>OPEN_INT</stp>
        <stp>.SPLG201120C42</stp>
        <tr r="G585" s="1"/>
      </tp>
      <tp t="s">
        <v>N/A</v>
        <stp/>
        <stp>RHO</stp>
        <stp>.SMH201120P197.5</stp>
        <tr r="Q573" s="1"/>
      </tp>
      <tp t="s">
        <v>N/A</v>
        <stp/>
        <stp>OPEN_INT</stp>
        <stp>.HYLB201120C49</stp>
        <tr r="G226" s="1"/>
      </tp>
      <tp t="s">
        <v>N/A</v>
        <stp/>
        <stp>PROB_OF_EXPIRING</stp>
        <stp>.ACWX201120P50</stp>
        <tr r="T14" s="1"/>
      </tp>
      <tp t="s">
        <v>N/A</v>
        <stp/>
        <stp>ASK</stp>
        <stp>.MDY201120P382.5</stp>
        <tr r="I418" s="1"/>
      </tp>
      <tp>
        <v>0.03</v>
        <stp/>
        <stp>RHO</stp>
        <stp>.SPY201120C357.5</stp>
        <tr r="Q619" s="1"/>
      </tp>
      <tp t="s">
        <v>N/A</v>
        <stp/>
        <stp>OPEN_INT</stp>
        <stp>.BKLN201120C22</stp>
        <tr r="G49" s="1"/>
      </tp>
      <tp t="s">
        <v>N/A</v>
        <stp/>
        <stp>OPEN_INT</stp>
        <stp>.ICLN201120C22</stp>
        <tr r="G246" s="1"/>
      </tp>
      <tp t="s">
        <v>N/A</v>
        <stp/>
        <stp>PROB_OF_EXPIRING</stp>
        <stp>.INDY201120C38</stp>
        <tr r="T286" s="1"/>
      </tp>
      <tp t="s">
        <v>N/A</v>
        <stp/>
        <stp>PROB_OTM</stp>
        <stp>.GUSH201120C27</stp>
        <tr r="U216" s="1"/>
      </tp>
      <tp t="s">
        <v>N/A</v>
        <stp/>
        <stp>PROB_OTM</stp>
        <stp>.GUSH201120C26</stp>
        <tr r="U214" s="1"/>
      </tp>
      <tp t="s">
        <v>N/A</v>
        <stp/>
        <stp>PROB_OTM</stp>
        <stp>.GUSH201120C28</stp>
        <tr r="U218" s="1"/>
      </tp>
      <tp>
        <v>5.0999999999999996</v>
        <stp/>
        <stp>BID</stp>
        <stp>.SMH201120P196.5</stp>
        <tr r="H569" s="1"/>
      </tp>
      <tp t="s">
        <v>N/A</v>
        <stp/>
        <stp>OPEN_INT</stp>
        <stp>.SPLV201120C55</stp>
        <tr r="G588" s="1"/>
      </tp>
      <tp t="s">
        <v>N/A</v>
        <stp/>
        <stp>OPEN_INT</stp>
        <stp>.AMLP201120C23</stp>
        <tr r="G19" s="1"/>
      </tp>
      <tp t="s">
        <v>N/A</v>
        <stp/>
        <stp>OPEN_INT</stp>
        <stp>.AMLP201120C24</stp>
        <tr r="G23" s="1"/>
      </tp>
      <tp>
        <v>2.48</v>
        <stp/>
        <stp>LOW</stp>
        <stp>.QQQ201120C292.5</stp>
        <tr r="K492" s="1"/>
      </tp>
      <tp t="s">
        <v>N/A</v>
        <stp/>
        <stp>PROB_OF_EXPIRING</stp>
        <stp>.ACWI201120P86</stp>
        <tr r="T11" s="1"/>
      </tp>
      <tp t="s">
        <v>N/A</v>
        <stp/>
        <stp>PROB_OF_EXPIRING</stp>
        <stp>.ACWI201120P85</stp>
        <tr r="T9" s="1"/>
      </tp>
      <tp t="s">
        <v>N/A</v>
        <stp/>
        <stp>PROB_OF_EXPIRING</stp>
        <stp>.INDA201120C36</stp>
        <tr r="T281" s="1"/>
      </tp>
      <tp t="s">
        <v>N/A</v>
        <stp/>
        <stp>IMPL_VOL</stp>
        <stp>.SPYV201120P33</stp>
        <tr r="D636" s="1"/>
      </tp>
      <tp t="s">
        <v>N/A</v>
        <stp/>
        <stp>GAMMA</stp>
        <stp>.GDXJ201120P52.5</stp>
        <tr r="N206" s="1"/>
      </tp>
      <tp t="s">
        <v>N/A</v>
        <stp/>
        <stp>GAMMA</stp>
        <stp>.GDXJ201120C52.5</stp>
        <tr r="N205" s="1"/>
      </tp>
      <tp t="s">
        <v>N/A</v>
        <stp/>
        <stp>RHO</stp>
        <stp>.SMH201120C197.5</stp>
        <tr r="Q572" s="1"/>
      </tp>
      <tp>
        <v>-0.05</v>
        <stp/>
        <stp>RHO</stp>
        <stp>.SPY201120P357.5</stp>
        <tr r="Q620" s="1"/>
      </tp>
      <tp t="s">
        <v>N/A</v>
        <stp/>
        <stp>ASK</stp>
        <stp>.MDY201120C382.5</stp>
        <tr r="I417" s="1"/>
      </tp>
      <tp>
        <v>1.82</v>
        <stp/>
        <stp>BID</stp>
        <stp>.SMH201120C196.5</stp>
        <tr r="H568" s="1"/>
      </tp>
      <tp t="s">
        <v>N/A</v>
        <stp/>
        <stp>PROB_OF_TOUCHING</stp>
        <stp>.ITOT201120C80</stp>
        <tr r="V298" s="1"/>
      </tp>
      <tp t="s">
        <v>N/A</v>
        <stp/>
        <stp>PROB_OF_TOUCHING</stp>
        <stp>.ITOT201120C81</stp>
        <tr r="V300" s="1"/>
      </tp>
      <tp>
        <v>55.28</v>
        <stp/>
        <stp>OPEN</stp>
        <stp>SPLV</stp>
        <tr r="L587" s="1"/>
      </tp>
      <tp>
        <v>41.77</v>
        <stp/>
        <stp>OPEN</stp>
        <stp>SPLG</stp>
        <tr r="L584" s="1"/>
      </tp>
      <tp t="s">
        <v>N/A</v>
        <stp/>
        <stp>DELTA</stp>
        <stp>.XBI201120C123.5</stp>
        <tr r="M770" s="1"/>
      </tp>
      <tp t="s">
        <v>N/A</v>
        <stp/>
        <stp>GAMMA</stp>
        <stp>.RSX201120C22</stp>
        <tr r="N513" s="1"/>
      </tp>
      <tp>
        <v>119.92829999999999</v>
        <stp/>
        <stp>HIGH</stp>
        <stp>ARKW</stp>
        <tr r="J34" s="1"/>
      </tp>
      <tp>
        <v>100.4</v>
        <stp/>
        <stp>HIGH</stp>
        <stp>ARKK</stp>
        <tr r="J25" s="1"/>
      </tp>
      <tp>
        <v>0</v>
        <stp/>
        <stp>GAMMA</stp>
        <stp>XOP</stp>
        <tr r="N889" s="1"/>
      </tp>
      <tp>
        <v>0</v>
        <stp/>
        <stp>GAMMA</stp>
        <stp>XLY</stp>
        <tr r="N867" s="1"/>
      </tp>
      <tp>
        <v>0</v>
        <stp/>
        <stp>GAMMA</stp>
        <stp>XLU</stp>
        <tr r="N849" s="1"/>
      </tp>
      <tp>
        <v>0</v>
        <stp/>
        <stp>GAMMA</stp>
        <stp>XLV</stp>
        <tr r="N856" s="1"/>
      </tp>
      <tp>
        <v>0</v>
        <stp/>
        <stp>GAMMA</stp>
        <stp>XLP</stp>
        <tr r="N841" s="1"/>
      </tp>
      <tp>
        <v>0</v>
        <stp/>
        <stp>GAMMA</stp>
        <stp>XLI</stp>
        <tr r="N813" s="1"/>
      </tp>
      <tp>
        <v>0</v>
        <stp/>
        <stp>GAMMA</stp>
        <stp>XLK</stp>
        <tr r="N824" s="1"/>
      </tp>
      <tp>
        <v>0</v>
        <stp/>
        <stp>GAMMA</stp>
        <stp>XLE</stp>
        <tr r="N803" s="1"/>
      </tp>
      <tp>
        <v>0</v>
        <stp/>
        <stp>GAMMA</stp>
        <stp>XLF</stp>
        <tr r="N810" s="1"/>
      </tp>
      <tp>
        <v>0</v>
        <stp/>
        <stp>GAMMA</stp>
        <stp>XLC</stp>
        <tr r="N796" s="1"/>
      </tp>
      <tp>
        <v>0</v>
        <stp/>
        <stp>GAMMA</stp>
        <stp>XLB</stp>
        <tr r="N787" s="1"/>
      </tp>
      <tp t="s">
        <v>N/A</v>
        <stp/>
        <stp>DELTA</stp>
        <stp>.SCZ201120P63</stp>
        <tr r="M536" s="1"/>
      </tp>
      <tp>
        <v>50.057200000000002</v>
        <stp/>
        <stp>HIGH</stp>
        <stp>DRIP</stp>
        <tr r="J81" s="1"/>
      </tp>
      <tp t="s">
        <v>N/A</v>
        <stp/>
        <stp>THETA</stp>
        <stp>.XBI201120P123.5</stp>
        <tr r="O771" s="1"/>
      </tp>
      <tp>
        <v>0</v>
        <stp/>
        <stp>GAMMA</stp>
        <stp>XME</stp>
        <tr r="N884" s="1"/>
      </tp>
      <tp>
        <v>35.700000000000003</v>
        <stp/>
        <stp>OPEN</stp>
        <stp>SPHD</stp>
        <tr r="L581" s="1"/>
      </tp>
      <tp>
        <v>0</v>
        <stp/>
        <stp>GAMMA</stp>
        <stp>XHB</stp>
        <tr r="N780" s="1"/>
      </tp>
      <tp>
        <v>0</v>
        <stp/>
        <stp>VEGA</stp>
        <stp>ARKK</stp>
        <tr r="P25" s="1"/>
      </tp>
      <tp>
        <v>31.5</v>
        <stp/>
        <stp>OPEN</stp>
        <stp>SPDW</stp>
        <tr r="L578" s="1"/>
      </tp>
      <tp>
        <v>0</v>
        <stp/>
        <stp>VEGA</stp>
        <stp>ARKW</stp>
        <tr r="P34" s="1"/>
      </tp>
      <tp t="s">
        <v>N/A</v>
        <stp/>
        <stp>THETA</stp>
        <stp>.RSX201120P22</stp>
        <tr r="O514" s="1"/>
      </tp>
      <tp>
        <v>0</v>
        <stp/>
        <stp>VEGA</stp>
        <stp>DRIP</stp>
        <tr r="P81" s="1"/>
      </tp>
      <tp t="s">
        <v>N/A</v>
        <stp/>
        <stp>THETA</stp>
        <stp>.SMH201120P198.5</stp>
        <tr r="O577" s="1"/>
      </tp>
      <tp>
        <v>0</v>
        <stp/>
        <stp>GAMMA</stp>
        <stp>XBI</stp>
        <tr r="N763" s="1"/>
      </tp>
      <tp t="s">
        <v>N/A</v>
        <stp/>
        <stp>THETA</stp>
        <stp>.XLY201120P153.5</stp>
        <tr r="O877" s="1"/>
      </tp>
      <tp t="s">
        <v>N/A</v>
        <stp/>
        <stp>HIGH</stp>
        <stp>.QUAL201120C112</stp>
        <tr r="J503" s="1"/>
      </tp>
      <tp t="s">
        <v>N/A</v>
        <stp/>
        <stp>HIGH</stp>
        <stp>.QUAL201120P112</stp>
        <tr r="J504" s="1"/>
      </tp>
      <tp>
        <v>0</v>
        <stp/>
        <stp>HIGH</stp>
        <stp>.QUAL201120C111</stp>
        <tr r="J501" s="1"/>
      </tp>
      <tp>
        <v>0</v>
        <stp/>
        <stp>HIGH</stp>
        <stp>.QUAL201120P111</stp>
        <tr r="J502" s="1"/>
      </tp>
      <tp t="s">
        <v>N/A</v>
        <stp/>
        <stp>DELTA</stp>
        <stp>.XLY201120C153.5</stp>
        <tr r="M876" s="1"/>
      </tp>
      <tp t="s">
        <v>N/A</v>
        <stp/>
        <stp>HIGH</stp>
        <stp>.QUAL201120C110</stp>
        <tr r="J499" s="1"/>
      </tp>
      <tp>
        <v>0</v>
        <stp/>
        <stp>HIGH</stp>
        <stp>.QUAL201120P110</stp>
        <tr r="J500" s="1"/>
      </tp>
      <tp t="s">
        <v>N/A</v>
        <stp/>
        <stp>DELTA</stp>
        <stp>.SMH201120C198.5</stp>
        <tr r="M576" s="1"/>
      </tp>
      <tp>
        <v>0</v>
        <stp/>
        <stp>THETA</stp>
        <stp>PXH</stp>
        <tr r="O457" s="1"/>
      </tp>
      <tp t="s">
        <v>N/A</v>
        <stp/>
        <stp>THETA</stp>
        <stp>.XBI201120C123.5</stp>
        <tr r="O770" s="1"/>
      </tp>
      <tp>
        <v>0</v>
        <stp/>
        <stp>THETA</stp>
        <stp>PGX</stp>
        <tr r="O454" s="1"/>
      </tp>
      <tp>
        <v>13.03</v>
        <stp/>
        <stp>LAST</stp>
        <stp>DFEN</stp>
        <tr r="E54" s="1"/>
      </tp>
      <tp t="s">
        <v>N/A</v>
        <stp/>
        <stp>DELTA</stp>
        <stp>.XBI201120P123.5</stp>
        <tr r="M771" s="1"/>
      </tp>
      <tp t="s">
        <v>N/A</v>
        <stp/>
        <stp>THETA</stp>
        <stp>.SSO201120P82</stp>
        <tr r="O648" s="1"/>
      </tp>
      <tp t="s">
        <v>N/A</v>
        <stp/>
        <stp>THETA</stp>
        <stp>.SSO201120P83</stp>
        <tr r="O652" s="1"/>
      </tp>
      <tp t="s">
        <v>N/A</v>
        <stp/>
        <stp>THETA</stp>
        <stp>.SSO201120P81</stp>
        <tr r="O644" s="1"/>
      </tp>
      <tp t="s">
        <v>N/A</v>
        <stp/>
        <stp>THETA</stp>
        <stp>.SSO201120P84</stp>
        <tr r="O656" s="1"/>
      </tp>
      <tp>
        <v>32.57</v>
        <stp/>
        <stp>OPEN</stp>
        <stp>SPYV</stp>
        <tr r="L634" s="1"/>
      </tp>
      <tp>
        <v>52.64</v>
        <stp/>
        <stp>OPEN</stp>
        <stp>SPYG</stp>
        <tr r="L629" s="1"/>
      </tp>
      <tp>
        <v>0</v>
        <stp/>
        <stp>VEGA</stp>
        <stp>SRVR</stp>
        <tr r="P637" s="1"/>
      </tp>
      <tp>
        <v>36.119900000000001</v>
        <stp/>
        <stp>HIGH</stp>
        <stp>SRVR</stp>
        <tr r="J637" s="1"/>
      </tp>
      <tp t="s">
        <v>N/A</v>
        <stp/>
        <stp>DELTA</stp>
        <stp>.SMH201120P198.5</stp>
        <tr r="M577" s="1"/>
      </tp>
      <tp>
        <v>0</v>
        <stp/>
        <stp>GAMMA</stp>
        <stp>XRT</stp>
        <tr r="N902" s="1"/>
      </tp>
      <tp t="s">
        <v>N/A</v>
        <stp/>
        <stp>DELTA</stp>
        <stp>.XLY201120P153.5</stp>
        <tr r="M877" s="1"/>
      </tp>
      <tp t="s">
        <v>N/A</v>
        <stp/>
        <stp>GAMMA</stp>
        <stp>.SSO201120C82</stp>
        <tr r="N647" s="1"/>
      </tp>
      <tp t="s">
        <v>N/A</v>
        <stp/>
        <stp>GAMMA</stp>
        <stp>.SSO201120C83</stp>
        <tr r="N651" s="1"/>
      </tp>
      <tp t="s">
        <v>N/A</v>
        <stp/>
        <stp>GAMMA</stp>
        <stp>.SSO201120C81</stp>
        <tr r="N643" s="1"/>
      </tp>
      <tp t="s">
        <v>N/A</v>
        <stp/>
        <stp>GAMMA</stp>
        <stp>.SSO201120C84</stp>
        <tr r="N655" s="1"/>
      </tp>
      <tp t="s">
        <v>N/A</v>
        <stp/>
        <stp>THETA</stp>
        <stp>.XLY201120C153.5</stp>
        <tr r="O876" s="1"/>
      </tp>
      <tp t="s">
        <v>N/A</v>
        <stp/>
        <stp>THETA</stp>
        <stp>.SMH201120C198.5</stp>
        <tr r="O576" s="1"/>
      </tp>
      <tp t="s">
        <v>N/A</v>
        <stp/>
        <stp>PUT_CALL_RATIO</stp>
        <stp>.SCZ201120P63</stp>
        <tr r="C536" s="1"/>
      </tp>
      <tp t="s">
        <v>N/A</v>
        <stp/>
        <stp>RHO</stp>
        <stp>.KWEB201120C74</stp>
        <tr r="Q402" s="1"/>
      </tp>
      <tp t="s">
        <v>N/A</v>
        <stp/>
        <stp>DESCRIPTION</stp>
        <stp>.NAIL201120P48</stp>
        <tr r="B448" s="1"/>
      </tp>
      <tp t="s">
        <v>N/A</v>
        <stp/>
        <stp>DESCRIPTION</stp>
        <stp>.NAIL201120P49</stp>
        <tr r="B450" s="1"/>
      </tp>
      <tp t="s">
        <v>N/A</v>
        <stp/>
        <stp>RHO</stp>
        <stp>.KWEB201120C72</stp>
        <tr r="Q398" s="1"/>
      </tp>
      <tp t="s">
        <v>N/A</v>
        <stp/>
        <stp>RHO</stp>
        <stp>.KWEB201120C73</stp>
        <tr r="Q400" s="1"/>
      </tp>
      <tp t="s">
        <v>N/A</v>
        <stp/>
        <stp>DESCRIPTION</stp>
        <stp>.NAIL201120P46</stp>
        <tr r="B444" s="1"/>
      </tp>
      <tp t="s">
        <v>N/A</v>
        <stp/>
        <stp>DESCRIPTION</stp>
        <stp>.NAIL201120P47</stp>
        <tr r="B446" s="1"/>
      </tp>
      <tp t="s">
        <v>N/A</v>
        <stp/>
        <stp>DESCRIPTION</stp>
        <stp>.NAIL201120P44</stp>
        <tr r="B440" s="1"/>
      </tp>
      <tp t="s">
        <v>N/A</v>
        <stp/>
        <stp>DESCRIPTION</stp>
        <stp>.NAIL201120P45</stp>
        <tr r="B442" s="1"/>
      </tp>
      <tp t="s">
        <v>N/A</v>
        <stp/>
        <stp>ASK</stp>
        <stp>.SRVR201120P36</stp>
        <tr r="I641" s="1"/>
      </tp>
      <tp>
        <v>0.45</v>
        <stp/>
        <stp>ASK</stp>
        <stp>.SRVR201120P35</stp>
        <tr r="I639" s="1"/>
      </tp>
      <tp>
        <v>0.05</v>
        <stp/>
        <stp>BID</stp>
        <stp>.SRVR201120P35</stp>
        <tr r="H639" s="1"/>
      </tp>
      <tp t="s">
        <v>N/A</v>
        <stp/>
        <stp>BID</stp>
        <stp>.SRVR201120P36</stp>
        <tr r="H641" s="1"/>
      </tp>
      <tp t="s">
        <v>N/A</v>
        <stp/>
        <stp>RHO</stp>
        <stp>.DFEN201120C13</stp>
        <tr r="Q55" s="1"/>
      </tp>
      <tp t="s">
        <v>N/A</v>
        <stp/>
        <stp>RHO</stp>
        <stp>.DFEN201120C14</stp>
        <tr r="Q57" s="1"/>
      </tp>
      <tp t="s">
        <v>N/A</v>
        <stp/>
        <stp>LOW</stp>
        <stp>.SRVR201120P36</stp>
        <tr r="K641" s="1"/>
      </tp>
      <tp>
        <v>0</v>
        <stp/>
        <stp>LOW</stp>
        <stp>.SRVR201120P35</stp>
        <tr r="K639" s="1"/>
      </tp>
      <tp t="s">
        <v>N/A</v>
        <stp/>
        <stp>VOLUME</stp>
        <stp>.SSO201120C83</stp>
        <tr r="F651" s="1"/>
      </tp>
      <tp t="s">
        <v>N/A</v>
        <stp/>
        <stp>VOLUME</stp>
        <stp>.SSO201120C82</stp>
        <tr r="F647" s="1"/>
      </tp>
      <tp t="s">
        <v>N/A</v>
        <stp/>
        <stp>VOLUME</stp>
        <stp>.SSO201120C81</stp>
        <tr r="F643" s="1"/>
      </tp>
      <tp t="s">
        <v>N/A</v>
        <stp/>
        <stp>VOLUME</stp>
        <stp>.SSO201120C84</stp>
        <tr r="F655" s="1"/>
      </tp>
      <tp>
        <v>2.8</v>
        <stp/>
        <stp>BID</stp>
        <stp>.ARKK201120P100</stp>
        <tr r="H33" s="1"/>
      </tp>
      <tp>
        <v>1.5</v>
        <stp/>
        <stp>BID</stp>
        <stp>.ARKK201120C100</stp>
        <tr r="H32" s="1"/>
      </tp>
      <tp t="s">
        <v>N/A</v>
        <stp/>
        <stp>DESCRIPTION</stp>
        <stp>.IGIB201120P61</stp>
        <tr r="B263" s="1"/>
      </tp>
      <tp t="s">
        <v>N/A</v>
        <stp/>
        <stp>ASK</stp>
        <stp>.KWEB201120C74</stp>
        <tr r="I402" s="1"/>
      </tp>
      <tp t="s">
        <v>N/A</v>
        <stp/>
        <stp>ASK</stp>
        <stp>.KWEB201120C73</stp>
        <tr r="I400" s="1"/>
      </tp>
      <tp t="s">
        <v>N/A</v>
        <stp/>
        <stp>ASK</stp>
        <stp>.KWEB201120C72</stp>
        <tr r="I398" s="1"/>
      </tp>
      <tp t="s">
        <v>N/A</v>
        <stp/>
        <stp>STRIKE</stp>
        <stp>.XHB201120C56</stp>
        <tr r="W785" s="1"/>
      </tp>
      <tp t="s">
        <v>N/A</v>
        <stp/>
        <stp>STRIKE</stp>
        <stp>.XHB201120C55</stp>
        <tr r="W781" s="1"/>
      </tp>
      <tp t="s">
        <v>N/A</v>
        <stp/>
        <stp>BID</stp>
        <stp>.KWEB201120C74</stp>
        <tr r="H402" s="1"/>
      </tp>
      <tp t="s">
        <v>N/A</v>
        <stp/>
        <stp>BID</stp>
        <stp>.KWEB201120C73</stp>
        <tr r="H400" s="1"/>
      </tp>
      <tp t="s">
        <v>N/A</v>
        <stp/>
        <stp>BID</stp>
        <stp>.KWEB201120C72</stp>
        <tr r="H398" s="1"/>
      </tp>
      <tp t="s">
        <v>N/A</v>
        <stp/>
        <stp>VOLUME</stp>
        <stp>.RSX201120C22</stp>
        <tr r="F513" s="1"/>
      </tp>
      <tp t="s">
        <v>N/A</v>
        <stp/>
        <stp>DESCRIPTION</stp>
        <stp>.VCIT201120P96</stp>
        <tr r="B703" s="1"/>
      </tp>
      <tp>
        <v>0.15</v>
        <stp/>
        <stp>LOW</stp>
        <stp>.DFEN201120C14</stp>
        <tr r="K57" s="1"/>
      </tp>
      <tp>
        <v>0.6</v>
        <stp/>
        <stp>LOW</stp>
        <stp>.DFEN201120C13</stp>
        <tr r="K55" s="1"/>
      </tp>
      <tp t="s">
        <v>N/A</v>
        <stp/>
        <stp>RHO</stp>
        <stp>.SRVR201120P35</stp>
        <tr r="Q639" s="1"/>
      </tp>
      <tp t="s">
        <v>N/A</v>
        <stp/>
        <stp>RHO</stp>
        <stp>.SRVR201120P36</stp>
        <tr r="Q641" s="1"/>
      </tp>
      <tp t="s">
        <v>N/A</v>
        <stp/>
        <stp>DESCRIPTION</stp>
        <stp>.VGIT201120P70</stp>
        <tr r="B720" s="1"/>
      </tp>
      <tp>
        <v>0.6</v>
        <stp/>
        <stp>BID</stp>
        <stp>.DFEN201120C13</stp>
        <tr r="H55" s="1"/>
      </tp>
      <tp>
        <v>0.25</v>
        <stp/>
        <stp>BID</stp>
        <stp>.DFEN201120C14</stp>
        <tr r="H57" s="1"/>
      </tp>
      <tp>
        <v>0.7</v>
        <stp/>
        <stp>ASK</stp>
        <stp>.DFEN201120C13</stp>
        <tr r="I55" s="1"/>
      </tp>
      <tp>
        <v>0.3</v>
        <stp/>
        <stp>ASK</stp>
        <stp>.DFEN201120C14</stp>
        <tr r="I57" s="1"/>
      </tp>
      <tp t="s">
        <v>N/A</v>
        <stp/>
        <stp>LOW</stp>
        <stp>.KWEB201120C73</stp>
        <tr r="K400" s="1"/>
      </tp>
      <tp t="s">
        <v>N/A</v>
        <stp/>
        <stp>LOW</stp>
        <stp>.KWEB201120C72</stp>
        <tr r="K398" s="1"/>
      </tp>
      <tp t="s">
        <v>N/A</v>
        <stp/>
        <stp>LOW</stp>
        <stp>.KWEB201120C74</stp>
        <tr r="K402" s="1"/>
      </tp>
      <tp t="s">
        <v>N/A</v>
        <stp/>
        <stp>DESCRIPTION</stp>
        <stp>.DRIP201120P45</stp>
        <tr r="B83" s="1"/>
      </tp>
      <tp t="s">
        <v>N/A</v>
        <stp/>
        <stp>INTRINSIC</stp>
        <stp>.ACWI201120C85</stp>
        <tr r="R8" s="1"/>
      </tp>
      <tp t="s">
        <v>N/A</v>
        <stp/>
        <stp>INTRINSIC</stp>
        <stp>.ACWI201120C86</stp>
        <tr r="R10" s="1"/>
      </tp>
      <tp t="s">
        <v>N/A</v>
        <stp/>
        <stp>PROB_OF_EXPIRING</stp>
        <stp>.FXI201120P47</stp>
        <tr r="T190" s="1"/>
      </tp>
      <tp t="s">
        <v>N/A</v>
        <stp/>
        <stp>PROB_OF_EXPIRING</stp>
        <stp>.FXI201120P48</stp>
        <tr r="T194" s="1"/>
      </tp>
      <tp t="s">
        <v>N/A</v>
        <stp/>
        <stp>INTRINSIC</stp>
        <stp>.INDA201120P36</stp>
        <tr r="R282" s="1"/>
      </tp>
      <tp t="s">
        <v>N/A</v>
        <stp/>
        <stp>PROB_OF_EXPIRING</stp>
        <stp>.PXH201120P20</stp>
        <tr r="T461" s="1"/>
      </tp>
      <tp t="s">
        <v>N/A</v>
        <stp/>
        <stp>PROB_OF_TOUCHING</stp>
        <stp>.KRE201120P46</stp>
        <tr r="V390" s="1"/>
      </tp>
      <tp t="s">
        <v>N/A</v>
        <stp/>
        <stp>PROB_OF_TOUCHING</stp>
        <stp>.KRE201120P47</stp>
        <tr r="V394" s="1"/>
      </tp>
      <tp t="s">
        <v>N/A</v>
        <stp/>
        <stp>PROB_OF_EXPIRING</stp>
        <stp>.PXH201120P19</stp>
        <tr r="T459" s="1"/>
      </tp>
      <tp t="s">
        <v>N/A</v>
        <stp/>
        <stp>IMPL_VOL</stp>
        <stp>.SSO201120P82</stp>
        <tr r="D648" s="1"/>
      </tp>
      <tp t="s">
        <v>N/A</v>
        <stp/>
        <stp>IMPL_VOL</stp>
        <stp>.SSO201120P83</stp>
        <tr r="D652" s="1"/>
      </tp>
      <tp t="s">
        <v>N/A</v>
        <stp/>
        <stp>IMPL_VOL</stp>
        <stp>.SSO201120P81</stp>
        <tr r="D644" s="1"/>
      </tp>
      <tp t="s">
        <v>N/A</v>
        <stp/>
        <stp>IMPL_VOL</stp>
        <stp>.SSO201120P84</stp>
        <tr r="D656" s="1"/>
      </tp>
      <tp t="s">
        <v>N/A</v>
        <stp/>
        <stp>EXTRINSIC</stp>
        <stp>.XLRE201120P37</stp>
        <tr r="S848" s="1"/>
      </tp>
      <tp t="s">
        <v>N/A</v>
        <stp/>
        <stp>PROB_OF_EXPIRING</stp>
        <stp>.DXD201120P14</stp>
        <tr r="T93" s="1"/>
      </tp>
      <tp t="s">
        <v>N/A</v>
        <stp/>
        <stp>EXTRINSIC</stp>
        <stp>.DGRO201120P43</stp>
        <tr r="S61" s="1"/>
      </tp>
      <tp t="s">
        <v>N/A</v>
        <stp/>
        <stp>PROB_OTM</stp>
        <stp>.XOP201120C47</stp>
        <tr r="U890" s="1"/>
      </tp>
      <tp t="s">
        <v>N/A</v>
        <stp/>
        <stp>PROB_OTM</stp>
        <stp>.XOP201120C48</stp>
        <tr r="U894" s="1"/>
      </tp>
      <tp t="s">
        <v>N/A</v>
        <stp/>
        <stp>PROB_OTM</stp>
        <stp>.XOP201120C49</stp>
        <tr r="U898" s="1"/>
      </tp>
      <tp t="s">
        <v>N/A</v>
        <stp/>
        <stp>STRIKE</stp>
        <stp>.MJ201120C13</stp>
        <tr r="W424" s="1"/>
      </tp>
      <tp t="s">
        <v>N/A</v>
        <stp/>
        <stp>PROB_OF_TOUCHING</stp>
        <stp>.TAN201120C73</stp>
        <tr r="V662" s="1"/>
      </tp>
      <tp t="s">
        <v>N/A</v>
        <stp/>
        <stp>PROB_OF_TOUCHING</stp>
        <stp>.TAN201120C76</stp>
        <tr r="V674" s="1"/>
      </tp>
      <tp t="s">
        <v>N/A</v>
        <stp/>
        <stp>PROB_OF_TOUCHING</stp>
        <stp>.TAN201120C77</stp>
        <tr r="V678" s="1"/>
      </tp>
      <tp t="s">
        <v>N/A</v>
        <stp/>
        <stp>PROB_OF_TOUCHING</stp>
        <stp>.TAN201120C74</stp>
        <tr r="V666" s="1"/>
      </tp>
      <tp t="s">
        <v>N/A</v>
        <stp/>
        <stp>PROB_OF_TOUCHING</stp>
        <stp>.TAN201120C75</stp>
        <tr r="V670" s="1"/>
      </tp>
      <tp t="s">
        <v>N/A</v>
        <stp/>
        <stp>PUT_CALL_RATIO</stp>
        <stp>.MUB201120P116</stp>
        <tr r="C437" s="1"/>
      </tp>
      <tp t="s">
        <v>N/A</v>
        <stp/>
        <stp>PUT_CALL_RATIO</stp>
        <stp>.MUB201120C116</stp>
        <tr r="C436" s="1"/>
      </tp>
      <tp t="s">
        <v>N/A</v>
        <stp/>
        <stp>PUT_CALL_RATIO</stp>
        <stp>.EMB201120C114</stp>
        <tr r="C112" s="1"/>
      </tp>
      <tp t="s">
        <v>N/A</v>
        <stp/>
        <stp>PUT_CALL_RATIO</stp>
        <stp>.EMB201120P114</stp>
        <tr r="C113" s="1"/>
      </tp>
      <tp t="s">
        <v>N/A</v>
        <stp/>
        <stp>PUT_CALL_RATIO</stp>
        <stp>.IBB201120C139</stp>
        <tr r="C233" s="1"/>
      </tp>
      <tp t="s">
        <v>N/A</v>
        <stp/>
        <stp>PUT_CALL_RATIO</stp>
        <stp>.IBB201120P139</stp>
        <tr r="C234" s="1"/>
      </tp>
      <tp t="s">
        <v>N/A</v>
        <stp/>
        <stp>PUT_CALL_RATIO</stp>
        <stp>.IBB201120C138</stp>
        <tr r="C229" s="1"/>
      </tp>
      <tp t="s">
        <v>N/A</v>
        <stp/>
        <stp>PUT_CALL_RATIO</stp>
        <stp>.IBB201120P138</stp>
        <tr r="C230" s="1"/>
      </tp>
      <tp t="s">
        <v>N/A</v>
        <stp/>
        <stp>PROB_OF_TOUCHING</stp>
        <stp>.XRT201120P54</stp>
        <tr r="V904" s="1"/>
      </tp>
      <tp t="s">
        <v>N/A</v>
        <stp/>
        <stp>PROB_OF_TOUCHING</stp>
        <stp>.XRT201120P55</stp>
        <tr r="V908" s="1"/>
      </tp>
      <tp t="s">
        <v>N/A</v>
        <stp/>
        <stp>PUT_CALL_RATIO</stp>
        <stp>.IBB201120C141</stp>
        <tr r="C241" s="1"/>
      </tp>
      <tp t="s">
        <v>N/A</v>
        <stp/>
        <stp>PUT_CALL_RATIO</stp>
        <stp>.IBB201120P141</stp>
        <tr r="C242" s="1"/>
      </tp>
      <tp t="s">
        <v>N/A</v>
        <stp/>
        <stp>PUT_CALL_RATIO</stp>
        <stp>.IBB201120C140</stp>
        <tr r="C237" s="1"/>
      </tp>
      <tp t="s">
        <v>N/A</v>
        <stp/>
        <stp>PUT_CALL_RATIO</stp>
        <stp>.IBB201120P140</stp>
        <tr r="C238" s="1"/>
      </tp>
      <tp t="s">
        <v>N/A</v>
        <stp/>
        <stp>STRIKE</stp>
        <stp>.XBI201120P123</stp>
        <tr r="W769" s="1"/>
      </tp>
      <tp t="s">
        <v>N/A</v>
        <stp/>
        <stp>STRIKE</stp>
        <stp>.XBI201120C123</stp>
        <tr r="W768" s="1"/>
      </tp>
      <tp t="s">
        <v>N/A</v>
        <stp/>
        <stp>STRIKE</stp>
        <stp>.XBI201120P122</stp>
        <tr r="W765" s="1"/>
      </tp>
      <tp t="s">
        <v>N/A</v>
        <stp/>
        <stp>STRIKE</stp>
        <stp>.XBI201120C122</stp>
        <tr r="W764" s="1"/>
      </tp>
      <tp t="s">
        <v>N/A</v>
        <stp/>
        <stp>STRIKE</stp>
        <stp>.XBI201120P125</stp>
        <tr r="W777" s="1"/>
      </tp>
      <tp t="s">
        <v>N/A</v>
        <stp/>
        <stp>STRIKE</stp>
        <stp>.XBI201120C125</stp>
        <tr r="W776" s="1"/>
      </tp>
      <tp t="s">
        <v>N/A</v>
        <stp/>
        <stp>STRIKE</stp>
        <stp>.XBI201120P124</stp>
        <tr r="W773" s="1"/>
      </tp>
      <tp t="s">
        <v>N/A</v>
        <stp/>
        <stp>STRIKE</stp>
        <stp>.XBI201120C124</stp>
        <tr r="W772" s="1"/>
      </tp>
      <tp t="s">
        <v>N/A</v>
        <stp/>
        <stp>INTRINSIC</stp>
        <stp>.SPDW201120P32</stp>
        <tr r="R580" s="1"/>
      </tp>
      <tp t="s">
        <v>N/A</v>
        <stp/>
        <stp>OPEN_INT</stp>
        <stp>.EZU201120C42</stp>
        <tr r="G178" s="1"/>
      </tp>
      <tp t="s">
        <v>N/A</v>
        <stp/>
        <stp>OPEN_INT</stp>
        <stp>.BZQ201120C12</stp>
        <tr r="G52" s="1"/>
      </tp>
      <tp t="s">
        <v>N/A</v>
        <stp/>
        <stp>PUT_CALL_RATIO</stp>
        <stp>.DIA201120C292</stp>
        <tr r="C65" s="1"/>
      </tp>
      <tp t="s">
        <v>N/A</v>
        <stp/>
        <stp>PUT_CALL_RATIO</stp>
        <stp>.DIA201120P292</stp>
        <tr r="C66" s="1"/>
      </tp>
      <tp t="s">
        <v>N/A</v>
        <stp/>
        <stp>PUT_CALL_RATIO</stp>
        <stp>.DIA201120C293</stp>
        <tr r="C69" s="1"/>
      </tp>
      <tp t="s">
        <v>N/A</v>
        <stp/>
        <stp>PUT_CALL_RATIO</stp>
        <stp>.DIA201120P293</stp>
        <tr r="C70" s="1"/>
      </tp>
      <tp t="s">
        <v>N/A</v>
        <stp/>
        <stp>PUT_CALL_RATIO</stp>
        <stp>.DIA201120C291</stp>
        <tr r="C63" s="1"/>
      </tp>
      <tp t="s">
        <v>N/A</v>
        <stp/>
        <stp>PUT_CALL_RATIO</stp>
        <stp>.DIA201120P291</stp>
        <tr r="C64" s="1"/>
      </tp>
      <tp t="s">
        <v>N/A</v>
        <stp/>
        <stp>PUT_CALL_RATIO</stp>
        <stp>.DIA201120C296</stp>
        <tr r="C75" s="1"/>
      </tp>
      <tp t="s">
        <v>N/A</v>
        <stp/>
        <stp>PUT_CALL_RATIO</stp>
        <stp>.DIA201120P296</stp>
        <tr r="C76" s="1"/>
      </tp>
      <tp t="s">
        <v>N/A</v>
        <stp/>
        <stp>PUT_CALL_RATIO</stp>
        <stp>.DIA201120C297</stp>
        <tr r="C77" s="1"/>
      </tp>
      <tp t="s">
        <v>N/A</v>
        <stp/>
        <stp>PUT_CALL_RATIO</stp>
        <stp>.DIA201120P297</stp>
        <tr r="C78" s="1"/>
      </tp>
      <tp t="s">
        <v>N/A</v>
        <stp/>
        <stp>PUT_CALL_RATIO</stp>
        <stp>.DIA201120C294</stp>
        <tr r="C71" s="1"/>
      </tp>
      <tp t="s">
        <v>N/A</v>
        <stp/>
        <stp>PUT_CALL_RATIO</stp>
        <stp>.DIA201120P294</stp>
        <tr r="C72" s="1"/>
      </tp>
      <tp t="s">
        <v>N/A</v>
        <stp/>
        <stp>PUT_CALL_RATIO</stp>
        <stp>.DIA201120C295</stp>
        <tr r="C73" s="1"/>
      </tp>
      <tp t="s">
        <v>N/A</v>
        <stp/>
        <stp>PUT_CALL_RATIO</stp>
        <stp>.DIA201120P295</stp>
        <tr r="C74" s="1"/>
      </tp>
      <tp t="s">
        <v>N/A</v>
        <stp/>
        <stp>IMPL_VOL</stp>
        <stp>.RSX201120P22</stp>
        <tr r="D514" s="1"/>
      </tp>
      <tp t="s">
        <v>N/A</v>
        <stp/>
        <stp>INTRINSIC</stp>
        <stp>.INDY201120P38</stp>
        <tr r="R287" s="1"/>
      </tp>
      <tp t="s">
        <v>N/A</v>
        <stp/>
        <stp>INTRINSIC</stp>
        <stp>.ACWX201120C50</stp>
        <tr r="R13" s="1"/>
      </tp>
      <tp t="s">
        <v>N/A</v>
        <stp/>
        <stp>STRIKE</stp>
        <stp>.VTI201120C184</stp>
        <tr r="W746" s="1"/>
      </tp>
      <tp t="s">
        <v>N/A</v>
        <stp/>
        <stp>STRIKE</stp>
        <stp>.VTI201120P184</stp>
        <tr r="W747" s="1"/>
      </tp>
      <tp t="s">
        <v>N/A</v>
        <stp/>
        <stp>STRIKE</stp>
        <stp>.VTI201120C181</stp>
        <tr r="W740" s="1"/>
      </tp>
      <tp t="s">
        <v>N/A</v>
        <stp/>
        <stp>STRIKE</stp>
        <stp>.VTI201120P181</stp>
        <tr r="W741" s="1"/>
      </tp>
      <tp t="s">
        <v>N/A</v>
        <stp/>
        <stp>STRIKE</stp>
        <stp>.VTI201120C183</stp>
        <tr r="W744" s="1"/>
      </tp>
      <tp t="s">
        <v>N/A</v>
        <stp/>
        <stp>STRIKE</stp>
        <stp>.VTI201120P183</stp>
        <tr r="W745" s="1"/>
      </tp>
      <tp t="s">
        <v>N/A</v>
        <stp/>
        <stp>STRIKE</stp>
        <stp>.VTI201120C182</stp>
        <tr r="W742" s="1"/>
      </tp>
      <tp t="s">
        <v>N/A</v>
        <stp/>
        <stp>STRIKE</stp>
        <stp>.VTI201120P182</stp>
        <tr r="W743" s="1"/>
      </tp>
      <tp t="s">
        <v>N/A</v>
        <stp/>
        <stp>IMPL_VOL</stp>
        <stp>.IEMG201120C58</stp>
        <tr r="D259" s="1"/>
      </tp>
      <tp t="s">
        <v>N/A</v>
        <stp/>
        <stp>IMPL_VOL</stp>
        <stp>.IEMG201120C57</stp>
        <tr r="D257" s="1"/>
      </tp>
      <tp t="s">
        <v>N/A</v>
        <stp/>
        <stp>PROB_OF_TOUCHING</stp>
        <stp>.SCHD201120C61</stp>
        <tr r="V521" s="1"/>
      </tp>
      <tp t="s">
        <v>N/A</v>
        <stp/>
        <stp>PROB_OF_TOUCHING</stp>
        <stp>.SCHD201120C62</stp>
        <tr r="V523" s="1"/>
      </tp>
      <tp>
        <v>4.5</v>
        <stp/>
        <stp>LOW</stp>
        <stp>.SPY201120P357.5</stp>
        <tr r="K620" s="1"/>
      </tp>
      <tp t="s">
        <v>N/A</v>
        <stp/>
        <stp>PROB_OF_TOUCHING</stp>
        <stp>.MCHI201120C80</stp>
        <tr r="V412" s="1"/>
      </tp>
      <tp t="s">
        <v>N/A</v>
        <stp/>
        <stp>OPEN_INT</stp>
        <stp>.AAXJ201120P83</stp>
        <tr r="G4" s="1"/>
      </tp>
      <tp>
        <v>83</v>
        <stp/>
        <stp>OPEN_INT</stp>
        <stp>.ARKK201120C97</stp>
        <tr r="G26" s="1"/>
      </tp>
      <tp>
        <v>0</v>
        <stp/>
        <stp>OPEN_INT</stp>
        <stp>.AAXJ201120P84</stp>
        <tr r="G6" s="1"/>
      </tp>
      <tp>
        <v>245</v>
        <stp/>
        <stp>OPEN_INT</stp>
        <stp>.ARKK201120C99</stp>
        <tr r="G30" s="1"/>
      </tp>
      <tp>
        <v>166</v>
        <stp/>
        <stp>OPEN_INT</stp>
        <stp>.ARKK201120C98</stp>
        <tr r="G28" s="1"/>
      </tp>
      <tp t="s">
        <v>N/A</v>
        <stp/>
        <stp>PROB_OF_TOUCHING</stp>
        <stp>.SCHE201120C29</stp>
        <tr r="V526" s="1"/>
      </tp>
      <tp t="s">
        <v>N/A</v>
        <stp/>
        <stp>PROB_OF_TOUCHING</stp>
        <stp>.SPHD201120C36</stp>
        <tr r="V582" s="1"/>
      </tp>
      <tp t="s">
        <v>N/A</v>
        <stp/>
        <stp>PROB_OF_TOUCHING</stp>
        <stp>.SCHF201120C34</stp>
        <tr r="V529" s="1"/>
      </tp>
      <tp t="s">
        <v>N/A</v>
        <stp/>
        <stp>DESCRIPTION</stp>
        <stp>.XLV201120P110.5</stp>
        <tr r="B860" s="1"/>
      </tp>
      <tp t="s">
        <v>N/A</v>
        <stp/>
        <stp>DESCRIPTION</stp>
        <stp>.XLK201120P120.5</stp>
        <tr r="B830" s="1"/>
      </tp>
      <tp t="s">
        <v>N/A</v>
        <stp/>
        <stp>RHO</stp>
        <stp>.QQQ201120C292.5</stp>
        <tr r="Q492" s="1"/>
      </tp>
      <tp>
        <v>342</v>
        <stp/>
        <stp>OPEN_INT</stp>
        <stp>.GDXJ201120P54</stp>
        <tr r="G212" s="1"/>
      </tp>
      <tp>
        <v>226</v>
        <stp/>
        <stp>OPEN_INT</stp>
        <stp>.GDXJ201120P53</stp>
        <tr r="G208" s="1"/>
      </tp>
      <tp>
        <v>2022</v>
        <stp/>
        <stp>OPEN_INT</stp>
        <stp>.GDXJ201120P52</stp>
        <tr r="G204" s="1"/>
      </tp>
      <tp>
        <v>0.53</v>
        <stp/>
        <stp>BID</stp>
        <stp>.TLT201120P156.5</stp>
        <tr r="H697" s="1"/>
      </tp>
      <tp>
        <v>3.4</v>
        <stp/>
        <stp>ASK</stp>
        <stp>.IBB201120P141.5</stp>
        <tr r="I244" s="1"/>
      </tp>
      <tp t="s">
        <v>N/A</v>
        <stp/>
        <stp>ASK</stp>
        <stp>.LQD201120C134.5</stp>
        <tr r="I405" s="1"/>
      </tp>
      <tp>
        <v>1.54</v>
        <stp/>
        <stp>LOW</stp>
        <stp>.SMH201120C197.5</stp>
        <tr r="K572" s="1"/>
      </tp>
      <tp t="s">
        <v>N/A</v>
        <stp/>
        <stp>PROB_OF_TOUCHING</stp>
        <stp>.ASHR201120C38</stp>
        <tr r="V46" s="1"/>
      </tp>
      <tp>
        <v>2</v>
        <stp/>
        <stp>LOW</stp>
        <stp>.SPY201120C357.5</stp>
        <tr r="K619" s="1"/>
      </tp>
      <tp t="s">
        <v>N/A</v>
        <stp/>
        <stp>IMPL_VOL</stp>
        <stp>.USMV201120C67</stp>
        <tr r="D699" s="1"/>
      </tp>
      <tp t="s">
        <v>N/A</v>
        <stp/>
        <stp>PROB_OTM</stp>
        <stp>.JETS201120C20</stp>
        <tr r="U378" s="1"/>
      </tp>
      <tp t="s">
        <v>N/A</v>
        <stp/>
        <stp>DESCRIPTION</stp>
        <stp>.XLV201120C110.5</stp>
        <tr r="B859" s="1"/>
      </tp>
      <tp t="s">
        <v>N/A</v>
        <stp/>
        <stp>DESCRIPTION</stp>
        <stp>.XLK201120C120.5</stp>
        <tr r="B829" s="1"/>
      </tp>
      <tp t="s">
        <v>N/A</v>
        <stp/>
        <stp>PROB_OF_TOUCHING</stp>
        <stp>.SCHP201120C61</stp>
        <tr r="V532" s="1"/>
      </tp>
      <tp t="s">
        <v>N/A</v>
        <stp/>
        <stp>RHO</stp>
        <stp>.QQQ201120P292.5</stp>
        <tr r="Q493" s="1"/>
      </tp>
      <tp t="s">
        <v>N/A</v>
        <stp/>
        <stp>ASK</stp>
        <stp>.IBB201120C141.5</stp>
        <tr r="I243" s="1"/>
      </tp>
      <tp t="s">
        <v>N/A</v>
        <stp/>
        <stp>ASK</stp>
        <stp>.LQD201120P134.5</stp>
        <tr r="I406" s="1"/>
      </tp>
      <tp>
        <v>4.3</v>
        <stp/>
        <stp>LOW</stp>
        <stp>.SMH201120P197.5</stp>
        <tr r="K573" s="1"/>
      </tp>
      <tp>
        <v>2.37</v>
        <stp/>
        <stp>BID</stp>
        <stp>.TLT201120C156.5</stp>
        <tr r="H696" s="1"/>
      </tp>
      <tp t="s">
        <v>N/A</v>
        <stp/>
        <stp>GAMMA</stp>
        <stp>.AMLP201120C23.5</stp>
        <tr r="N21" s="1"/>
      </tp>
      <tp t="s">
        <v>N/A</v>
        <stp/>
        <stp>GAMMA</stp>
        <stp>.AMLP201120P23.5</stp>
        <tr r="N22" s="1"/>
      </tp>
      <tp t="s">
        <v>N/A</v>
        <stp/>
        <stp>DELTA</stp>
        <stp>.XBI201120C122.5</stp>
        <tr r="M766" s="1"/>
      </tp>
      <tp>
        <v>37.969200000000001</v>
        <stp/>
        <stp>HIGH</stp>
        <stp>ASHR</stp>
        <tr r="J43" s="1"/>
      </tp>
      <tp t="s">
        <v>N/A</v>
        <stp/>
        <stp>THETA</stp>
        <stp>.XRT201120P54</stp>
        <tr r="O904" s="1"/>
      </tp>
      <tp t="s">
        <v>N/A</v>
        <stp/>
        <stp>THETA</stp>
        <stp>.XRT201120P55</stp>
        <tr r="O908" s="1"/>
      </tp>
      <tp t="s">
        <v>N/A</v>
        <stp/>
        <stp>THETA</stp>
        <stp>.XBI201120P122.5</stp>
        <tr r="O767" s="1"/>
      </tp>
      <tp>
        <v>42.44</v>
        <stp/>
        <stp>LAST</stp>
        <stp>DGRO</stp>
        <tr r="E59" s="1"/>
      </tp>
      <tp>
        <v>1</v>
        <stp/>
        <stp>DELTA</stp>
        <stp>XRT</stp>
        <tr r="M902" s="1"/>
      </tp>
      <tp>
        <v>0</v>
        <stp/>
        <stp>THETA</stp>
        <stp>QQQ</stp>
        <tr r="O475" s="1"/>
      </tp>
      <tp>
        <v>66.73</v>
        <stp/>
        <stp>HIGH</stp>
        <stp>USMV</stp>
        <tr r="J698" s="1"/>
      </tp>
      <tp t="s">
        <v>N/A</v>
        <stp/>
        <stp>GAMMA</stp>
        <stp>.DIA201120C297.5</stp>
        <tr r="N79" s="1"/>
      </tp>
      <tp t="s">
        <v>N/A</v>
        <stp/>
        <stp>OPEN</stp>
        <stp>.VCLT201120C107</stp>
        <tr r="L705" s="1"/>
      </tp>
      <tp t="s">
        <v>N/A</v>
        <stp/>
        <stp>OPEN</stp>
        <stp>.VCLT201120P107</stp>
        <tr r="L706" s="1"/>
      </tp>
      <tp>
        <v>0</v>
        <stp/>
        <stp>VEGA</stp>
        <stp>ASHR</stp>
        <tr r="P43" s="1"/>
      </tp>
      <tp t="s">
        <v>N/A</v>
        <stp/>
        <stp>DELTA</stp>
        <stp>.TBT201120P17</stp>
        <tr r="M685" s="1"/>
      </tp>
      <tp t="s">
        <v>N/A</v>
        <stp/>
        <stp>GAMMA</stp>
        <stp>.XRT201120C54</stp>
        <tr r="N903" s="1"/>
      </tp>
      <tp t="s">
        <v>N/A</v>
        <stp/>
        <stp>GAMMA</stp>
        <stp>.XRT201120C55</stp>
        <tr r="N907" s="1"/>
      </tp>
      <tp t="s">
        <v>N/A</v>
        <stp/>
        <stp>THETA</stp>
        <stp>.XLY201120P152.5</stp>
        <tr r="O873" s="1"/>
      </tp>
      <tp t="s">
        <v>N/A</v>
        <stp/>
        <stp>THETA</stp>
        <stp>.XLK201120P122.5</stp>
        <tr r="O838" s="1"/>
      </tp>
      <tp>
        <v>0</v>
        <stp/>
        <stp>VEGA</stp>
        <stp>USMV</stp>
        <tr r="P698" s="1"/>
      </tp>
      <tp t="s">
        <v>N/A</v>
        <stp/>
        <stp>DELTA</stp>
        <stp>.XLY201120C152.5</stp>
        <tr r="M872" s="1"/>
      </tp>
      <tp t="s">
        <v>N/A</v>
        <stp/>
        <stp>DELTA</stp>
        <stp>.XLK201120C122.5</stp>
        <tr r="M837" s="1"/>
      </tp>
      <tp t="s">
        <v>N/A</v>
        <stp/>
        <stp>THETA</stp>
        <stp>.XBI201120C122.5</stp>
        <tr r="O766" s="1"/>
      </tp>
      <tp t="s">
        <v>N/A</v>
        <stp/>
        <stp>THETA</stp>
        <stp>.KRE201120P46</stp>
        <tr r="O390" s="1"/>
      </tp>
      <tp t="s">
        <v>N/A</v>
        <stp/>
        <stp>THETA</stp>
        <stp>.KRE201120P47</stp>
        <tr r="O394" s="1"/>
      </tp>
      <tp t="s">
        <v>N/A</v>
        <stp/>
        <stp>DELTA</stp>
        <stp>.XBI201120P122.5</stp>
        <tr r="M767" s="1"/>
      </tp>
      <tp t="s">
        <v>N/A</v>
        <stp/>
        <stp>GAMMA</stp>
        <stp>.TAN201120P73</stp>
        <tr r="N663" s="1"/>
      </tp>
      <tp t="s">
        <v>N/A</v>
        <stp/>
        <stp>GAMMA</stp>
        <stp>.TAN201120P76</stp>
        <tr r="N675" s="1"/>
      </tp>
      <tp t="s">
        <v>N/A</v>
        <stp/>
        <stp>GAMMA</stp>
        <stp>.TAN201120P77</stp>
        <tr r="N679" s="1"/>
      </tp>
      <tp t="s">
        <v>N/A</v>
        <stp/>
        <stp>GAMMA</stp>
        <stp>.TAN201120P74</stp>
        <tr r="N667" s="1"/>
      </tp>
      <tp t="s">
        <v>N/A</v>
        <stp/>
        <stp>GAMMA</stp>
        <stp>.TAN201120P75</stp>
        <tr r="N671" s="1"/>
      </tp>
      <tp>
        <v>1</v>
        <stp/>
        <stp>DELTA</stp>
        <stp>XBI</stp>
        <tr r="M763" s="1"/>
      </tp>
      <tp t="s">
        <v>N/A</v>
        <stp/>
        <stp>HIGH</stp>
        <stp>.MTUM201120P152</stp>
        <tr r="J434" s="1"/>
      </tp>
      <tp>
        <v>0</v>
        <stp/>
        <stp>HIGH</stp>
        <stp>.MTUM201120C152</stp>
        <tr r="J433" s="1"/>
      </tp>
      <tp t="s">
        <v>N/A</v>
        <stp/>
        <stp>HIGH</stp>
        <stp>.MTUM201120P150</stp>
        <tr r="J430" s="1"/>
      </tp>
      <tp>
        <v>0</v>
        <stp/>
        <stp>HIGH</stp>
        <stp>.MTUM201120C150</stp>
        <tr r="J429" s="1"/>
      </tp>
      <tp t="s">
        <v>N/A</v>
        <stp/>
        <stp>HIGH</stp>
        <stp>.MTUM201120P151</stp>
        <tr r="J432" s="1"/>
      </tp>
      <tp t="s">
        <v>N/A</v>
        <stp/>
        <stp>HIGH</stp>
        <stp>.MTUM201120C151</stp>
        <tr r="J431" s="1"/>
      </tp>
      <tp t="s">
        <v>N/A</v>
        <stp/>
        <stp>HIGH</stp>
        <stp>.MTUM201120P149</stp>
        <tr r="J428" s="1"/>
      </tp>
      <tp>
        <v>0</v>
        <stp/>
        <stp>HIGH</stp>
        <stp>.MTUM201120C149</stp>
        <tr r="J427" s="1"/>
      </tp>
      <tp>
        <v>1</v>
        <stp/>
        <stp>DELTA</stp>
        <stp>XOP</stp>
        <tr r="M889" s="1"/>
      </tp>
      <tp t="s">
        <v>N/A</v>
        <stp/>
        <stp>DELTA</stp>
        <stp>.KBE201120P38</stp>
        <tr r="M387" s="1"/>
      </tp>
      <tp t="s">
        <v>N/A</v>
        <stp/>
        <stp>DELTA</stp>
        <stp>.TBF201120P16</stp>
        <tr r="M682" s="1"/>
      </tp>
      <tp>
        <v>1</v>
        <stp/>
        <stp>DELTA</stp>
        <stp>XME</stp>
        <tr r="M884" s="1"/>
      </tp>
      <tp t="s">
        <v>N/A</v>
        <stp/>
        <stp>THETA</stp>
        <stp>.TAN201120C73</stp>
        <tr r="O662" s="1"/>
      </tp>
      <tp t="s">
        <v>N/A</v>
        <stp/>
        <stp>THETA</stp>
        <stp>.TAN201120C76</stp>
        <tr r="O674" s="1"/>
      </tp>
      <tp t="s">
        <v>N/A</v>
        <stp/>
        <stp>THETA</stp>
        <stp>.TAN201120C77</stp>
        <tr r="O678" s="1"/>
      </tp>
      <tp t="s">
        <v>N/A</v>
        <stp/>
        <stp>THETA</stp>
        <stp>.TAN201120C74</stp>
        <tr r="O666" s="1"/>
      </tp>
      <tp t="s">
        <v>N/A</v>
        <stp/>
        <stp>THETA</stp>
        <stp>.TAN201120C75</stp>
        <tr r="O670" s="1"/>
      </tp>
      <tp t="s">
        <v>N/A</v>
        <stp/>
        <stp>GAMMA</stp>
        <stp>.DIA201120P297.5</stp>
        <tr r="N80" s="1"/>
      </tp>
      <tp>
        <v>1</v>
        <stp/>
        <stp>DELTA</stp>
        <stp>XLY</stp>
        <tr r="M867" s="1"/>
      </tp>
      <tp>
        <v>1</v>
        <stp/>
        <stp>DELTA</stp>
        <stp>XLV</stp>
        <tr r="M856" s="1"/>
      </tp>
      <tp>
        <v>0</v>
        <stp/>
        <stp>THETA</stp>
        <stp>QLD</stp>
        <tr r="O462" s="1"/>
      </tp>
      <tp>
        <v>1</v>
        <stp/>
        <stp>DELTA</stp>
        <stp>XLU</stp>
        <tr r="M849" s="1"/>
      </tp>
      <tp>
        <v>1</v>
        <stp/>
        <stp>DELTA</stp>
        <stp>XLP</stp>
        <tr r="M841" s="1"/>
      </tp>
      <tp>
        <v>1</v>
        <stp/>
        <stp>DELTA</stp>
        <stp>XLK</stp>
        <tr r="M824" s="1"/>
      </tp>
      <tp>
        <v>1</v>
        <stp/>
        <stp>DELTA</stp>
        <stp>XLI</stp>
        <tr r="M813" s="1"/>
      </tp>
      <tp>
        <v>1</v>
        <stp/>
        <stp>DELTA</stp>
        <stp>XLF</stp>
        <tr r="M810" s="1"/>
      </tp>
      <tp>
        <v>1</v>
        <stp/>
        <stp>DELTA</stp>
        <stp>XLE</stp>
        <tr r="M803" s="1"/>
      </tp>
      <tp>
        <v>1</v>
        <stp/>
        <stp>DELTA</stp>
        <stp>XLB</stp>
        <tr r="M787" s="1"/>
      </tp>
      <tp>
        <v>1</v>
        <stp/>
        <stp>DELTA</stp>
        <stp>XLC</stp>
        <tr r="M796" s="1"/>
      </tp>
      <tp t="s">
        <v>N/A</v>
        <stp/>
        <stp>GAMMA</stp>
        <stp>.KRE201120C46</stp>
        <tr r="N389" s="1"/>
      </tp>
      <tp t="s">
        <v>N/A</v>
        <stp/>
        <stp>GAMMA</stp>
        <stp>.KRE201120C47</stp>
        <tr r="N393" s="1"/>
      </tp>
      <tp t="s">
        <v>N/A</v>
        <stp/>
        <stp>DELTA</stp>
        <stp>.XLY201120P152.5</stp>
        <tr r="M873" s="1"/>
      </tp>
      <tp t="s">
        <v>N/A</v>
        <stp/>
        <stp>DELTA</stp>
        <stp>.XLK201120P122.5</stp>
        <tr r="M838" s="1"/>
      </tp>
      <tp t="s">
        <v>N/A</v>
        <stp/>
        <stp>THETA</stp>
        <stp>.XLY201120C152.5</stp>
        <tr r="O872" s="1"/>
      </tp>
      <tp t="s">
        <v>N/A</v>
        <stp/>
        <stp>THETA</stp>
        <stp>.XLK201120C122.5</stp>
        <tr r="O837" s="1"/>
      </tp>
      <tp>
        <v>69.89</v>
        <stp/>
        <stp>LAST</stp>
        <stp>VGIT</stp>
        <tr r="E718" s="1"/>
      </tp>
      <tp>
        <v>60.98</v>
        <stp/>
        <stp>LAST</stp>
        <stp>IGIB</stp>
        <tr r="E261" s="1"/>
      </tp>
      <tp>
        <v>1</v>
        <stp/>
        <stp>DELTA</stp>
        <stp>XHB</stp>
        <tr r="M780" s="1"/>
      </tp>
      <tp>
        <v>1</v>
        <stp/>
        <stp>VOLUME</stp>
        <stp>.TAN201120P73</stp>
        <tr r="F663" s="1"/>
      </tp>
      <tp>
        <v>4</v>
        <stp/>
        <stp>VOLUME</stp>
        <stp>.TAN201120P77</stp>
        <tr r="F679" s="1"/>
      </tp>
      <tp>
        <v>0</v>
        <stp/>
        <stp>VOLUME</stp>
        <stp>.TAN201120P76</stp>
        <tr r="F675" s="1"/>
      </tp>
      <tp>
        <v>4</v>
        <stp/>
        <stp>VOLUME</stp>
        <stp>.TAN201120P75</stp>
        <tr r="F671" s="1"/>
      </tp>
      <tp>
        <v>2</v>
        <stp/>
        <stp>VOLUME</stp>
        <stp>.TAN201120P74</stp>
        <tr r="F667" s="1"/>
      </tp>
      <tp>
        <v>1.65</v>
        <stp/>
        <stp>ASK</stp>
        <stp>.SPDW201120C32</stp>
        <tr r="I579" s="1"/>
      </tp>
      <tp>
        <v>0</v>
        <stp/>
        <stp>LOW</stp>
        <stp>.INDY201120C38</stp>
        <tr r="K286" s="1"/>
      </tp>
      <tp>
        <v>0</v>
        <stp/>
        <stp>BID</stp>
        <stp>.SPDW201120C32</stp>
        <tr r="H579" s="1"/>
      </tp>
      <tp t="s">
        <v>N/A</v>
        <stp/>
        <stp>DESCRIPTION</stp>
        <stp>.ARKW201120C116</stp>
        <tr r="B35" s="1"/>
      </tp>
      <tp t="s">
        <v>N/A</v>
        <stp/>
        <stp>DESCRIPTION</stp>
        <stp>.ARKW201120P116</stp>
        <tr r="B36" s="1"/>
      </tp>
      <tp t="s">
        <v>N/A</v>
        <stp/>
        <stp>DESCRIPTION</stp>
        <stp>.ARKW201120C117</stp>
        <tr r="B37" s="1"/>
      </tp>
      <tp t="s">
        <v>N/A</v>
        <stp/>
        <stp>DESCRIPTION</stp>
        <stp>.ARKW201120P117</stp>
        <tr r="B38" s="1"/>
      </tp>
      <tp t="s">
        <v>N/A</v>
        <stp/>
        <stp>DESCRIPTION</stp>
        <stp>.ARKW201120C118</stp>
        <tr r="B39" s="1"/>
      </tp>
      <tp t="s">
        <v>N/A</v>
        <stp/>
        <stp>DESCRIPTION</stp>
        <stp>.ARKW201120P118</stp>
        <tr r="B40" s="1"/>
      </tp>
      <tp t="s">
        <v>N/A</v>
        <stp/>
        <stp>DESCRIPTION</stp>
        <stp>.ARKW201120C119</stp>
        <tr r="B41" s="1"/>
      </tp>
      <tp t="s">
        <v>N/A</v>
        <stp/>
        <stp>DESCRIPTION</stp>
        <stp>.ARKW201120P119</stp>
        <tr r="B42" s="1"/>
      </tp>
      <tp t="s">
        <v>N/A</v>
        <stp/>
        <stp>RHO</stp>
        <stp>.INDA201120C36</stp>
        <tr r="Q281" s="1"/>
      </tp>
      <tp t="s">
        <v>N/A</v>
        <stp/>
        <stp>LOW</stp>
        <stp>.ACWX201120P50</stp>
        <tr r="K14" s="1"/>
      </tp>
      <tp t="s">
        <v>N/A</v>
        <stp/>
        <stp>STRIKE</stp>
        <stp>.EZU201120P42</stp>
        <tr r="W179" s="1"/>
      </tp>
      <tp t="s">
        <v>N/A</v>
        <stp/>
        <stp>RHO</stp>
        <stp>.ACWI201120P86</stp>
        <tr r="Q11" s="1"/>
      </tp>
      <tp t="s">
        <v>N/A</v>
        <stp/>
        <stp>RHO</stp>
        <stp>.ACWI201120P85</stp>
        <tr r="Q9" s="1"/>
      </tp>
      <tp t="s">
        <v>N/A</v>
        <stp/>
        <stp>STRIKE</stp>
        <stp>.BZQ201120P12</stp>
        <tr r="W53" s="1"/>
      </tp>
      <tp t="s">
        <v>N/A</v>
        <stp/>
        <stp>ASK</stp>
        <stp>.ACWX201120P50</stp>
        <tr r="I14" s="1"/>
      </tp>
      <tp>
        <v>531</v>
        <stp/>
        <stp>VOLUME</stp>
        <stp>.KRE201120C47</stp>
        <tr r="F393" s="1"/>
      </tp>
      <tp>
        <v>365</v>
        <stp/>
        <stp>VOLUME</stp>
        <stp>.KRE201120C46</stp>
        <tr r="F389" s="1"/>
      </tp>
      <tp t="s">
        <v>N/A</v>
        <stp/>
        <stp>DESCRIPTION</stp>
        <stp>.SCHD201120P62</stp>
        <tr r="B524" s="1"/>
      </tp>
      <tp t="s">
        <v>N/A</v>
        <stp/>
        <stp>DESCRIPTION</stp>
        <stp>.SCHD201120P61</stp>
        <tr r="B522" s="1"/>
      </tp>
      <tp t="s">
        <v>N/A</v>
        <stp/>
        <stp>PUT_CALL_RATIO</stp>
        <stp>.TBT201120P17</stp>
        <tr r="C685" s="1"/>
      </tp>
      <tp t="s">
        <v>N/A</v>
        <stp/>
        <stp>DESCRIPTION</stp>
        <stp>.MCHI201120P80</stp>
        <tr r="B413" s="1"/>
      </tp>
      <tp t="s">
        <v>N/A</v>
        <stp/>
        <stp>BID</stp>
        <stp>.ACWX201120P50</stp>
        <tr r="H14" s="1"/>
      </tp>
      <tp>
        <v>0.1</v>
        <stp/>
        <stp>BID</stp>
        <stp>.INDY201120C38</stp>
        <tr r="H286" s="1"/>
      </tp>
      <tp t="s">
        <v>N/A</v>
        <stp/>
        <stp>DESCRIPTION</stp>
        <stp>.SPHD201120P36</stp>
        <tr r="B583" s="1"/>
      </tp>
      <tp>
        <v>0</v>
        <stp/>
        <stp>LOW</stp>
        <stp>.SPDW201120C32</stp>
        <tr r="K579" s="1"/>
      </tp>
      <tp t="s">
        <v>N/A</v>
        <stp/>
        <stp>DESCRIPTION</stp>
        <stp>.SCHE201120P29</stp>
        <tr r="B527" s="1"/>
      </tp>
      <tp t="s">
        <v>N/A</v>
        <stp/>
        <stp>DESCRIPTION</stp>
        <stp>.SCHF201120P34</stp>
        <tr r="B530" s="1"/>
      </tp>
      <tp>
        <v>1.1000000000000001</v>
        <stp/>
        <stp>ASK</stp>
        <stp>.INDY201120C38</stp>
        <tr r="I286" s="1"/>
      </tp>
      <tp t="s">
        <v>N/A</v>
        <stp/>
        <stp>RHO</stp>
        <stp>.SPDW201120C32</stp>
        <tr r="Q579" s="1"/>
      </tp>
      <tp t="s">
        <v>N/A</v>
        <stp/>
        <stp>BID</stp>
        <stp>.INDA201120C36</stp>
        <tr r="H281" s="1"/>
      </tp>
      <tp t="s">
        <v>N/A</v>
        <stp/>
        <stp>ASK</stp>
        <stp>.ACWI201120P85</stp>
        <tr r="I9" s="1"/>
      </tp>
      <tp t="s">
        <v>N/A</v>
        <stp/>
        <stp>ASK</stp>
        <stp>.ACWI201120P86</stp>
        <tr r="I11" s="1"/>
      </tp>
      <tp t="s">
        <v>N/A</v>
        <stp/>
        <stp>BID</stp>
        <stp>.ACWI201120P86</stp>
        <tr r="H11" s="1"/>
      </tp>
      <tp t="s">
        <v>N/A</v>
        <stp/>
        <stp>BID</stp>
        <stp>.ACWI201120P85</stp>
        <tr r="H9" s="1"/>
      </tp>
      <tp t="s">
        <v>N/A</v>
        <stp/>
        <stp>ASK</stp>
        <stp>.INDA201120C36</stp>
        <tr r="I281" s="1"/>
      </tp>
      <tp t="s">
        <v>N/A</v>
        <stp/>
        <stp>VOLUME</stp>
        <stp>.XRT201120C55</stp>
        <tr r="F907" s="1"/>
      </tp>
      <tp t="s">
        <v>N/A</v>
        <stp/>
        <stp>VOLUME</stp>
        <stp>.XRT201120C54</stp>
        <tr r="F903" s="1"/>
      </tp>
      <tp t="s">
        <v>N/A</v>
        <stp/>
        <stp>LOW</stp>
        <stp>.ACWI201120P85</stp>
        <tr r="K9" s="1"/>
      </tp>
      <tp t="s">
        <v>N/A</v>
        <stp/>
        <stp>LOW</stp>
        <stp>.ACWI201120P86</stp>
        <tr r="K11" s="1"/>
      </tp>
      <tp t="s">
        <v>N/A</v>
        <stp/>
        <stp>LOW</stp>
        <stp>.INDA201120C36</stp>
        <tr r="K281" s="1"/>
      </tp>
      <tp t="s">
        <v>N/A</v>
        <stp/>
        <stp>DESCRIPTION</stp>
        <stp>.ASHR201120P38</stp>
        <tr r="B47" s="1"/>
      </tp>
      <tp t="s">
        <v>N/A</v>
        <stp/>
        <stp>PUT_CALL_RATIO</stp>
        <stp>.KBE201120P38</stp>
        <tr r="C387" s="1"/>
      </tp>
      <tp t="s">
        <v>N/A</v>
        <stp/>
        <stp>RHO</stp>
        <stp>.ACWX201120P50</stp>
        <tr r="Q14" s="1"/>
      </tp>
      <tp t="s">
        <v>N/A</v>
        <stp/>
        <stp>PUT_CALL_RATIO</stp>
        <stp>.TBF201120P16</stp>
        <tr r="C682" s="1"/>
      </tp>
      <tp t="s">
        <v>N/A</v>
        <stp/>
        <stp>RHO</stp>
        <stp>.INDY201120C38</stp>
        <tr r="Q286" s="1"/>
      </tp>
      <tp t="s">
        <v>N/A</v>
        <stp/>
        <stp>DESCRIPTION</stp>
        <stp>.SCHP201120P61</stp>
        <tr r="B533" s="1"/>
      </tp>
      <tp t="s">
        <v>N/A</v>
        <stp/>
        <stp>PROB_OF_EXPIRING</stp>
        <stp>.HYG201120P86</stp>
        <tr r="T224" s="1"/>
      </tp>
      <tp t="s">
        <v>N/A</v>
        <stp/>
        <stp>IMPL_VOL</stp>
        <stp>.KRE201120P46</stp>
        <tr r="D390" s="1"/>
      </tp>
      <tp>
        <v>1621</v>
        <stp/>
        <stp>OPEN_INT</stp>
        <stp>.XHB201120P55</stp>
        <tr r="G782" s="1"/>
      </tp>
      <tp t="s">
        <v>N/A</v>
        <stp/>
        <stp>IMPL_VOL</stp>
        <stp>.KRE201120P47</stp>
        <tr r="D394" s="1"/>
      </tp>
      <tp>
        <v>178</v>
        <stp/>
        <stp>OPEN_INT</stp>
        <stp>.XHB201120P56</stp>
        <tr r="G786" s="1"/>
      </tp>
      <tp t="s">
        <v>N/A</v>
        <stp/>
        <stp>PROB_OTM</stp>
        <stp>.VNQ201120C84</stp>
        <tr r="U725" s="1"/>
      </tp>
      <tp t="s">
        <v>N/A</v>
        <stp/>
        <stp>PROB_OTM</stp>
        <stp>.VNQ201120C85</stp>
        <tr r="U727" s="1"/>
      </tp>
      <tp t="s">
        <v>N/A</v>
        <stp/>
        <stp>PROB_OF_TOUCHING</stp>
        <stp>.SSO201120P82</stp>
        <tr r="V648" s="1"/>
      </tp>
      <tp t="s">
        <v>N/A</v>
        <stp/>
        <stp>PROB_OF_TOUCHING</stp>
        <stp>.SSO201120P83</stp>
        <tr r="V652" s="1"/>
      </tp>
      <tp t="s">
        <v>N/A</v>
        <stp/>
        <stp>PROB_OF_TOUCHING</stp>
        <stp>.SSO201120P81</stp>
        <tr r="V644" s="1"/>
      </tp>
      <tp t="s">
        <v>N/A</v>
        <stp/>
        <stp>PROB_OF_TOUCHING</stp>
        <stp>.SSO201120P84</stp>
        <tr r="V656" s="1"/>
      </tp>
      <tp t="s">
        <v>N/A</v>
        <stp/>
        <stp>INTRINSIC</stp>
        <stp>.KWEB201120P74</stp>
        <tr r="R403" s="1"/>
      </tp>
      <tp t="s">
        <v>N/A</v>
        <stp/>
        <stp>INTRINSIC</stp>
        <stp>.KWEB201120P73</stp>
        <tr r="R401" s="1"/>
      </tp>
      <tp t="s">
        <v>N/A</v>
        <stp/>
        <stp>INTRINSIC</stp>
        <stp>.KWEB201120P72</stp>
        <tr r="R399" s="1"/>
      </tp>
      <tp t="s">
        <v>N/A</v>
        <stp/>
        <stp>IMPL_VOL</stp>
        <stp>.TAN201120C73</stp>
        <tr r="D662" s="1"/>
      </tp>
      <tp t="s">
        <v>N/A</v>
        <stp/>
        <stp>IMPL_VOL</stp>
        <stp>.TAN201120C76</stp>
        <tr r="D674" s="1"/>
      </tp>
      <tp t="s">
        <v>N/A</v>
        <stp/>
        <stp>IMPL_VOL</stp>
        <stp>.TAN201120C77</stp>
        <tr r="D678" s="1"/>
      </tp>
      <tp t="s">
        <v>N/A</v>
        <stp/>
        <stp>IMPL_VOL</stp>
        <stp>.TAN201120C74</stp>
        <tr r="D666" s="1"/>
      </tp>
      <tp t="s">
        <v>N/A</v>
        <stp/>
        <stp>IMPL_VOL</stp>
        <stp>.TAN201120C75</stp>
        <tr r="D670" s="1"/>
      </tp>
      <tp t="s">
        <v>N/A</v>
        <stp/>
        <stp>PROB_OF_EXPIRING</stp>
        <stp>.VYM201120P87</stp>
        <tr r="T760" s="1"/>
      </tp>
      <tp t="s">
        <v>N/A</v>
        <stp/>
        <stp>PROB_OF_EXPIRING</stp>
        <stp>.VYM201120P88</stp>
        <tr r="T762" s="1"/>
      </tp>
      <tp>
        <v>49</v>
        <stp/>
        <stp>VOLUME</stp>
        <stp>.XLV201120C110</stp>
        <tr r="F857" s="1"/>
      </tp>
      <tp>
        <v>530</v>
        <stp/>
        <stp>VOLUME</stp>
        <stp>.XLV201120P110</stp>
        <tr r="F858" s="1"/>
      </tp>
      <tp>
        <v>16</v>
        <stp/>
        <stp>VOLUME</stp>
        <stp>.XLV201120C111</stp>
        <tr r="F861" s="1"/>
      </tp>
      <tp>
        <v>5</v>
        <stp/>
        <stp>VOLUME</stp>
        <stp>.XLV201120P111</stp>
        <tr r="F862" s="1"/>
      </tp>
      <tp>
        <v>137</v>
        <stp/>
        <stp>VOLUME</stp>
        <stp>.XLV201120C112</stp>
        <tr r="F865" s="1"/>
      </tp>
      <tp>
        <v>11</v>
        <stp/>
        <stp>VOLUME</stp>
        <stp>.XLV201120P112</stp>
        <tr r="F866" s="1"/>
      </tp>
      <tp t="s">
        <v>N/A</v>
        <stp/>
        <stp>PROB_OF_EXPIRING</stp>
        <stp>.IYE201120P18</stp>
        <tr r="T365" s="1"/>
      </tp>
      <tp t="s">
        <v>N/A</v>
        <stp/>
        <stp>EXTRINSIC</stp>
        <stp>.GUSH201120P27</stp>
        <tr r="S217" s="1"/>
      </tp>
      <tp t="s">
        <v>N/A</v>
        <stp/>
        <stp>EXTRINSIC</stp>
        <stp>.GUSH201120P26</stp>
        <tr r="S215" s="1"/>
      </tp>
      <tp t="s">
        <v>N/A</v>
        <stp/>
        <stp>EXTRINSIC</stp>
        <stp>.GUSH201120P28</stp>
        <tr r="S219" s="1"/>
      </tp>
      <tp t="s">
        <v>N/A</v>
        <stp/>
        <stp>INTRINSIC</stp>
        <stp>.DFEN201120P13</stp>
        <tr r="R56" s="1"/>
      </tp>
      <tp t="s">
        <v>N/A</v>
        <stp/>
        <stp>INTRINSIC</stp>
        <stp>.DFEN201120P14</stp>
        <tr r="R58" s="1"/>
      </tp>
      <tp t="s">
        <v>N/A</v>
        <stp/>
        <stp>IMPL_VOL</stp>
        <stp>.XRT201120P54</stp>
        <tr r="D904" s="1"/>
      </tp>
      <tp t="s">
        <v>N/A</v>
        <stp/>
        <stp>IMPL_VOL</stp>
        <stp>.XRT201120P55</stp>
        <tr r="D908" s="1"/>
      </tp>
      <tp t="s">
        <v>N/A</v>
        <stp/>
        <stp>INTRINSIC</stp>
        <stp>.SRVR201120C36</stp>
        <tr r="R640" s="1"/>
      </tp>
      <tp t="s">
        <v>N/A</v>
        <stp/>
        <stp>INTRINSIC</stp>
        <stp>.SRVR201120C35</stp>
        <tr r="R638" s="1"/>
      </tp>
      <tp t="s">
        <v>N/A</v>
        <stp/>
        <stp>PROB_OF_EXPIRING</stp>
        <stp>.IYR201120P85</stp>
        <tr r="T372" s="1"/>
      </tp>
      <tp t="s">
        <v>N/A</v>
        <stp/>
        <stp>PROB_OF_EXPIRING</stp>
        <stp>.IYR201120P84</stp>
        <tr r="T368" s="1"/>
      </tp>
      <tp t="s">
        <v>N/A</v>
        <stp/>
        <stp>PROB_OF_EXPIRING</stp>
        <stp>.IJR201120C80</stp>
        <tr r="T275" s="1"/>
      </tp>
      <tp t="s">
        <v>N/A</v>
        <stp/>
        <stp>PROB_OF_TOUCHING</stp>
        <stp>.RSX201120P22</stp>
        <tr r="V514" s="1"/>
      </tp>
      <tp t="s">
        <v>N/A</v>
        <stp/>
        <stp>STRIKE</stp>
        <stp>.SMH201120P193</stp>
        <tr r="W555" s="1"/>
      </tp>
      <tp t="s">
        <v>N/A</v>
        <stp/>
        <stp>STRIKE</stp>
        <stp>.SMH201120C193</stp>
        <tr r="W554" s="1"/>
      </tp>
      <tp t="s">
        <v>N/A</v>
        <stp/>
        <stp>STRIKE</stp>
        <stp>.SMH201120P194</stp>
        <tr r="W559" s="1"/>
      </tp>
      <tp t="s">
        <v>N/A</v>
        <stp/>
        <stp>STRIKE</stp>
        <stp>.SMH201120C194</stp>
        <tr r="W558" s="1"/>
      </tp>
      <tp t="s">
        <v>N/A</v>
        <stp/>
        <stp>STRIKE</stp>
        <stp>.SMH201120P195</stp>
        <tr r="W563" s="1"/>
      </tp>
      <tp t="s">
        <v>N/A</v>
        <stp/>
        <stp>STRIKE</stp>
        <stp>.SMH201120C195</stp>
        <tr r="W562" s="1"/>
      </tp>
      <tp t="s">
        <v>N/A</v>
        <stp/>
        <stp>STRIKE</stp>
        <stp>.SMH201120P196</stp>
        <tr r="W567" s="1"/>
      </tp>
      <tp t="s">
        <v>N/A</v>
        <stp/>
        <stp>STRIKE</stp>
        <stp>.SMH201120C196</stp>
        <tr r="W566" s="1"/>
      </tp>
      <tp t="s">
        <v>N/A</v>
        <stp/>
        <stp>STRIKE</stp>
        <stp>.SMH201120P197</stp>
        <tr r="W571" s="1"/>
      </tp>
      <tp t="s">
        <v>N/A</v>
        <stp/>
        <stp>STRIKE</stp>
        <stp>.SMH201120C197</stp>
        <tr r="W570" s="1"/>
      </tp>
      <tp t="s">
        <v>N/A</v>
        <stp/>
        <stp>STRIKE</stp>
        <stp>.SMH201120P198</stp>
        <tr r="W575" s="1"/>
      </tp>
      <tp t="s">
        <v>N/A</v>
        <stp/>
        <stp>STRIKE</stp>
        <stp>.SMH201120C198</stp>
        <tr r="W574" s="1"/>
      </tp>
      <tp t="s">
        <v>N/A</v>
        <stp/>
        <stp>IMPL_VOL</stp>
        <stp>.SPLG201120C42</stp>
        <tr r="D585" s="1"/>
      </tp>
      <tp>
        <v>2.8</v>
        <stp/>
        <stp>BID</stp>
        <stp>.QQQ201120C292.5</stp>
        <tr r="H492" s="1"/>
      </tp>
      <tp t="s">
        <v>N/A</v>
        <stp/>
        <stp>OPEN_INT</stp>
        <stp>.SHYG201120P45</stp>
        <tr r="G550" s="1"/>
      </tp>
      <tp t="s">
        <v>N/A</v>
        <stp/>
        <stp>PROB_OTM</stp>
        <stp>.IEFA201120P66</stp>
        <tr r="U255" s="1"/>
      </tp>
      <tp t="s">
        <v>N/A</v>
        <stp/>
        <stp>PROB_OTM</stp>
        <stp>.IEFA201120P65</stp>
        <tr r="U253" s="1"/>
      </tp>
      <tp t="s">
        <v>N/A</v>
        <stp/>
        <stp>IMPL_VOL</stp>
        <stp>.EMLC201120C32</stp>
        <tr r="D115" s="1"/>
      </tp>
      <tp t="s">
        <v>N/A</v>
        <stp/>
        <stp>OPEN_INT</stp>
        <stp>.SPYG201120P53</stp>
        <tr r="G633" s="1"/>
      </tp>
      <tp t="s">
        <v>N/A</v>
        <stp/>
        <stp>OPEN_INT</stp>
        <stp>.SPYG201120P52</stp>
        <tr r="G631" s="1"/>
      </tp>
      <tp t="s">
        <v>N/A</v>
        <stp/>
        <stp>IMPL_VOL</stp>
        <stp>.HYLB201120C49</stp>
        <tr r="D226" s="1"/>
      </tp>
      <tp t="s">
        <v>N/A</v>
        <stp/>
        <stp>RHO</stp>
        <stp>.TLT201120P156.5</stp>
        <tr r="Q697" s="1"/>
      </tp>
      <tp t="s">
        <v>N/A</v>
        <stp/>
        <stp>PROB_OF_TOUCHING</stp>
        <stp>.IGIB201120C61</stp>
        <tr r="V262" s="1"/>
      </tp>
      <tp t="s">
        <v>N/A</v>
        <stp/>
        <stp>DESCRIPTION</stp>
        <stp>.XLY201120P151.5</stp>
        <tr r="B869" s="1"/>
      </tp>
      <tp t="s">
        <v>N/A</v>
        <stp/>
        <stp>DESCRIPTION</stp>
        <stp>.XLV201120P111.5</stp>
        <tr r="B864" s="1"/>
      </tp>
      <tp t="s">
        <v>N/A</v>
        <stp/>
        <stp>DESCRIPTION</stp>
        <stp>.XLK201120P121.5</stp>
        <tr r="B834" s="1"/>
      </tp>
      <tp t="s">
        <v>N/A</v>
        <stp/>
        <stp>PROB_OTM</stp>
        <stp>.EUFN201120P16</stp>
        <tr r="U119" s="1"/>
      </tp>
      <tp t="s">
        <v>N/A</v>
        <stp/>
        <stp>PROB_OF_TOUCHING</stp>
        <stp>.NAIL201120C45</stp>
        <tr r="V441" s="1"/>
      </tp>
      <tp t="s">
        <v>N/A</v>
        <stp/>
        <stp>PROB_OF_TOUCHING</stp>
        <stp>.NAIL201120C44</stp>
        <tr r="V439" s="1"/>
      </tp>
      <tp t="s">
        <v>N/A</v>
        <stp/>
        <stp>PROB_OF_TOUCHING</stp>
        <stp>.NAIL201120C47</stp>
        <tr r="V445" s="1"/>
      </tp>
      <tp t="s">
        <v>N/A</v>
        <stp/>
        <stp>PROB_OF_TOUCHING</stp>
        <stp>.NAIL201120C46</stp>
        <tr r="V443" s="1"/>
      </tp>
      <tp t="s">
        <v>N/A</v>
        <stp/>
        <stp>PROB_OF_TOUCHING</stp>
        <stp>.NAIL201120C49</stp>
        <tr r="V449" s="1"/>
      </tp>
      <tp t="s">
        <v>N/A</v>
        <stp/>
        <stp>PROB_OF_TOUCHING</stp>
        <stp>.NAIL201120C48</stp>
        <tr r="V447" s="1"/>
      </tp>
      <tp t="s">
        <v>N/A</v>
        <stp/>
        <stp>IMPL_VOL</stp>
        <stp>.BKLN201120C22</stp>
        <tr r="D49" s="1"/>
      </tp>
      <tp t="s">
        <v>N/A</v>
        <stp/>
        <stp>IMPL_VOL</stp>
        <stp>.ICLN201120C22</stp>
        <tr r="D246" s="1"/>
      </tp>
      <tp>
        <v>2.89</v>
        <stp/>
        <stp>ASK</stp>
        <stp>.IBB201120P140.5</stp>
        <tr r="I240" s="1"/>
      </tp>
      <tp>
        <v>0.71</v>
        <stp/>
        <stp>ASK</stp>
        <stp>.LQD201120C135.5</stp>
        <tr r="I409" s="1"/>
      </tp>
      <tp>
        <v>0</v>
        <stp/>
        <stp>LOW</stp>
        <stp>.SMH201120C196.5</stp>
        <tr r="K568" s="1"/>
      </tp>
      <tp t="s">
        <v>N/A</v>
        <stp/>
        <stp>PROB_OTM</stp>
        <stp>.IXUS201120C63</stp>
        <tr r="U361" s="1"/>
      </tp>
      <tp t="s">
        <v>N/A</v>
        <stp/>
        <stp>IMPL_VOL</stp>
        <stp>.SPLV201120C55</stp>
        <tr r="D588" s="1"/>
      </tp>
      <tp t="s">
        <v>N/A</v>
        <stp/>
        <stp>PROB_OF_TOUCHING</stp>
        <stp>.VGIT201120C70</stp>
        <tr r="V719" s="1"/>
      </tp>
      <tp t="s">
        <v>N/A</v>
        <stp/>
        <stp>IMPL_VOL</stp>
        <stp>.AMLP201120C24</stp>
        <tr r="D23" s="1"/>
      </tp>
      <tp t="s">
        <v>N/A</v>
        <stp/>
        <stp>IMPL_VOL</stp>
        <stp>.AMLP201120C23</stp>
        <tr r="D19" s="1"/>
      </tp>
      <tp t="s">
        <v>N/A</v>
        <stp/>
        <stp>PROB_OTM</stp>
        <stp>.VXUS201120C56</stp>
        <tr r="U754" s="1"/>
      </tp>
      <tp t="s">
        <v>N/A</v>
        <stp/>
        <stp>PROB_OTM</stp>
        <stp>.VXUS201120C57</stp>
        <tr r="U756" s="1"/>
      </tp>
      <tp>
        <v>6.11</v>
        <stp/>
        <stp>BID</stp>
        <stp>.QQQ201120P292.5</stp>
        <tr r="H493" s="1"/>
      </tp>
      <tp t="s">
        <v>N/A</v>
        <stp/>
        <stp>OPEN_INT</stp>
        <stp>.SPYV201120P33</stp>
        <tr r="G636" s="1"/>
      </tp>
      <tp t="s">
        <v>N/A</v>
        <stp/>
        <stp>DESCRIPTION</stp>
        <stp>.XLY201120C151.5</stp>
        <tr r="B868" s="1"/>
      </tp>
      <tp t="s">
        <v>N/A</v>
        <stp/>
        <stp>DESCRIPTION</stp>
        <stp>.XLV201120C111.5</stp>
        <tr r="B863" s="1"/>
      </tp>
      <tp t="s">
        <v>N/A</v>
        <stp/>
        <stp>DESCRIPTION</stp>
        <stp>.XLK201120C121.5</stp>
        <tr r="B833" s="1"/>
      </tp>
      <tp t="s">
        <v>N/A</v>
        <stp/>
        <stp>GAMMA</stp>
        <stp>.JETS201120P19.5</stp>
        <tr r="N377" s="1"/>
      </tp>
      <tp t="s">
        <v>N/A</v>
        <stp/>
        <stp>GAMMA</stp>
        <stp>.JETS201120C19.5</stp>
        <tr r="N376" s="1"/>
      </tp>
      <tp t="s">
        <v>N/A</v>
        <stp/>
        <stp>PROB_OF_EXPIRING</stp>
        <stp>.PDBC201120C14</stp>
        <tr r="T452" s="1"/>
      </tp>
      <tp t="s">
        <v>N/A</v>
        <stp/>
        <stp>RHO</stp>
        <stp>.TLT201120C156.5</stp>
        <tr r="Q696" s="1"/>
      </tp>
      <tp t="s">
        <v>N/A</v>
        <stp/>
        <stp>PROB_OF_TOUCHING</stp>
        <stp>.DRIP201120C45</stp>
        <tr r="V82" s="1"/>
      </tp>
      <tp t="s">
        <v>N/A</v>
        <stp/>
        <stp>ASK</stp>
        <stp>.IBB201120C140.5</stp>
        <tr r="I239" s="1"/>
      </tp>
      <tp t="s">
        <v>N/A</v>
        <stp/>
        <stp>ASK</stp>
        <stp>.LQD201120P135.5</stp>
        <tr r="I410" s="1"/>
      </tp>
      <tp>
        <v>4.45</v>
        <stp/>
        <stp>LOW</stp>
        <stp>.SMH201120P196.5</stp>
        <tr r="K569" s="1"/>
      </tp>
      <tp t="s">
        <v>N/A</v>
        <stp/>
        <stp>PROB_OF_TOUCHING</stp>
        <stp>.VCIT201120C96</stp>
        <tr r="V702" s="1"/>
      </tp>
      <tp>
        <v>0</v>
        <stp/>
        <stp>THETA</stp>
        <stp>RWM</stp>
        <tr r="O517" s="1"/>
      </tp>
      <tp>
        <v>35.700000000000003</v>
        <stp/>
        <stp>HIGH</stp>
        <stp>SPHD</stp>
        <tr r="J581" s="1"/>
      </tp>
      <tp t="s">
        <v>N/A</v>
        <stp/>
        <stp>GAMMA</stp>
        <stp>.IBB201120C139.5</stp>
        <tr r="N235" s="1"/>
      </tp>
      <tp t="s">
        <v>N/A</v>
        <stp/>
        <stp>GAMMA</stp>
        <stp>.IEF201120C119.5</stp>
        <tr r="N249" s="1"/>
      </tp>
      <tp>
        <v>0</v>
        <stp/>
        <stp>THETA</stp>
        <stp>RSX</stp>
        <tr r="O512" s="1"/>
      </tp>
      <tp>
        <v>0</v>
        <stp/>
        <stp>THETA</stp>
        <stp>RSP</stp>
        <tr r="O505" s="1"/>
      </tp>
      <tp>
        <v>46.9</v>
        <stp/>
        <stp>OPEN</stp>
        <stp>DRIP</stp>
        <tr r="L81" s="1"/>
      </tp>
      <tp>
        <v>55.31</v>
        <stp/>
        <stp>HIGH</stp>
        <stp>SPLV</stp>
        <tr r="J587" s="1"/>
      </tp>
      <tp>
        <v>41.89</v>
        <stp/>
        <stp>HIGH</stp>
        <stp>SPLG</stp>
        <tr r="J584" s="1"/>
      </tp>
      <tp t="s">
        <v>N/A</v>
        <stp/>
        <stp>THETA</stp>
        <stp>.TBT201120C17</stp>
        <tr r="O684" s="1"/>
      </tp>
      <tp>
        <v>118.8</v>
        <stp/>
        <stp>OPEN</stp>
        <stp>ARKW</stp>
        <tr r="L34" s="1"/>
      </tp>
      <tp>
        <v>99.6</v>
        <stp/>
        <stp>OPEN</stp>
        <stp>ARKK</stp>
        <tr r="L25" s="1"/>
      </tp>
      <tp>
        <v>0</v>
        <stp/>
        <stp>VEGA</stp>
        <stp>SPDW</stp>
        <tr r="P578" s="1"/>
      </tp>
      <tp>
        <v>0</v>
        <stp/>
        <stp>VEGA</stp>
        <stp>SPHD</stp>
        <tr r="P581" s="1"/>
      </tp>
      <tp t="s">
        <v>N/A</v>
        <stp/>
        <stp>THETA</stp>
        <stp>.XLY201120P151.5</stp>
        <tr r="O869" s="1"/>
      </tp>
      <tp t="s">
        <v>N/A</v>
        <stp/>
        <stp>THETA</stp>
        <stp>.XLV201120P111.5</stp>
        <tr r="O864" s="1"/>
      </tp>
      <tp t="s">
        <v>N/A</v>
        <stp/>
        <stp>THETA</stp>
        <stp>.XLK201120P121.5</stp>
        <tr r="O834" s="1"/>
      </tp>
      <tp>
        <v>31.57</v>
        <stp/>
        <stp>HIGH</stp>
        <stp>SPDW</stp>
        <tr r="J578" s="1"/>
      </tp>
      <tp>
        <v>53.49</v>
        <stp/>
        <stp>LAST</stp>
        <stp>GDXJ</stp>
        <tr r="E202" s="1"/>
      </tp>
      <tp t="s">
        <v>N/A</v>
        <stp/>
        <stp>DELTA</stp>
        <stp>.XLV201120C111.5</stp>
        <tr r="M863" s="1"/>
      </tp>
      <tp t="s">
        <v>N/A</v>
        <stp/>
        <stp>DELTA</stp>
        <stp>.XLY201120C151.5</stp>
        <tr r="M868" s="1"/>
      </tp>
      <tp t="s">
        <v>N/A</v>
        <stp/>
        <stp>DELTA</stp>
        <stp>.XLK201120C121.5</stp>
        <tr r="M833" s="1"/>
      </tp>
      <tp>
        <v>0</v>
        <stp/>
        <stp>VEGA</stp>
        <stp>SPLG</stp>
        <tr r="P584" s="1"/>
      </tp>
      <tp>
        <v>0</v>
        <stp/>
        <stp>VEGA</stp>
        <stp>SPLV</stp>
        <tr r="P587" s="1"/>
      </tp>
      <tp t="s">
        <v>N/A</v>
        <stp/>
        <stp>GAMMA</stp>
        <stp>.TBT201120P17</stp>
        <tr r="N685" s="1"/>
      </tp>
      <tp t="s">
        <v>N/A</v>
        <stp/>
        <stp>DELTA</stp>
        <stp>.XRT201120C55</stp>
        <tr r="M907" s="1"/>
      </tp>
      <tp t="s">
        <v>N/A</v>
        <stp/>
        <stp>DELTA</stp>
        <stp>.XRT201120C54</stp>
        <tr r="M903" s="1"/>
      </tp>
      <tp t="s">
        <v>N/A</v>
        <stp/>
        <stp>GAMMA</stp>
        <stp>.IBB201120P139.5</stp>
        <tr r="N236" s="1"/>
      </tp>
      <tp>
        <v>32.65</v>
        <stp/>
        <stp>HIGH</stp>
        <stp>SPYV</stp>
        <tr r="J634" s="1"/>
      </tp>
      <tp>
        <v>52.82</v>
        <stp/>
        <stp>HIGH</stp>
        <stp>SPYG</stp>
        <tr r="J629" s="1"/>
      </tp>
      <tp>
        <v>13.94</v>
        <stp/>
        <stp>LAST</stp>
        <stp>PDBC</stp>
        <tr r="E451" s="1"/>
      </tp>
      <tp t="s">
        <v>N/A</v>
        <stp/>
        <stp>THETA</stp>
        <stp>.TBF201120C16</stp>
        <tr r="O681" s="1"/>
      </tp>
      <tp t="s">
        <v>N/A</v>
        <stp/>
        <stp>THETA</stp>
        <stp>.KBE201120C38</stp>
        <tr r="O386" s="1"/>
      </tp>
      <tp t="s">
        <v>N/A</v>
        <stp/>
        <stp>GAMMA</stp>
        <stp>.IEF201120P119.5</stp>
        <tr r="N250" s="1"/>
      </tp>
      <tp t="s">
        <v>N/A</v>
        <stp/>
        <stp>DELTA</stp>
        <stp>.TAN201120P73</stp>
        <tr r="M663" s="1"/>
      </tp>
      <tp t="s">
        <v>N/A</v>
        <stp/>
        <stp>DELTA</stp>
        <stp>.TAN201120P77</stp>
        <tr r="M679" s="1"/>
      </tp>
      <tp t="s">
        <v>N/A</v>
        <stp/>
        <stp>DELTA</stp>
        <stp>.TAN201120P76</stp>
        <tr r="M675" s="1"/>
      </tp>
      <tp t="s">
        <v>N/A</v>
        <stp/>
        <stp>DELTA</stp>
        <stp>.TAN201120P75</stp>
        <tr r="M671" s="1"/>
      </tp>
      <tp t="s">
        <v>N/A</v>
        <stp/>
        <stp>DELTA</stp>
        <stp>.TAN201120P74</stp>
        <tr r="M667" s="1"/>
      </tp>
      <tp>
        <v>36.049999999999997</v>
        <stp/>
        <stp>OPEN</stp>
        <stp>SRVR</stp>
        <tr r="L637" s="1"/>
      </tp>
      <tp>
        <v>0</v>
        <stp/>
        <stp>VEGA</stp>
        <stp>SPYG</stp>
        <tr r="P629" s="1"/>
      </tp>
      <tp>
        <v>0</v>
        <stp/>
        <stp>VEGA</stp>
        <stp>SPYV</stp>
        <tr r="P634" s="1"/>
      </tp>
      <tp t="s">
        <v>N/A</v>
        <stp/>
        <stp>OPEN</stp>
        <stp>.ARKW201120C118</stp>
        <tr r="L39" s="1"/>
      </tp>
      <tp t="s">
        <v>N/A</v>
        <stp/>
        <stp>OPEN</stp>
        <stp>.ARKW201120P118</stp>
        <tr r="L40" s="1"/>
      </tp>
      <tp>
        <v>2.4500000000000002</v>
        <stp/>
        <stp>OPEN</stp>
        <stp>.ARKW201120C119</stp>
        <tr r="L41" s="1"/>
      </tp>
      <tp t="s">
        <v>N/A</v>
        <stp/>
        <stp>OPEN</stp>
        <stp>.ARKW201120P119</stp>
        <tr r="L42" s="1"/>
      </tp>
      <tp>
        <v>4.0999999999999996</v>
        <stp/>
        <stp>OPEN</stp>
        <stp>.ARKW201120C116</stp>
        <tr r="L35" s="1"/>
      </tp>
      <tp t="s">
        <v>N/A</v>
        <stp/>
        <stp>OPEN</stp>
        <stp>.ARKW201120P116</stp>
        <tr r="L36" s="1"/>
      </tp>
      <tp>
        <v>0</v>
        <stp/>
        <stp>OPEN</stp>
        <stp>.ARKW201120C117</stp>
        <tr r="L37" s="1"/>
      </tp>
      <tp t="s">
        <v>N/A</v>
        <stp/>
        <stp>OPEN</stp>
        <stp>.ARKW201120P117</stp>
        <tr r="L38" s="1"/>
      </tp>
      <tp t="s">
        <v>N/A</v>
        <stp/>
        <stp>GAMMA</stp>
        <stp>.KBE201120P38</stp>
        <tr r="N387" s="1"/>
      </tp>
      <tp t="s">
        <v>N/A</v>
        <stp/>
        <stp>DELTA</stp>
        <stp>.XLV201120P111.5</stp>
        <tr r="M864" s="1"/>
      </tp>
      <tp t="s">
        <v>N/A</v>
        <stp/>
        <stp>DELTA</stp>
        <stp>.XLY201120P151.5</stp>
        <tr r="M869" s="1"/>
      </tp>
      <tp t="s">
        <v>N/A</v>
        <stp/>
        <stp>DELTA</stp>
        <stp>.XLK201120P121.5</stp>
        <tr r="M834" s="1"/>
      </tp>
      <tp t="s">
        <v>N/A</v>
        <stp/>
        <stp>GAMMA</stp>
        <stp>.TBF201120P16</stp>
        <tr r="N682" s="1"/>
      </tp>
      <tp t="s">
        <v>N/A</v>
        <stp/>
        <stp>THETA</stp>
        <stp>.XLY201120C151.5</stp>
        <tr r="O868" s="1"/>
      </tp>
      <tp t="s">
        <v>N/A</v>
        <stp/>
        <stp>THETA</stp>
        <stp>.XLV201120C111.5</stp>
        <tr r="O863" s="1"/>
      </tp>
      <tp t="s">
        <v>N/A</v>
        <stp/>
        <stp>THETA</stp>
        <stp>.XLK201120C121.5</stp>
        <tr r="O833" s="1"/>
      </tp>
      <tp t="s">
        <v>N/A</v>
        <stp/>
        <stp>DELTA</stp>
        <stp>.KRE201120C47</stp>
        <tr r="M393" s="1"/>
      </tp>
      <tp t="s">
        <v>N/A</v>
        <stp/>
        <stp>DELTA</stp>
        <stp>.KRE201120C46</stp>
        <tr r="M389" s="1"/>
      </tp>
      <tp t="s">
        <v>N/A</v>
        <stp/>
        <stp>DESCRIPTION</stp>
        <stp>.GDXJ201120C53</stp>
        <tr r="B207" s="1"/>
      </tp>
      <tp t="s">
        <v>N/A</v>
        <stp/>
        <stp>DESCRIPTION</stp>
        <stp>.GDXJ201120C52</stp>
        <tr r="B203" s="1"/>
      </tp>
      <tp t="s">
        <v>N/A</v>
        <stp/>
        <stp>DESCRIPTION</stp>
        <stp>.GDXJ201120C54</stp>
        <tr r="B211" s="1"/>
      </tp>
      <tp>
        <v>1.2</v>
        <stp/>
        <stp>ASK</stp>
        <stp>.JETS201120P20</stp>
        <tr r="I379" s="1"/>
      </tp>
      <tp>
        <v>1.05</v>
        <stp/>
        <stp>BID</stp>
        <stp>.JETS201120P20</stp>
        <tr r="H379" s="1"/>
      </tp>
      <tp t="s">
        <v>N/A</v>
        <stp/>
        <stp>DESCRIPTION</stp>
        <stp>.AAXJ201120C84</stp>
        <tr r="B5" s="1"/>
      </tp>
      <tp t="s">
        <v>N/A</v>
        <stp/>
        <stp>DESCRIPTION</stp>
        <stp>.ARKK201120P97</stp>
        <tr r="B27" s="1"/>
      </tp>
      <tp>
        <v>0.8</v>
        <stp/>
        <stp>LOW</stp>
        <stp>.JETS201120P20</stp>
        <tr r="K379" s="1"/>
      </tp>
      <tp t="s">
        <v>N/A</v>
        <stp/>
        <stp>DESCRIPTION</stp>
        <stp>.AAXJ201120C83</stp>
        <tr r="B3" s="1"/>
      </tp>
      <tp t="s">
        <v>N/A</v>
        <stp/>
        <stp>DESCRIPTION</stp>
        <stp>.ARKK201120P99</stp>
        <tr r="B31" s="1"/>
      </tp>
      <tp t="s">
        <v>N/A</v>
        <stp/>
        <stp>DESCRIPTION</stp>
        <stp>.ARKK201120P98</stp>
        <tr r="B29" s="1"/>
      </tp>
      <tp t="s">
        <v>N/A</v>
        <stp/>
        <stp>STRIKE</stp>
        <stp>.IYR201120P85</stp>
        <tr r="W372" s="1"/>
      </tp>
      <tp t="s">
        <v>N/A</v>
        <stp/>
        <stp>STRIKE</stp>
        <stp>.IYR201120P84</stp>
        <tr r="W368" s="1"/>
      </tp>
      <tp t="s">
        <v>N/A</v>
        <stp/>
        <stp>PUT_CALL_RATIO</stp>
        <stp>.XRT201120C55</stp>
        <tr r="C907" s="1"/>
      </tp>
      <tp t="s">
        <v>N/A</v>
        <stp/>
        <stp>PUT_CALL_RATIO</stp>
        <stp>.XRT201120C54</stp>
        <tr r="C903" s="1"/>
      </tp>
      <tp t="s">
        <v>N/A</v>
        <stp/>
        <stp>STRIKE</stp>
        <stp>.IJR201120C80</stp>
        <tr r="W275" s="1"/>
      </tp>
      <tp>
        <v>0</v>
        <stp/>
        <stp>VOLUME</stp>
        <stp>.TBF201120P16</stp>
        <tr r="F682" s="1"/>
      </tp>
      <tp t="s">
        <v>N/A</v>
        <stp/>
        <stp>VOLUME</stp>
        <stp>.KBE201120P38</stp>
        <tr r="F387" s="1"/>
      </tp>
      <tp t="s">
        <v>N/A</v>
        <stp/>
        <stp>DESCRIPTION</stp>
        <stp>.VCLT201120C107</stp>
        <tr r="B705" s="1"/>
      </tp>
      <tp t="s">
        <v>N/A</v>
        <stp/>
        <stp>DESCRIPTION</stp>
        <stp>.VCLT201120P107</stp>
        <tr r="B706" s="1"/>
      </tp>
      <tp t="s">
        <v>N/A</v>
        <stp/>
        <stp>STRIKE</stp>
        <stp>.VYM201120P87</stp>
        <tr r="W760" s="1"/>
      </tp>
      <tp t="s">
        <v>N/A</v>
        <stp/>
        <stp>STRIKE</stp>
        <stp>.VYM201120P88</stp>
        <tr r="W762" s="1"/>
      </tp>
      <tp t="s">
        <v>N/A</v>
        <stp/>
        <stp>STRIKE</stp>
        <stp>.IYE201120P18</stp>
        <tr r="W365" s="1"/>
      </tp>
      <tp t="s">
        <v>N/A</v>
        <stp/>
        <stp>PUT_CALL_RATIO</stp>
        <stp>.TAN201120P73</stp>
        <tr r="C663" s="1"/>
      </tp>
      <tp t="s">
        <v>N/A</v>
        <stp/>
        <stp>PUT_CALL_RATIO</stp>
        <stp>.TAN201120P75</stp>
        <tr r="C671" s="1"/>
      </tp>
      <tp t="s">
        <v>N/A</v>
        <stp/>
        <stp>PUT_CALL_RATIO</stp>
        <stp>.TAN201120P74</stp>
        <tr r="C667" s="1"/>
      </tp>
      <tp t="s">
        <v>N/A</v>
        <stp/>
        <stp>PUT_CALL_RATIO</stp>
        <stp>.TAN201120P77</stp>
        <tr r="C679" s="1"/>
      </tp>
      <tp t="s">
        <v>N/A</v>
        <stp/>
        <stp>PUT_CALL_RATIO</stp>
        <stp>.TAN201120P76</stp>
        <tr r="C675" s="1"/>
      </tp>
      <tp t="s">
        <v>N/A</v>
        <stp/>
        <stp>RHO</stp>
        <stp>.JETS201120P20</stp>
        <tr r="Q379" s="1"/>
      </tp>
      <tp t="s">
        <v>N/A</v>
        <stp/>
        <stp>STRIKE</stp>
        <stp>.HYG201120P86</stp>
        <tr r="W224" s="1"/>
      </tp>
      <tp t="s">
        <v>N/A</v>
        <stp/>
        <stp>VOLUME</stp>
        <stp>.TBT201120P17</stp>
        <tr r="F685" s="1"/>
      </tp>
      <tp t="s">
        <v>N/A</v>
        <stp/>
        <stp>PUT_CALL_RATIO</stp>
        <stp>.KRE201120C47</stp>
        <tr r="C393" s="1"/>
      </tp>
      <tp t="s">
        <v>N/A</v>
        <stp/>
        <stp>PUT_CALL_RATIO</stp>
        <stp>.KRE201120C46</stp>
        <tr r="C389" s="1"/>
      </tp>
      <tp>
        <v>273</v>
        <stp/>
        <stp>OPEN_INT</stp>
        <stp>.DXD201120C14</stp>
        <tr r="G92" s="1"/>
      </tp>
      <tp t="s">
        <v>N/A</v>
        <stp/>
        <stp>IMPL_VOL</stp>
        <stp>.TBF201120C16</stp>
        <tr r="D681" s="1"/>
      </tp>
      <tp t="s">
        <v>N/A</v>
        <stp/>
        <stp>INTRINSIC</stp>
        <stp>.IEFA201120P65</stp>
        <tr r="R253" s="1"/>
      </tp>
      <tp t="s">
        <v>N/A</v>
        <stp/>
        <stp>INTRINSIC</stp>
        <stp>.IEFA201120P66</stp>
        <tr r="R255" s="1"/>
      </tp>
      <tp t="s">
        <v>N/A</v>
        <stp/>
        <stp>IMPL_VOL</stp>
        <stp>.KBE201120C38</stp>
        <tr r="D386" s="1"/>
      </tp>
      <tp>
        <v>90508</v>
        <stp/>
        <stp>OPEN_INT</stp>
        <stp>.FXI201120C47</stp>
        <tr r="G189" s="1"/>
      </tp>
      <tp>
        <v>18968</v>
        <stp/>
        <stp>OPEN_INT</stp>
        <stp>.FXI201120C48</stp>
        <tr r="G193" s="1"/>
      </tp>
      <tp t="s">
        <v>N/A</v>
        <stp/>
        <stp>OPEN_INT</stp>
        <stp>.PXH201120C20</stp>
        <tr r="G460" s="1"/>
      </tp>
      <tp t="s">
        <v>N/A</v>
        <stp/>
        <stp>OPEN_INT</stp>
        <stp>.PXH201120C19</stp>
        <tr r="G458" s="1"/>
      </tp>
      <tp t="s">
        <v>N/A</v>
        <stp/>
        <stp>INTRINSIC</stp>
        <stp>.EUFN201120P16</stp>
        <tr r="R119" s="1"/>
      </tp>
      <tp t="s">
        <v>N/A</v>
        <stp/>
        <stp>IMPL_VOL</stp>
        <stp>.TBT201120C17</stp>
        <tr r="D684" s="1"/>
      </tp>
      <tp t="s">
        <v>N/A</v>
        <stp/>
        <stp>INTRINSIC</stp>
        <stp>.IXUS201120C63</stp>
        <tr r="R361" s="1"/>
      </tp>
      <tp t="s">
        <v>N/A</v>
        <stp/>
        <stp>STRIKE</stp>
        <stp>.XLK201120P123</stp>
        <tr r="W840" s="1"/>
      </tp>
      <tp t="s">
        <v>N/A</v>
        <stp/>
        <stp>STRIKE</stp>
        <stp>.XLK201120C123</stp>
        <tr r="W839" s="1"/>
      </tp>
      <tp t="s">
        <v>N/A</v>
        <stp/>
        <stp>STRIKE</stp>
        <stp>.XLK201120P122</stp>
        <tr r="W836" s="1"/>
      </tp>
      <tp t="s">
        <v>N/A</v>
        <stp/>
        <stp>STRIKE</stp>
        <stp>.XLK201120C122</stp>
        <tr r="W835" s="1"/>
      </tp>
      <tp t="s">
        <v>N/A</v>
        <stp/>
        <stp>STRIKE</stp>
        <stp>.XLK201120P121</stp>
        <tr r="W832" s="1"/>
      </tp>
      <tp t="s">
        <v>N/A</v>
        <stp/>
        <stp>STRIKE</stp>
        <stp>.XLK201120C121</stp>
        <tr r="W831" s="1"/>
      </tp>
      <tp t="s">
        <v>N/A</v>
        <stp/>
        <stp>STRIKE</stp>
        <stp>.XLK201120P120</stp>
        <tr r="W828" s="1"/>
      </tp>
      <tp t="s">
        <v>N/A</v>
        <stp/>
        <stp>STRIKE</stp>
        <stp>.XLK201120C120</stp>
        <tr r="W827" s="1"/>
      </tp>
      <tp t="s">
        <v>N/A</v>
        <stp/>
        <stp>STRIKE</stp>
        <stp>.IJH201120P210</stp>
        <tr r="W273" s="1"/>
      </tp>
      <tp t="s">
        <v>N/A</v>
        <stp/>
        <stp>STRIKE</stp>
        <stp>.IJH201120C210</stp>
        <tr r="W272" s="1"/>
      </tp>
      <tp t="s">
        <v>N/A</v>
        <stp/>
        <stp>INTRINSIC</stp>
        <stp>.VXUS201120C56</stp>
        <tr r="R754" s="1"/>
      </tp>
      <tp t="s">
        <v>N/A</v>
        <stp/>
        <stp>INTRINSIC</stp>
        <stp>.VXUS201120C57</stp>
        <tr r="R756" s="1"/>
      </tp>
      <tp t="s">
        <v>N/A</v>
        <stp/>
        <stp>STRIKE</stp>
        <stp>.JNK201120P107</stp>
        <tr r="W384" s="1"/>
      </tp>
      <tp t="s">
        <v>N/A</v>
        <stp/>
        <stp>STRIKE</stp>
        <stp>.JNK201120C107</stp>
        <tr r="W383" s="1"/>
      </tp>
      <tp t="s">
        <v>N/A</v>
        <stp/>
        <stp>PROB_OF_TOUCHING</stp>
        <stp>.SCZ201120C63</stp>
        <tr r="V535" s="1"/>
      </tp>
      <tp t="s">
        <v>N/A</v>
        <stp/>
        <stp>PROB_OF_EXPIRING</stp>
        <stp>.EZU201120P42</stp>
        <tr r="T179" s="1"/>
      </tp>
      <tp t="s">
        <v>N/A</v>
        <stp/>
        <stp>PROB_OF_EXPIRING</stp>
        <stp>.BZQ201120P12</stp>
        <tr r="T53" s="1"/>
      </tp>
      <tp t="s">
        <v>N/A</v>
        <stp/>
        <stp>PROB_OTM</stp>
        <stp>.XME201120C27</stp>
        <tr r="U887" s="1"/>
      </tp>
      <tp t="s">
        <v>N/A</v>
        <stp/>
        <stp>PROB_OTM</stp>
        <stp>.KWEB201120P73</stp>
        <tr r="U401" s="1"/>
      </tp>
      <tp t="s">
        <v>N/A</v>
        <stp/>
        <stp>PROB_OTM</stp>
        <stp>.KWEB201120P72</stp>
        <tr r="U399" s="1"/>
      </tp>
      <tp t="s">
        <v>N/A</v>
        <stp/>
        <stp>PROB_OTM</stp>
        <stp>.KWEB201120P74</stp>
        <tr r="U403" s="1"/>
      </tp>
      <tp t="s">
        <v>N/A</v>
        <stp/>
        <stp>PROB_OF_TOUCHING</stp>
        <stp>.SHYG201120P45</stp>
        <tr r="V550" s="1"/>
      </tp>
      <tp>
        <v>3.07</v>
        <stp/>
        <stp>LOW</stp>
        <stp>.QQQ201120P287.5</stp>
        <tr r="K481" s="1"/>
      </tp>
      <tp t="s">
        <v>N/A</v>
        <stp/>
        <stp>PROB_OF_TOUCHING</stp>
        <stp>.SPYG201120P52</stp>
        <tr r="V631" s="1"/>
      </tp>
      <tp t="s">
        <v>N/A</v>
        <stp/>
        <stp>PROB_OF_TOUCHING</stp>
        <stp>.SPYG201120P53</stp>
        <tr r="V633" s="1"/>
      </tp>
      <tp t="s">
        <v>N/A</v>
        <stp/>
        <stp>RHO</stp>
        <stp>.SMH201120P192.5</stp>
        <tr r="Q553" s="1"/>
      </tp>
      <tp t="s">
        <v>N/A</v>
        <stp/>
        <stp>OPEN_INT</stp>
        <stp>.IGIB201120C61</stp>
        <tr r="G262" s="1"/>
      </tp>
      <tp t="s">
        <v>N/A</v>
        <stp/>
        <stp>RHO</stp>
        <stp>.XLK201120P119.5</stp>
        <tr r="Q826" s="1"/>
      </tp>
      <tp t="s">
        <v>N/A</v>
        <stp/>
        <stp>RHO</stp>
        <stp>.TLT201120P155.5</stp>
        <tr r="Q693" s="1"/>
      </tp>
      <tp t="s">
        <v>N/A</v>
        <stp/>
        <stp>DESCRIPTION</stp>
        <stp>.XLY201120P152.5</stp>
        <tr r="B873" s="1"/>
      </tp>
      <tp t="s">
        <v>N/A</v>
        <stp/>
        <stp>DESCRIPTION</stp>
        <stp>.XLK201120P122.5</stp>
        <tr r="B838" s="1"/>
      </tp>
      <tp>
        <v>108</v>
        <stp/>
        <stp>OPEN_INT</stp>
        <stp>.NAIL201120C48</stp>
        <tr r="G447" s="1"/>
      </tp>
      <tp>
        <v>100</v>
        <stp/>
        <stp>OPEN_INT</stp>
        <stp>.NAIL201120C49</stp>
        <tr r="G449" s="1"/>
      </tp>
      <tp>
        <v>101</v>
        <stp/>
        <stp>OPEN_INT</stp>
        <stp>.NAIL201120C44</stp>
        <tr r="G439" s="1"/>
      </tp>
      <tp>
        <v>195</v>
        <stp/>
        <stp>OPEN_INT</stp>
        <stp>.NAIL201120C45</stp>
        <tr r="G441" s="1"/>
      </tp>
      <tp>
        <v>110</v>
        <stp/>
        <stp>OPEN_INT</stp>
        <stp>.NAIL201120C46</stp>
        <tr r="G443" s="1"/>
      </tp>
      <tp>
        <v>57</v>
        <stp/>
        <stp>OPEN_INT</stp>
        <stp>.NAIL201120C47</stp>
        <tr r="G445" s="1"/>
      </tp>
      <tp t="s">
        <v>N/A</v>
        <stp/>
        <stp>DESCRIPTION</stp>
        <stp>.XBI201120P122.5</stp>
        <tr r="B767" s="1"/>
      </tp>
      <tp t="s">
        <v>N/A</v>
        <stp/>
        <stp>ASK</stp>
        <stp>.MDY201120P387.5</stp>
        <tr r="I422" s="1"/>
      </tp>
      <tp t="s">
        <v>N/A</v>
        <stp/>
        <stp>PROB_OTM</stp>
        <stp>.DFEN201120P14</stp>
        <tr r="U58" s="1"/>
      </tp>
      <tp t="s">
        <v>N/A</v>
        <stp/>
        <stp>PROB_OTM</stp>
        <stp>.DFEN201120P13</stp>
        <tr r="U56" s="1"/>
      </tp>
      <tp>
        <v>0.04</v>
        <stp/>
        <stp>RHO</stp>
        <stp>.SPY201120C352.5</stp>
        <tr r="Q607" s="1"/>
      </tp>
      <tp>
        <v>3.26</v>
        <stp/>
        <stp>LOW</stp>
        <stp>.SMH201120C195.5</stp>
        <tr r="K564" s="1"/>
      </tp>
      <tp>
        <v>3.45</v>
        <stp/>
        <stp>BID</stp>
        <stp>.SMH201120P193.5</stp>
        <tr r="H557" s="1"/>
      </tp>
      <tp t="s">
        <v>N/A</v>
        <stp/>
        <stp>OPEN_INT</stp>
        <stp>.VGIT201120C70</stp>
        <tr r="G719" s="1"/>
      </tp>
      <tp t="s">
        <v>N/A</v>
        <stp/>
        <stp>PROB_OF_EXPIRING</stp>
        <stp>.XLRE201120P37</stp>
        <tr r="T848" s="1"/>
      </tp>
      <tp>
        <v>4.7</v>
        <stp/>
        <stp>LOW</stp>
        <stp>.QQQ201120C287.5</stp>
        <tr r="K480" s="1"/>
      </tp>
      <tp t="s">
        <v>N/A</v>
        <stp/>
        <stp>PROB_OTM</stp>
        <stp>.SRVR201120C35</stp>
        <tr r="U638" s="1"/>
      </tp>
      <tp t="s">
        <v>N/A</v>
        <stp/>
        <stp>PROB_OTM</stp>
        <stp>.SRVR201120C36</stp>
        <tr r="U640" s="1"/>
      </tp>
      <tp t="s">
        <v>N/A</v>
        <stp/>
        <stp>DESCRIPTION</stp>
        <stp>.XLY201120C152.5</stp>
        <tr r="B872" s="1"/>
      </tp>
      <tp t="s">
        <v>N/A</v>
        <stp/>
        <stp>DESCRIPTION</stp>
        <stp>.XLK201120C122.5</stp>
        <tr r="B837" s="1"/>
      </tp>
      <tp>
        <v>71</v>
        <stp/>
        <stp>OPEN_INT</stp>
        <stp>.DRIP201120C45</stp>
        <tr r="G82" s="1"/>
      </tp>
      <tp t="s">
        <v>N/A</v>
        <stp/>
        <stp>PROB_OF_TOUCHING</stp>
        <stp>.SPYV201120P33</stp>
        <tr r="V636" s="1"/>
      </tp>
      <tp t="s">
        <v>N/A</v>
        <stp/>
        <stp>RHO</stp>
        <stp>.XLK201120C119.5</stp>
        <tr r="Q825" s="1"/>
      </tp>
      <tp t="s">
        <v>N/A</v>
        <stp/>
        <stp>RHO</stp>
        <stp>.TLT201120C155.5</stp>
        <tr r="Q692" s="1"/>
      </tp>
      <tp t="s">
        <v>N/A</v>
        <stp/>
        <stp>RHO</stp>
        <stp>.SMH201120C192.5</stp>
        <tr r="Q552" s="1"/>
      </tp>
      <tp>
        <v>-0.04</v>
        <stp/>
        <stp>RHO</stp>
        <stp>.SPY201120P352.5</stp>
        <tr r="Q608" s="1"/>
      </tp>
      <tp t="s">
        <v>N/A</v>
        <stp/>
        <stp>DESCRIPTION</stp>
        <stp>.XBI201120C122.5</stp>
        <tr r="B766" s="1"/>
      </tp>
      <tp t="s">
        <v>N/A</v>
        <stp/>
        <stp>ASK</stp>
        <stp>.MDY201120C387.5</stp>
        <tr r="I421" s="1"/>
      </tp>
      <tp t="s">
        <v>N/A</v>
        <stp/>
        <stp>OPEN_INT</stp>
        <stp>.VCIT201120C96</stp>
        <tr r="G702" s="1"/>
      </tp>
      <tp>
        <v>3.43</v>
        <stp/>
        <stp>LOW</stp>
        <stp>.SMH201120P195.5</stp>
        <tr r="K565" s="1"/>
      </tp>
      <tp>
        <v>3.15</v>
        <stp/>
        <stp>BID</stp>
        <stp>.SMH201120C193.5</stp>
        <tr r="H556" s="1"/>
      </tp>
      <tp t="s">
        <v>N/A</v>
        <stp/>
        <stp>PROB_OF_EXPIRING</stp>
        <stp>.DGRO201120P43</stp>
        <tr r="T61" s="1"/>
      </tp>
      <tp t="s">
        <v>N/A</v>
        <stp/>
        <stp>IMPL_VOL</stp>
        <stp>.ITOT201120C81</stp>
        <tr r="D300" s="1"/>
      </tp>
      <tp t="s">
        <v>N/A</v>
        <stp/>
        <stp>IMPL_VOL</stp>
        <stp>.ITOT201120C80</stp>
        <tr r="D298" s="1"/>
      </tp>
      <tp>
        <v>66.58</v>
        <stp/>
        <stp>OPEN</stp>
        <stp>USMV</stp>
        <tr r="L698" s="1"/>
      </tp>
      <tp>
        <v>19.23</v>
        <stp/>
        <stp>LAST</stp>
        <stp>JETS</stp>
        <tr r="E375" s="1"/>
      </tp>
      <tp t="s">
        <v>N/A</v>
        <stp/>
        <stp>GAMMA</stp>
        <stp>.IBB201120C138.5</stp>
        <tr r="N231" s="1"/>
      </tp>
      <tp>
        <v>37.89</v>
        <stp/>
        <stp>OPEN</stp>
        <stp>ASHR</stp>
        <tr r="L43" s="1"/>
      </tp>
      <tp>
        <v>0</v>
        <stp/>
        <stp>THETA</stp>
        <stp>SSO</stp>
        <tr r="O642" s="1"/>
      </tp>
      <tp t="s">
        <v>N/A</v>
        <stp/>
        <stp>DELTA</stp>
        <stp>.RSX201120C22</stp>
        <tr r="M513" s="1"/>
      </tp>
      <tp t="s">
        <v>N/A</v>
        <stp/>
        <stp>GAMMA</stp>
        <stp>.SCZ201120P63</stp>
        <tr r="N536" s="1"/>
      </tp>
      <tp>
        <v>0</v>
        <stp/>
        <stp>THETA</stp>
        <stp>SPY</stp>
        <tr r="O590" s="1"/>
      </tp>
      <tp t="s">
        <v>N/A</v>
        <stp/>
        <stp>THETA</stp>
        <stp>.XLV201120P110.5</stp>
        <tr r="O860" s="1"/>
      </tp>
      <tp t="s">
        <v>N/A</v>
        <stp/>
        <stp>THETA</stp>
        <stp>.XLK201120P120.5</stp>
        <tr r="O830" s="1"/>
      </tp>
      <tp t="s">
        <v>N/A</v>
        <stp/>
        <stp>DELTA</stp>
        <stp>.XLV201120C110.5</stp>
        <tr r="M859" s="1"/>
      </tp>
      <tp t="s">
        <v>N/A</v>
        <stp/>
        <stp>DELTA</stp>
        <stp>.XLK201120C120.5</stp>
        <tr r="M829" s="1"/>
      </tp>
      <tp t="s">
        <v>N/A</v>
        <stp/>
        <stp>THETA</stp>
        <stp>.SCZ201120C63</stp>
        <tr r="O535" s="1"/>
      </tp>
      <tp>
        <v>64.45</v>
        <stp/>
        <stp>LAST</stp>
        <stp>IEFA</stp>
        <tr r="E251" s="1"/>
      </tp>
      <tp t="s">
        <v>N/A</v>
        <stp/>
        <stp>GAMMA</stp>
        <stp>.IBB201120P138.5</stp>
        <tr r="N232" s="1"/>
      </tp>
      <tp>
        <v>0</v>
        <stp/>
        <stp>THETA</stp>
        <stp>SDS</stp>
        <tr r="O537" s="1"/>
      </tp>
      <tp>
        <v>0</v>
        <stp/>
        <stp>THETA</stp>
        <stp>SCZ</stp>
        <tr r="O534" s="1"/>
      </tp>
      <tp t="s">
        <v>N/A</v>
        <stp/>
        <stp>DELTA</stp>
        <stp>.SSO201120C83</stp>
        <tr r="M651" s="1"/>
      </tp>
      <tp t="s">
        <v>N/A</v>
        <stp/>
        <stp>DELTA</stp>
        <stp>.SSO201120C82</stp>
        <tr r="M647" s="1"/>
      </tp>
      <tp t="s">
        <v>N/A</v>
        <stp/>
        <stp>DELTA</stp>
        <stp>.SSO201120C81</stp>
        <tr r="M643" s="1"/>
      </tp>
      <tp t="s">
        <v>N/A</v>
        <stp/>
        <stp>DELTA</stp>
        <stp>.SSO201120C84</stp>
        <tr r="M655" s="1"/>
      </tp>
      <tp>
        <v>0</v>
        <stp/>
        <stp>THETA</stp>
        <stp>SMH</stp>
        <tr r="O551" s="1"/>
      </tp>
      <tp>
        <v>57.06</v>
        <stp/>
        <stp>LAST</stp>
        <stp>IEMG</stp>
        <tr r="E256" s="1"/>
      </tp>
      <tp t="s">
        <v>N/A</v>
        <stp/>
        <stp>DELTA</stp>
        <stp>.XLV201120P110.5</stp>
        <tr r="M860" s="1"/>
      </tp>
      <tp t="s">
        <v>N/A</v>
        <stp/>
        <stp>DELTA</stp>
        <stp>.XLK201120P120.5</stp>
        <tr r="M830" s="1"/>
      </tp>
      <tp t="s">
        <v>N/A</v>
        <stp/>
        <stp>THETA</stp>
        <stp>.XLV201120C110.5</stp>
        <tr r="O859" s="1"/>
      </tp>
      <tp t="s">
        <v>N/A</v>
        <stp/>
        <stp>THETA</stp>
        <stp>.XLK201120C120.5</stp>
        <tr r="O829" s="1"/>
      </tp>
      <tp>
        <v>0</v>
        <stp/>
        <stp>THETA</stp>
        <stp>SHY</stp>
        <tr r="O545" s="1"/>
      </tp>
      <tp t="s">
        <v>N/A</v>
        <stp/>
        <stp>BID</stp>
        <stp>.VXUS201120P56</stp>
        <tr r="H755" s="1"/>
      </tp>
      <tp t="s">
        <v>N/A</v>
        <stp/>
        <stp>ASK</stp>
        <stp>.IXUS201120P63</stp>
        <tr r="I362" s="1"/>
      </tp>
      <tp t="s">
        <v>N/A</v>
        <stp/>
        <stp>BID</stp>
        <stp>.VXUS201120P57</stp>
        <tr r="H757" s="1"/>
      </tp>
      <tp t="s">
        <v>N/A</v>
        <stp/>
        <stp>RHO</stp>
        <stp>.IEFA201120C66</stp>
        <tr r="Q254" s="1"/>
      </tp>
      <tp t="s">
        <v>N/A</v>
        <stp/>
        <stp>RHO</stp>
        <stp>.IEFA201120C65</stp>
        <tr r="Q252" s="1"/>
      </tp>
      <tp t="s">
        <v>N/A</v>
        <stp/>
        <stp>BID</stp>
        <stp>.IXUS201120P63</stp>
        <tr r="H362" s="1"/>
      </tp>
      <tp t="s">
        <v>N/A</v>
        <stp/>
        <stp>ASK</stp>
        <stp>.VXUS201120P56</stp>
        <tr r="I755" s="1"/>
      </tp>
      <tp t="s">
        <v>N/A</v>
        <stp/>
        <stp>ASK</stp>
        <stp>.VXUS201120P57</stp>
        <tr r="I757" s="1"/>
      </tp>
      <tp t="s">
        <v>N/A</v>
        <stp/>
        <stp>PUT_CALL_RATIO</stp>
        <stp>.RSX201120C22</stp>
        <tr r="C513" s="1"/>
      </tp>
      <tp t="s">
        <v>N/A</v>
        <stp/>
        <stp>DESCRIPTION</stp>
        <stp>.SHYG201120C45</stp>
        <tr r="B549" s="1"/>
      </tp>
      <tp t="s">
        <v>N/A</v>
        <stp/>
        <stp>RHO</stp>
        <stp>.EUFN201120C16</stp>
        <tr r="Q118" s="1"/>
      </tp>
      <tp t="s">
        <v>N/A</v>
        <stp/>
        <stp>DESCRIPTION</stp>
        <stp>.SPYG201120C53</stp>
        <tr r="B632" s="1"/>
      </tp>
      <tp t="s">
        <v>N/A</v>
        <stp/>
        <stp>DESCRIPTION</stp>
        <stp>.SPYG201120C52</stp>
        <tr r="B630" s="1"/>
      </tp>
      <tp t="s">
        <v>N/A</v>
        <stp/>
        <stp>LOW</stp>
        <stp>.IXUS201120P63</stp>
        <tr r="K362" s="1"/>
      </tp>
      <tp t="s">
        <v>N/A</v>
        <stp/>
        <stp>LOW</stp>
        <stp>.VXUS201120P56</stp>
        <tr r="K755" s="1"/>
      </tp>
      <tp t="s">
        <v>N/A</v>
        <stp/>
        <stp>LOW</stp>
        <stp>.VXUS201120P57</stp>
        <tr r="K757" s="1"/>
      </tp>
      <tp t="s">
        <v>N/A</v>
        <stp/>
        <stp>RHO</stp>
        <stp>.VXUS201120P57</stp>
        <tr r="Q757" s="1"/>
      </tp>
      <tp t="s">
        <v>N/A</v>
        <stp/>
        <stp>RHO</stp>
        <stp>.VXUS201120P56</stp>
        <tr r="Q755" s="1"/>
      </tp>
      <tp t="s">
        <v>N/A</v>
        <stp/>
        <stp>BID</stp>
        <stp>.IEFA201120C66</stp>
        <tr r="H254" s="1"/>
      </tp>
      <tp t="s">
        <v>N/A</v>
        <stp/>
        <stp>BID</stp>
        <stp>.IEFA201120C65</stp>
        <tr r="H252" s="1"/>
      </tp>
      <tp t="s">
        <v>N/A</v>
        <stp/>
        <stp>ASK</stp>
        <stp>.IEFA201120C65</stp>
        <tr r="I252" s="1"/>
      </tp>
      <tp t="s">
        <v>N/A</v>
        <stp/>
        <stp>ASK</stp>
        <stp>.IEFA201120C66</stp>
        <tr r="I254" s="1"/>
      </tp>
      <tp t="s">
        <v>N/A</v>
        <stp/>
        <stp>STRIKE</stp>
        <stp>.DXD201120P14</stp>
        <tr r="W93" s="1"/>
      </tp>
      <tp t="s">
        <v>N/A</v>
        <stp/>
        <stp>RHO</stp>
        <stp>.IXUS201120P63</stp>
        <tr r="Q362" s="1"/>
      </tp>
      <tp>
        <v>3.1</v>
        <stp/>
        <stp>ASK</stp>
        <stp>.ARKK201120P100</stp>
        <tr r="I33" s="1"/>
      </tp>
      <tp>
        <v>1.85</v>
        <stp/>
        <stp>ASK</stp>
        <stp>.ARKK201120C100</stp>
        <tr r="I32" s="1"/>
      </tp>
      <tp>
        <v>0</v>
        <stp/>
        <stp>VOLUME</stp>
        <stp>.SCZ201120P63</stp>
        <tr r="F536" s="1"/>
      </tp>
      <tp t="s">
        <v>N/A</v>
        <stp/>
        <stp>LOW</stp>
        <stp>.EUFN201120C16</stp>
        <tr r="K118" s="1"/>
      </tp>
      <tp t="s">
        <v>N/A</v>
        <stp/>
        <stp>BID</stp>
        <stp>.EUFN201120C16</stp>
        <tr r="H118" s="1"/>
      </tp>
      <tp t="s">
        <v>N/A</v>
        <stp/>
        <stp>ASK</stp>
        <stp>.EUFN201120C16</stp>
        <tr r="I118" s="1"/>
      </tp>
      <tp t="s">
        <v>N/A</v>
        <stp/>
        <stp>STRIKE</stp>
        <stp>.FXI201120P47</stp>
        <tr r="W190" s="1"/>
      </tp>
      <tp t="s">
        <v>N/A</v>
        <stp/>
        <stp>STRIKE</stp>
        <stp>.FXI201120P48</stp>
        <tr r="W194" s="1"/>
      </tp>
      <tp t="s">
        <v>N/A</v>
        <stp/>
        <stp>PUT_CALL_RATIO</stp>
        <stp>.SSO201120C81</stp>
        <tr r="C643" s="1"/>
      </tp>
      <tp t="s">
        <v>N/A</v>
        <stp/>
        <stp>PUT_CALL_RATIO</stp>
        <stp>.SSO201120C83</stp>
        <tr r="C651" s="1"/>
      </tp>
      <tp t="s">
        <v>N/A</v>
        <stp/>
        <stp>PUT_CALL_RATIO</stp>
        <stp>.SSO201120C82</stp>
        <tr r="C647" s="1"/>
      </tp>
      <tp t="s">
        <v>N/A</v>
        <stp/>
        <stp>PUT_CALL_RATIO</stp>
        <stp>.SSO201120C84</stp>
        <tr r="C655" s="1"/>
      </tp>
      <tp t="s">
        <v>N/A</v>
        <stp/>
        <stp>STRIKE</stp>
        <stp>.PXH201120P20</stp>
        <tr r="W461" s="1"/>
      </tp>
      <tp t="s">
        <v>N/A</v>
        <stp/>
        <stp>DESCRIPTION</stp>
        <stp>.SPYV201120C33</stp>
        <tr r="B635" s="1"/>
      </tp>
      <tp t="s">
        <v>N/A</v>
        <stp/>
        <stp>STRIKE</stp>
        <stp>.PXH201120P19</stp>
        <tr r="W459" s="1"/>
      </tp>
      <tp t="s">
        <v>N/A</v>
        <stp/>
        <stp>LOW</stp>
        <stp>.IEFA201120C65</stp>
        <tr r="K252" s="1"/>
      </tp>
      <tp t="s">
        <v>N/A</v>
        <stp/>
        <stp>LOW</stp>
        <stp>.IEFA201120C66</stp>
        <tr r="K254" s="1"/>
      </tp>
      <tp t="s">
        <v>N/A</v>
        <stp/>
        <stp>OPEN_INT</stp>
        <stp>.VYM201120C87</stp>
        <tr r="G759" s="1"/>
      </tp>
      <tp t="s">
        <v>N/A</v>
        <stp/>
        <stp>OPEN_INT</stp>
        <stp>.VYM201120C88</stp>
        <tr r="G761" s="1"/>
      </tp>
      <tp t="s">
        <v>N/A</v>
        <stp/>
        <stp>PROB_OF_TOUCHING</stp>
        <stp>.KBE201120C38</stp>
        <tr r="V386" s="1"/>
      </tp>
      <tp t="s">
        <v>N/A</v>
        <stp/>
        <stp>PROB_OF_TOUCHING</stp>
        <stp>.TBF201120C16</stp>
        <tr r="V681" s="1"/>
      </tp>
      <tp>
        <v>69</v>
        <stp/>
        <stp>OPEN_INT</stp>
        <stp>.IYE201120C18</stp>
        <tr r="G364" s="1"/>
      </tp>
      <tp t="s">
        <v>N/A</v>
        <stp/>
        <stp>EXTRINSIC</stp>
        <stp>.PDBC201120C14</stp>
        <tr r="S452" s="1"/>
      </tp>
      <tp t="s">
        <v>N/A</v>
        <stp/>
        <stp>PROB_OF_EXPIRING</stp>
        <stp>.XHB201120C55</stp>
        <tr r="T781" s="1"/>
      </tp>
      <tp t="s">
        <v>N/A</v>
        <stp/>
        <stp>PROB_OF_EXPIRING</stp>
        <stp>.XHB201120C56</stp>
        <tr r="T785" s="1"/>
      </tp>
      <tp>
        <v>104258</v>
        <stp/>
        <stp>OPEN_INT</stp>
        <stp>.HYG201120C86</stp>
        <tr r="G223" s="1"/>
      </tp>
      <tp t="s">
        <v>N/A</v>
        <stp/>
        <stp>VOLUME</stp>
        <stp>.IGV201120C320</stp>
        <tr r="F267" s="1"/>
      </tp>
      <tp t="s">
        <v>N/A</v>
        <stp/>
        <stp>VOLUME</stp>
        <stp>.IGV201120P320</stp>
        <tr r="F268" s="1"/>
      </tp>
      <tp>
        <v>72</v>
        <stp/>
        <stp>VOLUME</stp>
        <stp>.IGV201120C325</stp>
        <tr r="F269" s="1"/>
      </tp>
      <tp t="s">
        <v>N/A</v>
        <stp/>
        <stp>VOLUME</stp>
        <stp>.IGV201120P325</stp>
        <tr r="F270" s="1"/>
      </tp>
      <tp t="s">
        <v>N/A</v>
        <stp/>
        <stp>VOLUME</stp>
        <stp>.IGV201120C315</stp>
        <tr r="F265" s="1"/>
      </tp>
      <tp t="s">
        <v>N/A</v>
        <stp/>
        <stp>VOLUME</stp>
        <stp>.IGV201120P315</stp>
        <tr r="F266" s="1"/>
      </tp>
      <tp t="s">
        <v>N/A</v>
        <stp/>
        <stp>PROB_OTM</stp>
        <stp>.XLU201120C66</stp>
        <tr r="U850" s="1"/>
      </tp>
      <tp t="s">
        <v>N/A</v>
        <stp/>
        <stp>PROB_OTM</stp>
        <stp>.XLU201120C67</stp>
        <tr r="U854" s="1"/>
      </tp>
      <tp>
        <v>0</v>
        <stp/>
        <stp>VOLUME</stp>
        <stp>.IVV201120P361</stp>
        <tr r="F327" s="1"/>
      </tp>
      <tp>
        <v>0</v>
        <stp/>
        <stp>VOLUME</stp>
        <stp>.IVV201120C361</stp>
        <tr r="F326" s="1"/>
      </tp>
      <tp>
        <v>0</v>
        <stp/>
        <stp>VOLUME</stp>
        <stp>.IVV201120P360</stp>
        <tr r="F325" s="1"/>
      </tp>
      <tp>
        <v>0</v>
        <stp/>
        <stp>VOLUME</stp>
        <stp>.IVV201120C360</stp>
        <tr r="F324" s="1"/>
      </tp>
      <tp>
        <v>0</v>
        <stp/>
        <stp>VOLUME</stp>
        <stp>.IVV201120P362</stp>
        <tr r="F329" s="1"/>
      </tp>
      <tp>
        <v>0</v>
        <stp/>
        <stp>VOLUME</stp>
        <stp>.IVV201120C362</stp>
        <tr r="F328" s="1"/>
      </tp>
      <tp t="s">
        <v>N/A</v>
        <stp/>
        <stp>PROB_OTM</stp>
        <stp>.XLP201120C67</stp>
        <tr r="U844" s="1"/>
      </tp>
      <tp>
        <v>513</v>
        <stp/>
        <stp>VOLUME</stp>
        <stp>.TLT201120C155</stp>
        <tr r="F690" s="1"/>
      </tp>
      <tp>
        <v>2956</v>
        <stp/>
        <stp>VOLUME</stp>
        <stp>.TLT201120P155</stp>
        <tr r="F691" s="1"/>
      </tp>
      <tp>
        <v>375</v>
        <stp/>
        <stp>VOLUME</stp>
        <stp>.TLT201120C156</stp>
        <tr r="F694" s="1"/>
      </tp>
      <tp>
        <v>4275</v>
        <stp/>
        <stp>VOLUME</stp>
        <stp>.TLT201120P156</stp>
        <tr r="F695" s="1"/>
      </tp>
      <tp>
        <v>0</v>
        <stp/>
        <stp>VOLUME</stp>
        <stp>.IVV201120P359</stp>
        <tr r="F323" s="1"/>
      </tp>
      <tp>
        <v>1</v>
        <stp/>
        <stp>VOLUME</stp>
        <stp>.IVV201120C359</stp>
        <tr r="F322" s="1"/>
      </tp>
      <tp>
        <v>0</v>
        <stp/>
        <stp>VOLUME</stp>
        <stp>.IVV201120P358</stp>
        <tr r="F321" s="1"/>
      </tp>
      <tp>
        <v>0</v>
        <stp/>
        <stp>VOLUME</stp>
        <stp>.IVV201120C358</stp>
        <tr r="F320" s="1"/>
      </tp>
      <tp>
        <v>5</v>
        <stp/>
        <stp>VOLUME</stp>
        <stp>.IVV201120P355</stp>
        <tr r="F313" s="1"/>
      </tp>
      <tp>
        <v>3</v>
        <stp/>
        <stp>VOLUME</stp>
        <stp>.IVV201120C355</stp>
        <tr r="F312" s="1"/>
      </tp>
      <tp>
        <v>0</v>
        <stp/>
        <stp>VOLUME</stp>
        <stp>.IVV201120P354</stp>
        <tr r="F311" s="1"/>
      </tp>
      <tp>
        <v>0</v>
        <stp/>
        <stp>VOLUME</stp>
        <stp>.IVV201120C354</stp>
        <tr r="F310" s="1"/>
      </tp>
      <tp>
        <v>0</v>
        <stp/>
        <stp>VOLUME</stp>
        <stp>.IVV201120P357</stp>
        <tr r="F317" s="1"/>
      </tp>
      <tp>
        <v>0</v>
        <stp/>
        <stp>VOLUME</stp>
        <stp>.IVV201120C357</stp>
        <tr r="F316" s="1"/>
      </tp>
      <tp>
        <v>0</v>
        <stp/>
        <stp>VOLUME</stp>
        <stp>.IVV201120P356</stp>
        <tr r="F315" s="1"/>
      </tp>
      <tp>
        <v>0</v>
        <stp/>
        <stp>VOLUME</stp>
        <stp>.IVV201120C356</stp>
        <tr r="F314" s="1"/>
      </tp>
      <tp t="s">
        <v>N/A</v>
        <stp/>
        <stp>INTRINSIC</stp>
        <stp>.JETS201120C20</stp>
        <tr r="R378" s="1"/>
      </tp>
      <tp t="s">
        <v>N/A</v>
        <stp/>
        <stp>PROB_OF_TOUCHING</stp>
        <stp>.TBT201120C17</stp>
        <tr r="V684" s="1"/>
      </tp>
      <tp t="s">
        <v>N/A</v>
        <stp/>
        <stp>PROB_OTM</stp>
        <stp>.QLD201120C96</stp>
        <tr r="U463" s="1"/>
      </tp>
      <tp t="s">
        <v>N/A</v>
        <stp/>
        <stp>PROB_OTM</stp>
        <stp>.QLD201120C97</stp>
        <tr r="U465" s="1"/>
      </tp>
      <tp t="s">
        <v>N/A</v>
        <stp/>
        <stp>PROB_OTM</stp>
        <stp>.QLD201120C98</stp>
        <tr r="U467" s="1"/>
      </tp>
      <tp t="s">
        <v>N/A</v>
        <stp/>
        <stp>PROB_OTM</stp>
        <stp>.QLD201120C99</stp>
        <tr r="U469" s="1"/>
      </tp>
      <tp t="s">
        <v>N/A</v>
        <stp/>
        <stp>PUT_CALL_RATIO</stp>
        <stp>.SH201120C19</stp>
        <tr r="C543" s="1"/>
      </tp>
      <tp>
        <v>222</v>
        <stp/>
        <stp>VOLUME</stp>
        <stp>.MJ201120C13</stp>
        <tr r="F424" s="1"/>
      </tp>
      <tp t="s">
        <v>N/A</v>
        <stp/>
        <stp>PROB_OTM</stp>
        <stp>.XLI201120C84</stp>
        <tr r="U814" s="1"/>
      </tp>
      <tp t="s">
        <v>N/A</v>
        <stp/>
        <stp>PROB_OTM</stp>
        <stp>.XLI201120C85</stp>
        <tr r="U818" s="1"/>
      </tp>
      <tp t="s">
        <v>N/A</v>
        <stp/>
        <stp>PROB_OTM</stp>
        <stp>.XLI201120C86</stp>
        <tr r="U822" s="1"/>
      </tp>
      <tp t="s">
        <v>N/A</v>
        <stp/>
        <stp>PROB_OTM</stp>
        <stp>.ILF201120C25</stp>
        <tr r="U278" s="1"/>
      </tp>
      <tp t="s">
        <v>N/A</v>
        <stp/>
        <stp>PROB_OTM</stp>
        <stp>.XLF201120C27</stp>
        <tr r="U811" s="1"/>
      </tp>
      <tp t="s">
        <v>N/A</v>
        <stp/>
        <stp>PROB_OTM</stp>
        <stp>.XLB201120C69</stp>
        <tr r="U790" s="1"/>
      </tp>
      <tp t="s">
        <v>N/A</v>
        <stp/>
        <stp>PROB_OTM</stp>
        <stp>.XLC201120C64</stp>
        <tr r="U801" s="1"/>
      </tp>
      <tp t="s">
        <v>N/A</v>
        <stp/>
        <stp>OPEN_INT</stp>
        <stp>.IJR201120P80</stp>
        <tr r="G276" s="1"/>
      </tp>
      <tp t="s">
        <v>N/A</v>
        <stp/>
        <stp>IMPL_VOL</stp>
        <stp>.SCZ201120C63</stp>
        <tr r="D535" s="1"/>
      </tp>
      <tp t="s">
        <v>N/A</v>
        <stp/>
        <stp>PROB_OTM</stp>
        <stp>.XLB201120C70</stp>
        <tr r="U794" s="1"/>
      </tp>
      <tp t="s">
        <v>N/A</v>
        <stp/>
        <stp>OPEN_INT</stp>
        <stp>.IYR201120C84</stp>
        <tr r="G367" s="1"/>
      </tp>
      <tp t="s">
        <v>N/A</v>
        <stp/>
        <stp>OPEN_INT</stp>
        <stp>.IYR201120C85</stp>
        <tr r="G371" s="1"/>
      </tp>
      <tp t="s">
        <v>N/A</v>
        <stp/>
        <stp>PROB_OTM</stp>
        <stp>.XLC201120C63</stp>
        <tr r="U797" s="1"/>
      </tp>
      <tp t="s">
        <v>N/A</v>
        <stp/>
        <stp>PROB_OTM</stp>
        <stp>.XLE201120C34</stp>
        <tr r="U806" s="1"/>
      </tp>
      <tp t="s">
        <v>N/A</v>
        <stp/>
        <stp>OPEN_INT</stp>
        <stp>.MCHI201120C80</stp>
        <tr r="G412" s="1"/>
      </tp>
      <tp t="s">
        <v>N/A</v>
        <stp/>
        <stp>PROB_OF_TOUCHING</stp>
        <stp>.ARKK201120C98</stp>
        <tr r="V28" s="1"/>
      </tp>
      <tp t="s">
        <v>N/A</v>
        <stp/>
        <stp>PROB_OF_TOUCHING</stp>
        <stp>.ARKK201120C99</stp>
        <tr r="V30" s="1"/>
      </tp>
      <tp t="s">
        <v>N/A</v>
        <stp/>
        <stp>PROB_OF_TOUCHING</stp>
        <stp>.AAXJ201120P83</stp>
        <tr r="V4" s="1"/>
      </tp>
      <tp t="s">
        <v>N/A</v>
        <stp/>
        <stp>PROB_OF_TOUCHING</stp>
        <stp>.ARKK201120C97</stp>
        <tr r="V26" s="1"/>
      </tp>
      <tp t="s">
        <v>N/A</v>
        <stp/>
        <stp>PROB_OF_TOUCHING</stp>
        <stp>.AAXJ201120P84</stp>
        <tr r="V6" s="1"/>
      </tp>
      <tp>
        <v>5.18</v>
        <stp/>
        <stp>BID</stp>
        <stp>.SPY201120C352.5</stp>
        <tr r="H607" s="1"/>
      </tp>
      <tp t="s">
        <v>N/A</v>
        <stp/>
        <stp>OPEN_INT</stp>
        <stp>.SCHD201120C61</stp>
        <tr r="G521" s="1"/>
      </tp>
      <tp t="s">
        <v>N/A</v>
        <stp/>
        <stp>OPEN_INT</stp>
        <stp>.SCHD201120C62</stp>
        <tr r="G523" s="1"/>
      </tp>
      <tp t="s">
        <v>N/A</v>
        <stp/>
        <stp>PROB_OTM</stp>
        <stp>.ACWI201120C86</stp>
        <tr r="U10" s="1"/>
      </tp>
      <tp t="s">
        <v>N/A</v>
        <stp/>
        <stp>OPEN_INT</stp>
        <stp>.SCHF201120C34</stp>
        <tr r="G529" s="1"/>
      </tp>
      <tp t="s">
        <v>N/A</v>
        <stp/>
        <stp>PROB_OTM</stp>
        <stp>.ACWI201120C85</stp>
        <tr r="U8" s="1"/>
      </tp>
      <tp t="s">
        <v>N/A</v>
        <stp/>
        <stp>RHO</stp>
        <stp>.SMH201120P193.5</stp>
        <tr r="Q557" s="1"/>
      </tp>
      <tp t="s">
        <v>N/A</v>
        <stp/>
        <stp>OPEN_INT</stp>
        <stp>.SPHD201120C36</stp>
        <tr r="G582" s="1"/>
      </tp>
      <tp t="s">
        <v>N/A</v>
        <stp/>
        <stp>OPEN_INT</stp>
        <stp>.SCHE201120C29</stp>
        <tr r="G526" s="1"/>
      </tp>
      <tp t="s">
        <v>N/A</v>
        <stp/>
        <stp>DESCRIPTION</stp>
        <stp>.SMH201120P198.5</stp>
        <tr r="B577" s="1"/>
      </tp>
      <tp t="s">
        <v>N/A</v>
        <stp/>
        <stp>PROB_OTM</stp>
        <stp>.INDA201120P36</stp>
        <tr r="U282" s="1"/>
      </tp>
      <tp t="s">
        <v>N/A</v>
        <stp/>
        <stp>DESCRIPTION</stp>
        <stp>.XLY201120P153.5</stp>
        <tr r="B877" s="1"/>
      </tp>
      <tp>
        <v>0</v>
        <stp/>
        <stp>LOW</stp>
        <stp>.IVW201120C61.25</stp>
        <tr r="K331" s="1"/>
      </tp>
      <tp>
        <v>1.91</v>
        <stp/>
        <stp>ASK</stp>
        <stp>.IWM201120C172.5</stp>
        <tr r="I352" s="1"/>
      </tp>
      <tp t="s">
        <v>N/A</v>
        <stp/>
        <stp>DESCRIPTION</stp>
        <stp>.XBI201120P123.5</stp>
        <tr r="B771" s="1"/>
      </tp>
      <tp t="s">
        <v>N/A</v>
        <stp/>
        <stp>PROB_OF_TOUCHING</stp>
        <stp>.GDXJ201120P54</stp>
        <tr r="V212" s="1"/>
      </tp>
      <tp t="s">
        <v>N/A</v>
        <stp/>
        <stp>PROB_OF_TOUCHING</stp>
        <stp>.GDXJ201120P52</stp>
        <tr r="V204" s="1"/>
      </tp>
      <tp t="s">
        <v>N/A</v>
        <stp/>
        <stp>PROB_OF_TOUCHING</stp>
        <stp>.GDXJ201120P53</stp>
        <tr r="V208" s="1"/>
      </tp>
      <tp>
        <v>1.52</v>
        <stp/>
        <stp>BID</stp>
        <stp>.XLK201120P119.5</stp>
        <tr r="H826" s="1"/>
      </tp>
      <tp>
        <v>0.33</v>
        <stp/>
        <stp>BID</stp>
        <stp>.TLT201120P155.5</stp>
        <tr r="H693" s="1"/>
      </tp>
      <tp>
        <v>2.74</v>
        <stp/>
        <stp>LOW</stp>
        <stp>.SMH201120C194.5</stp>
        <tr r="K560" s="1"/>
      </tp>
      <tp>
        <v>3</v>
        <stp/>
        <stp>BID</stp>
        <stp>.SMH201120P192.5</stp>
        <tr r="H553" s="1"/>
      </tp>
      <tp>
        <v>9447</v>
        <stp/>
        <stp>OPEN_INT</stp>
        <stp>.ASHR201120C38</stp>
        <tr r="G46" s="1"/>
      </tp>
      <tp t="s">
        <v>N/A</v>
        <stp/>
        <stp>PROB_OTM</stp>
        <stp>.SPDW201120P32</stp>
        <tr r="U580" s="1"/>
      </tp>
      <tp>
        <v>3.86</v>
        <stp/>
        <stp>BID</stp>
        <stp>.SPY201120P352.5</stp>
        <tr r="H608" s="1"/>
      </tp>
      <tp t="s">
        <v>N/A</v>
        <stp/>
        <stp>DESCRIPTION</stp>
        <stp>.XLY201120C153.5</stp>
        <tr r="B876" s="1"/>
      </tp>
      <tp t="s">
        <v>N/A</v>
        <stp/>
        <stp>DESCRIPTION</stp>
        <stp>.SMH201120C198.5</stp>
        <tr r="B576" s="1"/>
      </tp>
      <tp>
        <v>1</v>
        <stp/>
        <stp>OPEN_INT</stp>
        <stp>.SCHP201120C61</stp>
        <tr r="G532" s="1"/>
      </tp>
      <tp t="s">
        <v>N/A</v>
        <stp/>
        <stp>RHO</stp>
        <stp>.SMH201120C193.5</stp>
        <tr r="Q556" s="1"/>
      </tp>
      <tp t="s">
        <v>N/A</v>
        <stp/>
        <stp>PROB_OTM</stp>
        <stp>.ACWX201120C50</stp>
        <tr r="U13" s="1"/>
      </tp>
      <tp>
        <v>4.4400000000000004</v>
        <stp/>
        <stp>ASK</stp>
        <stp>.IWM201120P172.5</stp>
        <tr r="I353" s="1"/>
      </tp>
      <tp t="s">
        <v>N/A</v>
        <stp/>
        <stp>DESCRIPTION</stp>
        <stp>.XBI201120C123.5</stp>
        <tr r="B770" s="1"/>
      </tp>
      <tp t="s">
        <v>N/A</v>
        <stp/>
        <stp>LOW</stp>
        <stp>.IVW201120P61.25</stp>
        <tr r="K332" s="1"/>
      </tp>
      <tp>
        <v>2.97</v>
        <stp/>
        <stp>LOW</stp>
        <stp>.SMH201120P194.5</stp>
        <tr r="K561" s="1"/>
      </tp>
      <tp>
        <v>3.65</v>
        <stp/>
        <stp>BID</stp>
        <stp>.SMH201120C192.5</stp>
        <tr r="H552" s="1"/>
      </tp>
      <tp>
        <v>2.5</v>
        <stp/>
        <stp>BID</stp>
        <stp>.XLK201120C119.5</stp>
        <tr r="H825" s="1"/>
      </tp>
      <tp>
        <v>3.15</v>
        <stp/>
        <stp>BID</stp>
        <stp>.TLT201120C155.5</stp>
        <tr r="H692" s="1"/>
      </tp>
      <tp t="s">
        <v>N/A</v>
        <stp/>
        <stp>PROB_OF_EXPIRING</stp>
        <stp>.GUSH201120P28</stp>
        <tr r="T219" s="1"/>
      </tp>
      <tp t="s">
        <v>N/A</v>
        <stp/>
        <stp>PROB_OF_EXPIRING</stp>
        <stp>.GUSH201120P27</stp>
        <tr r="T217" s="1"/>
      </tp>
      <tp t="s">
        <v>N/A</v>
        <stp/>
        <stp>PROB_OF_EXPIRING</stp>
        <stp>.GUSH201120P26</stp>
        <tr r="T215" s="1"/>
      </tp>
      <tp t="s">
        <v>N/A</v>
        <stp/>
        <stp>PROB_OTM</stp>
        <stp>.INDY201120P38</stp>
        <tr r="U287" s="1"/>
      </tp>
      <tp t="s">
        <v>N/A</v>
        <stp/>
        <stp>EXTRINSIC</stp>
        <stp>MTUM</stp>
        <tr r="S426" s="1"/>
      </tp>
      <tp t="s">
        <v>N/A</v>
        <stp/>
        <stp>PROB_OF_EXPIRING</stp>
        <stp>.IWM201120C175</stp>
        <tr r="T358" s="1"/>
      </tp>
      <tp t="s">
        <v>N/A</v>
        <stp/>
        <stp>PROB_OF_EXPIRING</stp>
        <stp>.IWM201120P175</stp>
        <tr r="T359" s="1"/>
      </tp>
      <tp t="s">
        <v>N/A</v>
        <stp/>
        <stp>PROB_OF_EXPIRING</stp>
        <stp>.IWM201120C174</stp>
        <tr r="T356" s="1"/>
      </tp>
      <tp t="s">
        <v>N/A</v>
        <stp/>
        <stp>PROB_OF_EXPIRING</stp>
        <stp>.IWM201120P174</stp>
        <tr r="T357" s="1"/>
      </tp>
      <tp t="s">
        <v>N/A</v>
        <stp/>
        <stp>PROB_OF_EXPIRING</stp>
        <stp>.IWM201120C173</stp>
        <tr r="T354" s="1"/>
      </tp>
      <tp t="s">
        <v>N/A</v>
        <stp/>
        <stp>PROB_OF_EXPIRING</stp>
        <stp>.IWM201120P173</stp>
        <tr r="T355" s="1"/>
      </tp>
      <tp t="s">
        <v>N/A</v>
        <stp/>
        <stp>PROB_OF_EXPIRING</stp>
        <stp>.IWM201120C172</stp>
        <tr r="T350" s="1"/>
      </tp>
      <tp t="s">
        <v>N/A</v>
        <stp/>
        <stp>PROB_OF_EXPIRING</stp>
        <stp>.IWM201120P172</stp>
        <tr r="T351" s="1"/>
      </tp>
      <tp t="s">
        <v>N/A</v>
        <stp/>
        <stp>PROB_OF_EXPIRING</stp>
        <stp>.IWM201120C171</stp>
        <tr r="T348" s="1"/>
      </tp>
      <tp t="s">
        <v>N/A</v>
        <stp/>
        <stp>PROB_OF_EXPIRING</stp>
        <stp>.IWM201120P171</stp>
        <tr r="T349" s="1"/>
      </tp>
      <tp t="s">
        <v>N/A</v>
        <stp/>
        <stp>PROB_OF_EXPIRING</stp>
        <stp>.IWM201120C170</stp>
        <tr r="T346" s="1"/>
      </tp>
      <tp t="s">
        <v>N/A</v>
        <stp/>
        <stp>PROB_OF_EXPIRING</stp>
        <stp>.IWM201120P170</stp>
        <tr r="T347" s="1"/>
      </tp>
      <tp t="s">
        <v>N/A</v>
        <stp/>
        <stp>PROB_OF_TOUCHING</stp>
        <stp>.IWM201120C172.5</stp>
        <tr r="V352" s="1"/>
      </tp>
      <tp>
        <v>202</v>
        <stp/>
        <stp>OPEN_INT</stp>
        <stp>.TLT201120C156.5</stp>
        <tr r="G696" s="1"/>
      </tp>
      <tp t="s">
        <v>N/A</v>
        <stp/>
        <stp>PROB_OF_EXPIRING</stp>
        <stp>.VOO201120P330</stp>
        <tr r="T733" s="1"/>
      </tp>
      <tp t="s">
        <v>N/A</v>
        <stp/>
        <stp>PROB_OF_EXPIRING</stp>
        <stp>.VOO201120C330</stp>
        <tr r="T732" s="1"/>
      </tp>
      <tp>
        <v>0.55000000000000004</v>
        <stp/>
        <stp>OPEN</stp>
        <stp>.MJ201120P13</stp>
        <tr r="L425" s="1"/>
      </tp>
      <tp t="s">
        <v>N/A</v>
        <stp/>
        <stp>PROB_OF_EXPIRING</stp>
        <stp>.VOO201120P325</stp>
        <tr r="T731" s="1"/>
      </tp>
      <tp t="s">
        <v>N/A</v>
        <stp/>
        <stp>PROB_OF_EXPIRING</stp>
        <stp>.VOO201120C325</stp>
        <tr r="T730" s="1"/>
      </tp>
      <tp t="s">
        <v>N/A</v>
        <stp/>
        <stp>IMPL_VOL</stp>
        <stp>.DIA201120P292.5</stp>
        <tr r="D68" s="1"/>
      </tp>
      <tp>
        <v>1.48</v>
        <stp/>
        <stp>LAST</stp>
        <stp>.XOP201120P48.5</stp>
        <tr r="E897" s="1"/>
      </tp>
      <tp t="s">
        <v>N/A</v>
        <stp/>
        <stp>LAST</stp>
        <stp>.XLB201120P68.5</stp>
        <tr r="E789" s="1"/>
      </tp>
      <tp>
        <v>0.66</v>
        <stp/>
        <stp>LAST</stp>
        <stp>.XLB201120C68.5</stp>
        <tr r="E788" s="1"/>
      </tp>
      <tp>
        <v>0.55000000000000004</v>
        <stp/>
        <stp>LAST</stp>
        <stp>.XOP201120C48.5</stp>
        <tr r="E896" s="1"/>
      </tp>
      <tp t="s">
        <v>N/A</v>
        <stp/>
        <stp>INTRINSIC</stp>
        <stp>MTUM</stp>
        <tr r="R426" s="1"/>
      </tp>
      <tp t="s">
        <v>N/A</v>
        <stp/>
        <stp>PROB_OF_EXPIRING</stp>
        <stp>.IWF201120C227.5</stp>
        <tr r="T343" s="1"/>
      </tp>
      <tp t="s">
        <v>N/A</v>
        <stp/>
        <stp>PROB_OF_EXPIRING</stp>
        <stp>.IVV201120C357.5</stp>
        <tr r="T318" s="1"/>
      </tp>
      <tp t="s">
        <v>N/A</v>
        <stp/>
        <stp>LAST</stp>
        <stp>.EWW201120C38.5</stp>
        <tr r="E155" s="1"/>
      </tp>
      <tp t="s">
        <v>N/A</v>
        <stp/>
        <stp>LAST</stp>
        <stp>.EWU201120C28.5</stp>
        <tr r="E152" s="1"/>
      </tp>
      <tp>
        <v>0.83</v>
        <stp/>
        <stp>LAST</stp>
        <stp>.EEM201120P48.5</stp>
        <tr r="E100" s="1"/>
      </tp>
      <tp>
        <v>0.23</v>
        <stp/>
        <stp>LAST</stp>
        <stp>.EEM201120C48.5</stp>
        <tr r="E99" s="1"/>
      </tp>
      <tp t="s">
        <v>N/A</v>
        <stp/>
        <stp>LAST</stp>
        <stp>.EWW201120P38.5</stp>
        <tr r="E156" s="1"/>
      </tp>
      <tp t="s">
        <v>N/A</v>
        <stp/>
        <stp>LAST</stp>
        <stp>.EWU201120P28.5</stp>
        <tr r="E153" s="1"/>
      </tp>
      <tp t="s">
        <v>N/A</v>
        <stp/>
        <stp>OPEN_INT</stp>
        <stp>.IVE201120P123</stp>
        <tr r="G308" s="1"/>
      </tp>
      <tp t="s">
        <v>N/A</v>
        <stp/>
        <stp>OPEN_INT</stp>
        <stp>.IVE201120C123</stp>
        <tr r="G307" s="1"/>
      </tp>
      <tp>
        <v>0</v>
        <stp/>
        <stp>OPEN_INT</stp>
        <stp>.IVE201120P122</stp>
        <tr r="G306" s="1"/>
      </tp>
      <tp t="s">
        <v>N/A</v>
        <stp/>
        <stp>OPEN_INT</stp>
        <stp>.IVE201120C122</stp>
        <tr r="G305" s="1"/>
      </tp>
      <tp t="s">
        <v>N/A</v>
        <stp/>
        <stp>OPEN_INT</stp>
        <stp>.IVE201120P121</stp>
        <tr r="G304" s="1"/>
      </tp>
      <tp t="s">
        <v>N/A</v>
        <stp/>
        <stp>OPEN_INT</stp>
        <stp>.IVE201120C121</stp>
        <tr r="G303" s="1"/>
      </tp>
      <tp t="s">
        <v>N/A</v>
        <stp/>
        <stp>OPEN_INT</stp>
        <stp>.IWF201120P225</stp>
        <tr r="G342" s="1"/>
      </tp>
      <tp t="s">
        <v>N/A</v>
        <stp/>
        <stp>OPEN_INT</stp>
        <stp>.IWF201120C225</stp>
        <tr r="G341" s="1"/>
      </tp>
      <tp t="s">
        <v>N/A</v>
        <stp/>
        <stp>INTRINSIC</stp>
        <stp>ITOT</stp>
        <tr r="R297" s="1"/>
      </tp>
      <tp t="s">
        <v>N/A</v>
        <stp/>
        <stp>PROB_OF_TOUCHING</stp>
        <stp>.IWM201120P172.5</stp>
        <tr r="V353" s="1"/>
      </tp>
      <tp>
        <v>1465</v>
        <stp/>
        <stp>OPEN_INT</stp>
        <stp>.TLT201120P156.5</stp>
        <tr r="G697" s="1"/>
      </tp>
      <tp t="s">
        <v>N/A</v>
        <stp/>
        <stp>EXTRINSIC</stp>
        <stp>ITOT</stp>
        <tr r="S297" s="1"/>
      </tp>
      <tp t="s">
        <v>N/A</v>
        <stp/>
        <stp>IMPL_VOL</stp>
        <stp>.DIA201120C292.5</stp>
        <tr r="D67" s="1"/>
      </tp>
      <tp t="s">
        <v>N/A</v>
        <stp/>
        <stp>PROB_OF_EXPIRING</stp>
        <stp>.IVV201120P357.5</stp>
        <tr r="T319" s="1"/>
      </tp>
      <tp t="s">
        <v>N/A</v>
        <stp/>
        <stp>PROB_OF_EXPIRING</stp>
        <stp>.IWF201120P227.5</stp>
        <tr r="T344" s="1"/>
      </tp>
      <tp t="s">
        <v>N/A</v>
        <stp/>
        <stp>PUT_CALL_RATIO</stp>
        <stp>.EMLC201120C32</stp>
        <tr r="C115" s="1"/>
      </tp>
      <tp t="s">
        <v>N/A</v>
        <stp/>
        <stp>ASK</stp>
        <stp>.ITB201120P54.5</stp>
        <tr r="I290" s="1"/>
      </tp>
      <tp t="s">
        <v>N/A</v>
        <stp/>
        <stp>ASK</stp>
        <stp>.IYR201120P84.5</stp>
        <tr r="I370" s="1"/>
      </tp>
      <tp t="s">
        <v>N/A</v>
        <stp/>
        <stp>ASK</stp>
        <stp>.ITB201120C54.5</stp>
        <tr r="I289" s="1"/>
      </tp>
      <tp t="s">
        <v>N/A</v>
        <stp/>
        <stp>ASK</stp>
        <stp>.IYR201120C84.5</stp>
        <tr r="I369" s="1"/>
      </tp>
      <tp t="s">
        <v>N/A</v>
        <stp/>
        <stp>PUT_CALL_RATIO</stp>
        <stp>.SPLG201120C42</stp>
        <tr r="C585" s="1"/>
      </tp>
      <tp t="s">
        <v>N/A</v>
        <stp/>
        <stp>PUT_CALL_RATIO</stp>
        <stp>.HYLB201120C49</stp>
        <tr r="C226" s="1"/>
      </tp>
      <tp>
        <v>0.9</v>
        <stp/>
        <stp>BID</stp>
        <stp>.XOP201120C47.5</stp>
        <tr r="H892" s="1"/>
      </tp>
      <tp>
        <v>2.0699999999999998</v>
        <stp/>
        <stp>BID</stp>
        <stp>.XOP201120P47.5</stp>
        <tr r="H893" s="1"/>
      </tp>
      <tp t="s">
        <v>N/A</v>
        <stp/>
        <stp>PUT_CALL_RATIO</stp>
        <stp>.ICLN201120C22</stp>
        <tr r="C246" s="1"/>
      </tp>
      <tp t="s">
        <v>N/A</v>
        <stp/>
        <stp>PUT_CALL_RATIO</stp>
        <stp>.BKLN201120C22</stp>
        <tr r="C49" s="1"/>
      </tp>
      <tp>
        <v>3.44</v>
        <stp/>
        <stp>LOW</stp>
        <stp>.XOP201120P49.5</stp>
        <tr r="K901" s="1"/>
      </tp>
      <tp t="s">
        <v>N/A</v>
        <stp/>
        <stp>LOW</stp>
        <stp>.XLB201120P69.5</stp>
        <tr r="K793" s="1"/>
      </tp>
      <tp>
        <v>0</v>
        <stp/>
        <stp>LOW</stp>
        <stp>.XLB201120C69.5</stp>
        <tr r="K792" s="1"/>
      </tp>
      <tp t="s">
        <v>N/A</v>
        <stp/>
        <stp>LOW</stp>
        <stp>.XOP201120C49.5</stp>
        <tr r="K900" s="1"/>
      </tp>
      <tp t="s">
        <v>N/A</v>
        <stp/>
        <stp>VOLUME</stp>
        <stp>.SPYV201120C33</stp>
        <tr r="F635" s="1"/>
      </tp>
      <tp>
        <v>0</v>
        <stp/>
        <stp>LOW</stp>
        <stp>.FEZ201120P39.5</stp>
        <tr r="K182" s="1"/>
      </tp>
      <tp t="s">
        <v>N/A</v>
        <stp/>
        <stp>LOW</stp>
        <stp>.FEZ201120C39.5</stp>
        <tr r="K181" s="1"/>
      </tp>
      <tp t="s">
        <v>N/A</v>
        <stp/>
        <stp>ASK</stp>
        <stp>.XRT201120P54.5</stp>
        <tr r="I906" s="1"/>
      </tp>
      <tp t="s">
        <v>N/A</v>
        <stp/>
        <stp>ASK</stp>
        <stp>.XLI201120C84.5</stp>
        <tr r="I816" s="1"/>
      </tp>
      <tp>
        <v>0.3</v>
        <stp/>
        <stp>ASK</stp>
        <stp>.XLE201120C34.5</stp>
        <tr r="I808" s="1"/>
      </tp>
      <tp t="s">
        <v>N/A</v>
        <stp/>
        <stp>PUT_CALL_RATIO</stp>
        <stp>.AMLP201120C24</stp>
        <tr r="C23" s="1"/>
      </tp>
      <tp t="s">
        <v>N/A</v>
        <stp/>
        <stp>PUT_CALL_RATIO</stp>
        <stp>.AMLP201120C23</stp>
        <tr r="C19" s="1"/>
      </tp>
      <tp t="s">
        <v>N/A</v>
        <stp/>
        <stp>ASK</stp>
        <stp>.XRT201120C54.5</stp>
        <tr r="I905" s="1"/>
      </tp>
      <tp t="s">
        <v>N/A</v>
        <stp/>
        <stp>ASK</stp>
        <stp>.XLI201120P84.5</stp>
        <tr r="I817" s="1"/>
      </tp>
      <tp>
        <v>2.14</v>
        <stp/>
        <stp>ASK</stp>
        <stp>.XLE201120P34.5</stp>
        <tr r="I809" s="1"/>
      </tp>
      <tp t="s">
        <v>N/A</v>
        <stp/>
        <stp>LOW</stp>
        <stp>.EFA201120P69.5</stp>
        <tr r="K105" s="1"/>
      </tp>
      <tp t="s">
        <v>N/A</v>
        <stp/>
        <stp>LOW</stp>
        <stp>.EWW201120C39.5</stp>
        <tr r="K159" s="1"/>
      </tp>
      <tp t="s">
        <v>N/A</v>
        <stp/>
        <stp>PUT_CALL_RATIO</stp>
        <stp>.SPLV201120C55</stp>
        <tr r="C588" s="1"/>
      </tp>
      <tp t="s">
        <v>N/A</v>
        <stp/>
        <stp>LOW</stp>
        <stp>.EWW201120P39.5</stp>
        <tr r="K160" s="1"/>
      </tp>
      <tp t="s">
        <v>N/A</v>
        <stp/>
        <stp>LOW</stp>
        <stp>.EFA201120C69.5</stp>
        <tr r="K104" s="1"/>
      </tp>
      <tp>
        <v>0.68</v>
        <stp/>
        <stp>BID</stp>
        <stp>.EEM201120C47.5</stp>
        <tr r="H95" s="1"/>
      </tp>
      <tp t="s">
        <v>N/A</v>
        <stp/>
        <stp>INTRINSIC</stp>
        <stp>.XLY201120C154</stp>
        <tr r="R878" s="1"/>
      </tp>
      <tp t="s">
        <v>N/A</v>
        <stp/>
        <stp>INTRINSIC</stp>
        <stp>.XLY201120P154</stp>
        <tr r="R879" s="1"/>
      </tp>
      <tp t="s">
        <v>N/A</v>
        <stp/>
        <stp>INTRINSIC</stp>
        <stp>.XLY201120C155</stp>
        <tr r="R882" s="1"/>
      </tp>
      <tp t="s">
        <v>N/A</v>
        <stp/>
        <stp>INTRINSIC</stp>
        <stp>.XLY201120P155</stp>
        <tr r="R883" s="1"/>
      </tp>
      <tp>
        <v>0.46</v>
        <stp/>
        <stp>BID</stp>
        <stp>.EEM201120P47.5</stp>
        <tr r="H96" s="1"/>
      </tp>
      <tp t="s">
        <v>N/A</v>
        <stp/>
        <stp>INTRINSIC</stp>
        <stp>.XLY201120C152</stp>
        <tr r="R870" s="1"/>
      </tp>
      <tp t="s">
        <v>N/A</v>
        <stp/>
        <stp>INTRINSIC</stp>
        <stp>.XLY201120P152</stp>
        <tr r="R871" s="1"/>
      </tp>
      <tp t="s">
        <v>N/A</v>
        <stp/>
        <stp>INTRINSIC</stp>
        <stp>.XLY201120C153</stp>
        <tr r="R874" s="1"/>
      </tp>
      <tp t="s">
        <v>N/A</v>
        <stp/>
        <stp>INTRINSIC</stp>
        <stp>.XLY201120P153</stp>
        <tr r="R875" s="1"/>
      </tp>
      <tp>
        <v>0.89</v>
        <stp/>
        <stp>BID</stp>
        <stp>.FXI201120P47.5</stp>
        <tr r="H192" s="1"/>
      </tp>
      <tp>
        <v>0.41</v>
        <stp/>
        <stp>BID</stp>
        <stp>.FXI201120C47.5</stp>
        <tr r="H191" s="1"/>
      </tp>
      <tp>
        <v>0.85</v>
        <stp/>
        <stp>BID</stp>
        <stp>.GDX201120C37.5</stp>
        <tr r="H200" s="1"/>
      </tp>
      <tp t="s">
        <v>N/A</v>
        <stp/>
        <stp>STRIKE</stp>
        <stp>.JETS201120P20</stp>
        <tr r="W379" s="1"/>
      </tp>
      <tp>
        <v>0.86</v>
        <stp/>
        <stp>BID</stp>
        <stp>.GDX201120P37.5</stp>
        <tr r="H201" s="1"/>
      </tp>
      <tp t="s">
        <v>N/A</v>
        <stp/>
        <stp>VOLUME</stp>
        <stp>.SPYG201120C53</stp>
        <tr r="F632" s="1"/>
      </tp>
      <tp>
        <v>25</v>
        <stp/>
        <stp>VOLUME</stp>
        <stp>.SPYG201120C52</stp>
        <tr r="F630" s="1"/>
      </tp>
      <tp t="s">
        <v>N/A</v>
        <stp/>
        <stp>ASK</stp>
        <stp>.SSO201120P84.5</stp>
        <tr r="I658" s="1"/>
      </tp>
      <tp>
        <v>0</v>
        <stp/>
        <stp>VOLUME</stp>
        <stp>.SHYG201120C45</stp>
        <tr r="F549" s="1"/>
      </tp>
      <tp t="s">
        <v>N/A</v>
        <stp/>
        <stp>ASK</stp>
        <stp>.SSO201120C84.5</stp>
        <tr r="I657" s="1"/>
      </tp>
      <tp>
        <v>1.07</v>
        <stp/>
        <stp>BID</stp>
        <stp>.KRE201120P47.5</stp>
        <tr r="H396" s="1"/>
      </tp>
      <tp>
        <v>7.0000000000000007E-2</v>
        <stp/>
        <stp>BID</stp>
        <stp>.KRE201120C47.5</stp>
        <tr r="H395" s="1"/>
      </tp>
      <tp t="s">
        <v>N/A</v>
        <stp/>
        <stp>ASK</stp>
        <stp>.TAN201120C74.5</stp>
        <tr r="I668" s="1"/>
      </tp>
      <tp t="s">
        <v>N/A</v>
        <stp/>
        <stp>ASK</stp>
        <stp>.TAN201120P74.5</stp>
        <tr r="I669" s="1"/>
      </tp>
      <tp t="s">
        <v>N/A</v>
        <stp/>
        <stp>ASK</stp>
        <stp>.JNK201120P107</stp>
        <tr r="I384" s="1"/>
      </tp>
      <tp>
        <v>0.4</v>
        <stp/>
        <stp>ASK</stp>
        <stp>.JNK201120C107</stp>
        <tr r="I383" s="1"/>
      </tp>
      <tp>
        <v>0</v>
        <stp/>
        <stp>LOW</stp>
        <stp>.QLD201120C99</stp>
        <tr r="K469" s="1"/>
      </tp>
      <tp>
        <v>2.9</v>
        <stp/>
        <stp>BID</stp>
        <stp>.QLD201120P97</stp>
        <tr r="H466" s="1"/>
      </tp>
      <tp>
        <v>2.66</v>
        <stp/>
        <stp>LOW</stp>
        <stp>.QLD201120C98</stp>
        <tr r="K467" s="1"/>
      </tp>
      <tp>
        <v>2.5</v>
        <stp/>
        <stp>BID</stp>
        <stp>.QLD201120P96</stp>
        <tr r="H464" s="1"/>
      </tp>
      <tp>
        <v>3.78</v>
        <stp/>
        <stp>LOW</stp>
        <stp>.QLD201120C97</stp>
        <tr r="K465" s="1"/>
      </tp>
      <tp>
        <v>3.8</v>
        <stp/>
        <stp>BID</stp>
        <stp>.QLD201120P99</stp>
        <tr r="H470" s="1"/>
      </tp>
      <tp>
        <v>0</v>
        <stp/>
        <stp>LOW</stp>
        <stp>.QLD201120C96</stp>
        <tr r="K463" s="1"/>
      </tp>
      <tp>
        <v>3.3</v>
        <stp/>
        <stp>BID</stp>
        <stp>.QLD201120P98</stp>
        <tr r="H468" s="1"/>
      </tp>
      <tp>
        <v>2.65</v>
        <stp/>
        <stp>BID</stp>
        <stp>.XLK201120P122</stp>
        <tr r="H836" s="1"/>
      </tp>
      <tp>
        <v>1.18</v>
        <stp/>
        <stp>BID</stp>
        <stp>.XLK201120C122</stp>
        <tr r="H835" s="1"/>
      </tp>
      <tp>
        <v>3.05</v>
        <stp/>
        <stp>BID</stp>
        <stp>.XLK201120P123</stp>
        <tr r="H840" s="1"/>
      </tp>
      <tp>
        <v>0.69</v>
        <stp/>
        <stp>BID</stp>
        <stp>.XLK201120C123</stp>
        <tr r="H839" s="1"/>
      </tp>
      <tp>
        <v>1.7</v>
        <stp/>
        <stp>BID</stp>
        <stp>.XLK201120P120</stp>
        <tr r="H828" s="1"/>
      </tp>
      <tp>
        <v>2.1800000000000002</v>
        <stp/>
        <stp>BID</stp>
        <stp>.XLK201120C120</stp>
        <tr r="H827" s="1"/>
      </tp>
      <tp>
        <v>2.14</v>
        <stp/>
        <stp>BID</stp>
        <stp>.XLK201120P121</stp>
        <tr r="H832" s="1"/>
      </tp>
      <tp>
        <v>1.62</v>
        <stp/>
        <stp>BID</stp>
        <stp>.XLK201120C121</stp>
        <tr r="H831" s="1"/>
      </tp>
      <tp t="s">
        <v>N/A</v>
        <stp/>
        <stp>ASK</stp>
        <stp>.IJH201120P210</stp>
        <tr r="I273" s="1"/>
      </tp>
      <tp t="s">
        <v>N/A</v>
        <stp/>
        <stp>ASK</stp>
        <stp>.IJH201120C210</stp>
        <tr r="I272" s="1"/>
      </tp>
      <tp t="s">
        <v>N/A</v>
        <stp/>
        <stp>BID</stp>
        <stp>.IJH201120P210</stp>
        <tr r="H273" s="1"/>
      </tp>
      <tp t="s">
        <v>N/A</v>
        <stp/>
        <stp>BID</stp>
        <stp>.IJH201120C210</stp>
        <tr r="H272" s="1"/>
      </tp>
      <tp>
        <v>1.95</v>
        <stp/>
        <stp>ASK</stp>
        <stp>.XLK201120P120</stp>
        <tr r="I828" s="1"/>
      </tp>
      <tp>
        <v>2.4300000000000002</v>
        <stp/>
        <stp>ASK</stp>
        <stp>.XLK201120C120</stp>
        <tr r="I827" s="1"/>
      </tp>
      <tp>
        <v>2.34</v>
        <stp/>
        <stp>ASK</stp>
        <stp>.XLK201120P121</stp>
        <tr r="I832" s="1"/>
      </tp>
      <tp>
        <v>1.88</v>
        <stp/>
        <stp>ASK</stp>
        <stp>.XLK201120C121</stp>
        <tr r="I831" s="1"/>
      </tp>
      <tp>
        <v>3.15</v>
        <stp/>
        <stp>ASK</stp>
        <stp>.XLK201120P122</stp>
        <tr r="I836" s="1"/>
      </tp>
      <tp>
        <v>1.36</v>
        <stp/>
        <stp>ASK</stp>
        <stp>.XLK201120C122</stp>
        <tr r="I835" s="1"/>
      </tp>
      <tp>
        <v>3.85</v>
        <stp/>
        <stp>ASK</stp>
        <stp>.XLK201120P123</stp>
        <tr r="I840" s="1"/>
      </tp>
      <tp>
        <v>0.96</v>
        <stp/>
        <stp>ASK</stp>
        <stp>.XLK201120C123</stp>
        <tr r="I839" s="1"/>
      </tp>
      <tp t="s">
        <v>N/A</v>
        <stp/>
        <stp>DESCRIPTION</stp>
        <stp>.DVY201120C92</stp>
        <tr r="B87" s="1"/>
      </tp>
      <tp t="s">
        <v>N/A</v>
        <stp/>
        <stp>DESCRIPTION</stp>
        <stp>.DVY201120C93</stp>
        <tr r="B89" s="1"/>
      </tp>
      <tp t="s">
        <v>N/A</v>
        <stp/>
        <stp>DESCRIPTION</stp>
        <stp>.DVY201120C91</stp>
        <tr r="B85" s="1"/>
      </tp>
      <tp t="s">
        <v>N/A</v>
        <stp/>
        <stp>DESCRIPTION</stp>
        <stp>.VEU201120P55</stp>
        <tr r="B712" s="1"/>
      </tp>
      <tp t="s">
        <v>N/A</v>
        <stp/>
        <stp>BID</stp>
        <stp>.JNK201120P107</stp>
        <tr r="H384" s="1"/>
      </tp>
      <tp>
        <v>0.2</v>
        <stp/>
        <stp>BID</stp>
        <stp>.JNK201120C107</stp>
        <tr r="H383" s="1"/>
      </tp>
      <tp t="s">
        <v>N/A</v>
        <stp/>
        <stp>RHO</stp>
        <stp>.VGK201120P57</stp>
        <tr r="Q723" s="1"/>
      </tp>
      <tp t="s">
        <v>N/A</v>
        <stp/>
        <stp>LOW</stp>
        <stp>.IJH201120C210</stp>
        <tr r="K272" s="1"/>
      </tp>
      <tp t="s">
        <v>N/A</v>
        <stp/>
        <stp>LOW</stp>
        <stp>.IJH201120P210</stp>
        <tr r="K273" s="1"/>
      </tp>
      <tp t="s">
        <v>N/A</v>
        <stp/>
        <stp>BID</stp>
        <stp>.XLI201120P86</stp>
        <tr r="H823" s="1"/>
      </tp>
      <tp>
        <v>1.51</v>
        <stp/>
        <stp>BID</stp>
        <stp>.XLI201120P85</stp>
        <tr r="H819" s="1"/>
      </tp>
      <tp t="s">
        <v>N/A</v>
        <stp/>
        <stp>BID</stp>
        <stp>.XLI201120P84</stp>
        <tr r="H815" s="1"/>
      </tp>
      <tp>
        <v>0.79</v>
        <stp/>
        <stp>LOW</stp>
        <stp>.XLI201120C85</stp>
        <tr r="K818" s="1"/>
      </tp>
      <tp t="s">
        <v>N/A</v>
        <stp/>
        <stp>LOW</stp>
        <stp>.XLI201120C84</stp>
        <tr r="K814" s="1"/>
      </tp>
      <tp t="s">
        <v>N/A</v>
        <stp/>
        <stp>LOW</stp>
        <stp>.XLI201120C86</stp>
        <tr r="K822" s="1"/>
      </tp>
      <tp t="s">
        <v>N/A</v>
        <stp/>
        <stp>DESCRIPTION</stp>
        <stp>.FEZ201120P40</stp>
        <tr r="B184" s="1"/>
      </tp>
      <tp t="s">
        <v>N/A</v>
        <stp/>
        <stp>LOW</stp>
        <stp>.JNK201120C107</stp>
        <tr r="K383" s="1"/>
      </tp>
      <tp t="s">
        <v>N/A</v>
        <stp/>
        <stp>LOW</stp>
        <stp>.JNK201120P107</stp>
        <tr r="K384" s="1"/>
      </tp>
      <tp t="s">
        <v>N/A</v>
        <stp/>
        <stp>STRIKE</stp>
        <stp>VCLT</stp>
        <tr r="W704" s="1"/>
      </tp>
      <tp t="s">
        <v>N/A</v>
        <stp/>
        <stp>STRIKE</stp>
        <stp>ICLN</stp>
        <tr r="W245" s="1"/>
      </tp>
      <tp>
        <v>2.06</v>
        <stp/>
        <stp>LOW</stp>
        <stp>.XLK201120C120</stp>
        <tr r="K827" s="1"/>
      </tp>
      <tp>
        <v>1.27</v>
        <stp/>
        <stp>LOW</stp>
        <stp>.XLK201120P120</stp>
        <tr r="K828" s="1"/>
      </tp>
      <tp>
        <v>1.54</v>
        <stp/>
        <stp>LOW</stp>
        <stp>.XLK201120C121</stp>
        <tr r="K831" s="1"/>
      </tp>
      <tp>
        <v>1.75</v>
        <stp/>
        <stp>LOW</stp>
        <stp>.XLK201120P121</stp>
        <tr r="K832" s="1"/>
      </tp>
      <tp>
        <v>1.06</v>
        <stp/>
        <stp>LOW</stp>
        <stp>.XLK201120C122</stp>
        <tr r="K835" s="1"/>
      </tp>
      <tp>
        <v>2.25</v>
        <stp/>
        <stp>LOW</stp>
        <stp>.XLK201120P122</stp>
        <tr r="K836" s="1"/>
      </tp>
      <tp>
        <v>0.75</v>
        <stp/>
        <stp>LOW</stp>
        <stp>.XLK201120C123</stp>
        <tr r="K839" s="1"/>
      </tp>
      <tp>
        <v>2.5499999999999998</v>
        <stp/>
        <stp>LOW</stp>
        <stp>.XLK201120P123</stp>
        <tr r="K840" s="1"/>
      </tp>
      <tp t="s">
        <v>N/A</v>
        <stp/>
        <stp>BID</stp>
        <stp>.XLC201120P64</stp>
        <tr r="H802" s="1"/>
      </tp>
      <tp t="s">
        <v>N/A</v>
        <stp/>
        <stp>BID</stp>
        <stp>.XLC201120P63</stp>
        <tr r="H798" s="1"/>
      </tp>
      <tp t="s">
        <v>N/A</v>
        <stp/>
        <stp>BID</stp>
        <stp>.XLB201120P70</stp>
        <tr r="H795" s="1"/>
      </tp>
      <tp>
        <v>0.24</v>
        <stp/>
        <stp>LOW</stp>
        <stp>.XLB201120C70</stp>
        <tr r="K794" s="1"/>
      </tp>
      <tp>
        <v>1.28</v>
        <stp/>
        <stp>LOW</stp>
        <stp>.XLC201120C63</stp>
        <tr r="K797" s="1"/>
      </tp>
      <tp>
        <v>0.55000000000000004</v>
        <stp/>
        <stp>LOW</stp>
        <stp>.XLC201120C64</stp>
        <tr r="K801" s="1"/>
      </tp>
      <tp>
        <v>0.5</v>
        <stp/>
        <stp>LOW</stp>
        <stp>.XLB201120C69</stp>
        <tr r="K790" s="1"/>
      </tp>
      <tp>
        <v>0.62</v>
        <stp/>
        <stp>BID</stp>
        <stp>.XLF201120P27</stp>
        <tr r="H812" s="1"/>
      </tp>
      <tp t="s">
        <v>N/A</v>
        <stp/>
        <stp>BID</stp>
        <stp>.ILF201120P25</stp>
        <tr r="H279" s="1"/>
      </tp>
      <tp t="s">
        <v>N/A</v>
        <stp/>
        <stp>LOW</stp>
        <stp>.ILF201120C25</stp>
        <tr r="K278" s="1"/>
      </tp>
      <tp>
        <v>0.2</v>
        <stp/>
        <stp>LOW</stp>
        <stp>.XLF201120C27</stp>
        <tr r="K811" s="1"/>
      </tp>
      <tp>
        <v>1.1100000000000001</v>
        <stp/>
        <stp>BID</stp>
        <stp>.XLB201120P69</stp>
        <tr r="H791" s="1"/>
      </tp>
      <tp t="s">
        <v>N/A</v>
        <stp/>
        <stp>STRIKE</stp>
        <stp>SCHP</stp>
        <tr r="W531" s="1"/>
      </tp>
      <tp t="s">
        <v>N/A</v>
        <stp/>
        <stp>STRIKE</stp>
        <stp>MCHI</stp>
        <tr r="W411" s="1"/>
      </tp>
      <tp t="s">
        <v>N/A</v>
        <stp/>
        <stp>STRIKE</stp>
        <stp>SCHF</stp>
        <tr r="W528" s="1"/>
      </tp>
      <tp t="s">
        <v>N/A</v>
        <stp/>
        <stp>STRIKE</stp>
        <stp>SCHE</stp>
        <tr r="W525" s="1"/>
      </tp>
      <tp t="s">
        <v>N/A</v>
        <stp/>
        <stp>STRIKE</stp>
        <stp>SCHD</stp>
        <tr r="W520" s="1"/>
      </tp>
      <tp t="s">
        <v>N/A</v>
        <stp/>
        <stp>RHO</stp>
        <stp>.ITB201120C56</stp>
        <tr r="Q295" s="1"/>
      </tp>
      <tp t="s">
        <v>N/A</v>
        <stp/>
        <stp>RHO</stp>
        <stp>.ITB201120C55</stp>
        <tr r="Q291" s="1"/>
      </tp>
      <tp t="s">
        <v>N/A</v>
        <stp/>
        <stp>STRIKE</stp>
        <stp>VCIT</stp>
        <tr r="W701" s="1"/>
      </tp>
      <tp>
        <v>1.49</v>
        <stp/>
        <stp>BID</stp>
        <stp>.XLE201120P34</stp>
        <tr r="H807" s="1"/>
      </tp>
      <tp>
        <v>0.28000000000000003</v>
        <stp/>
        <stp>LOW</stp>
        <stp>.XLE201120C34</stp>
        <tr r="K806" s="1"/>
      </tp>
      <tp t="s">
        <v>N/A</v>
        <stp/>
        <stp>RHO</stp>
        <stp>.PGX201120P15</stp>
        <tr r="Q456" s="1"/>
      </tp>
      <tp t="s">
        <v>N/A</v>
        <stp/>
        <stp>STRIKE</stp>
        <stp>ACWX</stp>
        <tr r="W12" s="1"/>
      </tp>
      <tp t="s">
        <v>N/A</v>
        <stp/>
        <stp>STRIKE</stp>
        <stp>ACWI</stp>
        <tr r="W7" s="1"/>
      </tp>
      <tp t="s">
        <v>N/A</v>
        <stp/>
        <stp>DESCRIPTION</stp>
        <stp>.FVD201120C35</stp>
        <tr r="B186" s="1"/>
      </tp>
      <tp t="s">
        <v>N/A</v>
        <stp/>
        <stp>DESCRIPTION</stp>
        <stp>.VEA201120P44</stp>
        <tr r="B709" s="1"/>
      </tp>
      <tp t="s">
        <v>N/A</v>
        <stp/>
        <stp>RHO</stp>
        <stp>.XLK201120P123</stp>
        <tr r="Q840" s="1"/>
      </tp>
      <tp t="s">
        <v>N/A</v>
        <stp/>
        <stp>RHO</stp>
        <stp>.XLK201120C123</stp>
        <tr r="Q839" s="1"/>
      </tp>
      <tp t="s">
        <v>N/A</v>
        <stp/>
        <stp>RHO</stp>
        <stp>.XLK201120P122</stp>
        <tr r="Q836" s="1"/>
      </tp>
      <tp t="s">
        <v>N/A</v>
        <stp/>
        <stp>RHO</stp>
        <stp>.XLK201120C122</stp>
        <tr r="Q835" s="1"/>
      </tp>
      <tp t="s">
        <v>N/A</v>
        <stp/>
        <stp>RHO</stp>
        <stp>.XLK201120P121</stp>
        <tr r="Q832" s="1"/>
      </tp>
      <tp t="s">
        <v>N/A</v>
        <stp/>
        <stp>RHO</stp>
        <stp>.XLK201120C121</stp>
        <tr r="Q831" s="1"/>
      </tp>
      <tp t="s">
        <v>N/A</v>
        <stp/>
        <stp>RHO</stp>
        <stp>.XLK201120P120</stp>
        <tr r="Q828" s="1"/>
      </tp>
      <tp t="s">
        <v>N/A</v>
        <stp/>
        <stp>RHO</stp>
        <stp>.XLK201120C120</stp>
        <tr r="Q827" s="1"/>
      </tp>
      <tp>
        <v>2.2000000000000002</v>
        <stp/>
        <stp>ASK</stp>
        <stp>.SCZ201120P63</stp>
        <tr r="I536" s="1"/>
      </tp>
      <tp t="s">
        <v>N/A</v>
        <stp/>
        <stp>RHO</stp>
        <stp>.IJH201120P210</stp>
        <tr r="Q273" s="1"/>
      </tp>
      <tp t="s">
        <v>N/A</v>
        <stp/>
        <stp>RHO</stp>
        <stp>.IJH201120C210</stp>
        <tr r="Q272" s="1"/>
      </tp>
      <tp t="s">
        <v>N/A</v>
        <stp/>
        <stp>RHO</stp>
        <stp>.JNK201120P107</stp>
        <tr r="Q384" s="1"/>
      </tp>
      <tp t="s">
        <v>N/A</v>
        <stp/>
        <stp>RHO</stp>
        <stp>.JNK201120C107</stp>
        <tr r="Q383" s="1"/>
      </tp>
      <tp t="s">
        <v>N/A</v>
        <stp/>
        <stp>DESCRIPTION</stp>
        <stp>.IGV201120P325</stp>
        <tr r="B270" s="1"/>
      </tp>
      <tp t="s">
        <v>N/A</v>
        <stp/>
        <stp>DESCRIPTION</stp>
        <stp>.IGV201120C325</stp>
        <tr r="B269" s="1"/>
      </tp>
      <tp t="s">
        <v>N/A</v>
        <stp/>
        <stp>DESCRIPTION</stp>
        <stp>.IGV201120P320</stp>
        <tr r="B268" s="1"/>
      </tp>
      <tp t="s">
        <v>N/A</v>
        <stp/>
        <stp>DESCRIPTION</stp>
        <stp>.IGV201120C320</stp>
        <tr r="B267" s="1"/>
      </tp>
      <tp>
        <v>1.1399999999999999</v>
        <stp/>
        <stp>BID</stp>
        <stp>.XLU201120P67</stp>
        <tr r="H855" s="1"/>
      </tp>
      <tp>
        <v>0.52</v>
        <stp/>
        <stp>BID</stp>
        <stp>.XLU201120P66</stp>
        <tr r="H851" s="1"/>
      </tp>
      <tp>
        <v>0.14000000000000001</v>
        <stp/>
        <stp>LOW</stp>
        <stp>.XLU201120C67</stp>
        <tr r="K854" s="1"/>
      </tp>
      <tp>
        <v>0.39</v>
        <stp/>
        <stp>LOW</stp>
        <stp>.XLU201120C66</stp>
        <tr r="K850" s="1"/>
      </tp>
      <tp t="s">
        <v>N/A</v>
        <stp/>
        <stp>DESCRIPTION</stp>
        <stp>.IGV201120P315</stp>
        <tr r="B266" s="1"/>
      </tp>
      <tp t="s">
        <v>N/A</v>
        <stp/>
        <stp>DESCRIPTION</stp>
        <stp>.IGV201120C315</stp>
        <tr r="B265" s="1"/>
      </tp>
      <tp t="s">
        <v>N/A</v>
        <stp/>
        <stp>DESCRIPTION</stp>
        <stp>.IVV201120C361</stp>
        <tr r="B326" s="1"/>
      </tp>
      <tp t="s">
        <v>N/A</v>
        <stp/>
        <stp>DESCRIPTION</stp>
        <stp>.IVV201120P361</stp>
        <tr r="B327" s="1"/>
      </tp>
      <tp t="s">
        <v>N/A</v>
        <stp/>
        <stp>DESCRIPTION</stp>
        <stp>.IVV201120C360</stp>
        <tr r="B324" s="1"/>
      </tp>
      <tp t="s">
        <v>N/A</v>
        <stp/>
        <stp>DESCRIPTION</stp>
        <stp>.IVV201120P360</stp>
        <tr r="B325" s="1"/>
      </tp>
      <tp t="s">
        <v>N/A</v>
        <stp/>
        <stp>DESCRIPTION</stp>
        <stp>.IVV201120C362</stp>
        <tr r="B328" s="1"/>
      </tp>
      <tp t="s">
        <v>N/A</v>
        <stp/>
        <stp>DESCRIPTION</stp>
        <stp>.IVV201120P362</stp>
        <tr r="B329" s="1"/>
      </tp>
      <tp t="s">
        <v>N/A</v>
        <stp/>
        <stp>DESCRIPTION</stp>
        <stp>.IVV201120C359</stp>
        <tr r="B322" s="1"/>
      </tp>
      <tp t="s">
        <v>N/A</v>
        <stp/>
        <stp>DESCRIPTION</stp>
        <stp>.IVV201120P359</stp>
        <tr r="B323" s="1"/>
      </tp>
      <tp t="s">
        <v>N/A</v>
        <stp/>
        <stp>DESCRIPTION</stp>
        <stp>.IVV201120C358</stp>
        <tr r="B320" s="1"/>
      </tp>
      <tp t="s">
        <v>N/A</v>
        <stp/>
        <stp>DESCRIPTION</stp>
        <stp>.IVV201120P358</stp>
        <tr r="B321" s="1"/>
      </tp>
      <tp t="s">
        <v>N/A</v>
        <stp/>
        <stp>DESCRIPTION</stp>
        <stp>.IVV201120C355</stp>
        <tr r="B312" s="1"/>
      </tp>
      <tp t="s">
        <v>N/A</v>
        <stp/>
        <stp>DESCRIPTION</stp>
        <stp>.IVV201120P355</stp>
        <tr r="B313" s="1"/>
      </tp>
      <tp t="s">
        <v>N/A</v>
        <stp/>
        <stp>DESCRIPTION</stp>
        <stp>.IVV201120C354</stp>
        <tr r="B310" s="1"/>
      </tp>
      <tp t="s">
        <v>N/A</v>
        <stp/>
        <stp>DESCRIPTION</stp>
        <stp>.IVV201120P354</stp>
        <tr r="B311" s="1"/>
      </tp>
      <tp t="s">
        <v>N/A</v>
        <stp/>
        <stp>DESCRIPTION</stp>
        <stp>.IVV201120C357</stp>
        <tr r="B316" s="1"/>
      </tp>
      <tp t="s">
        <v>N/A</v>
        <stp/>
        <stp>DESCRIPTION</stp>
        <stp>.IVV201120P357</stp>
        <tr r="B317" s="1"/>
      </tp>
      <tp t="s">
        <v>N/A</v>
        <stp/>
        <stp>DESCRIPTION</stp>
        <stp>.IVV201120C356</stp>
        <tr r="B314" s="1"/>
      </tp>
      <tp t="s">
        <v>N/A</v>
        <stp/>
        <stp>DESCRIPTION</stp>
        <stp>.IVV201120P356</stp>
        <tr r="B315" s="1"/>
      </tp>
      <tp t="s">
        <v>N/A</v>
        <stp/>
        <stp>DESCRIPTION</stp>
        <stp>.TLT201120P155</stp>
        <tr r="B691" s="1"/>
      </tp>
      <tp t="s">
        <v>N/A</v>
        <stp/>
        <stp>DESCRIPTION</stp>
        <stp>.TLT201120C155</stp>
        <tr r="B690" s="1"/>
      </tp>
      <tp t="s">
        <v>N/A</v>
        <stp/>
        <stp>DESCRIPTION</stp>
        <stp>.TLT201120P156</stp>
        <tr r="B695" s="1"/>
      </tp>
      <tp t="s">
        <v>N/A</v>
        <stp/>
        <stp>DESCRIPTION</stp>
        <stp>.TLT201120C156</stp>
        <tr r="B694" s="1"/>
      </tp>
      <tp>
        <v>0.56999999999999995</v>
        <stp/>
        <stp>BID</stp>
        <stp>.XLP201120P67</stp>
        <tr r="H845" s="1"/>
      </tp>
      <tp>
        <v>0.35</v>
        <stp/>
        <stp>LOW</stp>
        <stp>.XLP201120C67</stp>
        <tr r="K844" s="1"/>
      </tp>
      <tp t="s">
        <v>N/A</v>
        <stp/>
        <stp>DESCRIPTION</stp>
        <stp>.EEM201120P48</stp>
        <tr r="B98" s="1"/>
      </tp>
      <tp t="s">
        <v>N/A</v>
        <stp/>
        <stp>PROB_OTM</stp>
        <stp>.AMLP201120C23.5</stp>
        <tr r="U21" s="1"/>
      </tp>
      <tp t="s">
        <v>N/A</v>
        <stp/>
        <stp>PROB_OTM</stp>
        <stp>.AMLP201120P23.5</stp>
        <tr r="U22" s="1"/>
      </tp>
      <tp t="s">
        <v>10.97%</v>
        <stp/>
        <stp>IMPL_VOL</stp>
        <stp>LQD</stp>
        <tr r="D404" s="1"/>
      </tp>
      <tp t="s">
        <v>N/A</v>
        <stp/>
        <stp>PROB_OF_TOUCHING</stp>
        <stp>LQD</stp>
        <tr r="V404" s="1"/>
      </tp>
      <tp t="s">
        <v>N/A</v>
        <stp/>
        <stp>IMPL_VOL</stp>
        <stp>.ASHR201120P37.5</stp>
        <tr r="D45" s="1"/>
      </tp>
      <tp t="s">
        <v>N/A</v>
        <stp/>
        <stp>IMPL_VOL</stp>
        <stp>.ASHR201120C37.5</stp>
        <tr r="D44" s="1"/>
      </tp>
      <tp t="s">
        <v>N/A</v>
        <stp/>
        <stp>PROB_OTM</stp>
        <stp>JNK</stp>
        <tr r="U380" s="1"/>
      </tp>
      <tp t="s">
        <v>N/A</v>
        <stp/>
        <stp>PROB_OF_TOUCHING</stp>
        <stp>.MDY201120P387.5</stp>
        <tr r="V422" s="1"/>
      </tp>
      <tp>
        <v>1.05</v>
        <stp/>
        <stp>HIGH</stp>
        <stp>.EWY201120P71.5</stp>
        <tr r="J163" s="1"/>
      </tp>
      <tp>
        <v>1.1499999999999999</v>
        <stp/>
        <stp>HIGH</stp>
        <stp>.EWZ201120P31.5</stp>
        <tr r="J174" s="1"/>
      </tp>
      <tp t="s">
        <v>N/A</v>
        <stp/>
        <stp>HIGH</stp>
        <stp>.EWY201120C71.5</stp>
        <tr r="J162" s="1"/>
      </tp>
      <tp>
        <v>0.69</v>
        <stp/>
        <stp>HIGH</stp>
        <stp>.EWZ201120C31.5</stp>
        <tr r="J173" s="1"/>
      </tp>
      <tp t="s">
        <v>N/A</v>
        <stp/>
        <stp>EXTRINSIC</stp>
        <stp>GUSH</stp>
        <tr r="S213" s="1"/>
      </tp>
      <tp t="s">
        <v>N/A</v>
        <stp/>
        <stp>PROB_OTM</stp>
        <stp>.DIA201120P297.5</stp>
        <tr r="U80" s="1"/>
      </tp>
      <tp>
        <v>1450</v>
        <stp/>
        <stp>OPEN_INT</stp>
        <stp>.QQQ201120P292.5</stp>
        <tr r="G493" s="1"/>
      </tp>
      <tp t="s">
        <v>N/A</v>
        <stp/>
        <stp>INTRINSIC</stp>
        <stp>GUSH</stp>
        <tr r="R213" s="1"/>
      </tp>
      <tp>
        <v>3.44</v>
        <stp/>
        <stp>LAST</stp>
        <stp>.XOP201120P49.5</stp>
        <tr r="E901" s="1"/>
      </tp>
      <tp t="s">
        <v>N/A</v>
        <stp/>
        <stp>LAST</stp>
        <stp>.XLB201120P69.5</stp>
        <tr r="E793" s="1"/>
      </tp>
      <tp>
        <v>0.97</v>
        <stp/>
        <stp>LAST</stp>
        <stp>.XLB201120C69.5</stp>
        <tr r="E792" s="1"/>
      </tp>
      <tp t="s">
        <v>N/A</v>
        <stp/>
        <stp>LAST</stp>
        <stp>.XOP201120C49.5</stp>
        <tr r="E900" s="1"/>
      </tp>
      <tp t="s">
        <v>N/A</v>
        <stp/>
        <stp>PROB_OF_EXPIRING</stp>
        <stp>.MDY201120P382.5</stp>
        <tr r="T418" s="1"/>
      </tp>
      <tp>
        <v>47</v>
        <stp/>
        <stp>OPEN_INT</stp>
        <stp>.QLD201120C101</stp>
        <tr r="G473" s="1"/>
      </tp>
      <tp>
        <v>9</v>
        <stp/>
        <stp>OPEN_INT</stp>
        <stp>.QLD201120P101</stp>
        <tr r="G474" s="1"/>
      </tp>
      <tp>
        <v>440</v>
        <stp/>
        <stp>OPEN_INT</stp>
        <stp>.QLD201120C100</stp>
        <tr r="G471" s="1"/>
      </tp>
      <tp>
        <v>492</v>
        <stp/>
        <stp>OPEN_INT</stp>
        <stp>.QLD201120P100</stp>
        <tr r="G472" s="1"/>
      </tp>
      <tp t="s">
        <v>N/A</v>
        <stp/>
        <stp>LAST</stp>
        <stp>.EFA201120P69.5</stp>
        <tr r="E105" s="1"/>
      </tp>
      <tp t="s">
        <v>N/A</v>
        <stp/>
        <stp>LAST</stp>
        <stp>.EWW201120C39.5</stp>
        <tr r="E159" s="1"/>
      </tp>
      <tp t="s">
        <v>N/A</v>
        <stp/>
        <stp>IMPL_VOL</stp>
        <stp>.IBB201120P139</stp>
        <tr r="D234" s="1"/>
      </tp>
      <tp t="s">
        <v>N/A</v>
        <stp/>
        <stp>IMPL_VOL</stp>
        <stp>.IBB201120C139</stp>
        <tr r="D233" s="1"/>
      </tp>
      <tp t="s">
        <v>N/A</v>
        <stp/>
        <stp>IMPL_VOL</stp>
        <stp>.IBB201120P138</stp>
        <tr r="D230" s="1"/>
      </tp>
      <tp t="s">
        <v>N/A</v>
        <stp/>
        <stp>IMPL_VOL</stp>
        <stp>.IBB201120C138</stp>
        <tr r="D229" s="1"/>
      </tp>
      <tp t="s">
        <v>49.36%</v>
        <stp/>
        <stp>PROB_OTM</stp>
        <stp>.SPY201120C353</stp>
        <tr r="U609" s="1"/>
      </tp>
      <tp t="s">
        <v>50.83%</v>
        <stp/>
        <stp>PROB_OTM</stp>
        <stp>.SPY201120P353</stp>
        <tr r="U610" s="1"/>
      </tp>
      <tp t="s">
        <v>56.35%</v>
        <stp/>
        <stp>PROB_OTM</stp>
        <stp>.SPY201120C355</stp>
        <tr r="U613" s="1"/>
      </tp>
      <tp t="s">
        <v>43.07%</v>
        <stp/>
        <stp>PROB_OTM</stp>
        <stp>.SPY201120P355</stp>
        <tr r="U614" s="1"/>
      </tp>
      <tp t="s">
        <v>N/A</v>
        <stp/>
        <stp>LAST</stp>
        <stp>.EWW201120P39.5</stp>
        <tr r="E160" s="1"/>
      </tp>
      <tp t="s">
        <v>52.79%</v>
        <stp/>
        <stp>PROB_OTM</stp>
        <stp>.SPY201120C354</stp>
        <tr r="U611" s="1"/>
      </tp>
      <tp t="s">
        <v>47.05%</v>
        <stp/>
        <stp>PROB_OTM</stp>
        <stp>.SPY201120P354</stp>
        <tr r="U612" s="1"/>
      </tp>
      <tp t="s">
        <v>63.79%</v>
        <stp/>
        <stp>PROB_OTM</stp>
        <stp>.SPY201120C357</stp>
        <tr r="U617" s="1"/>
      </tp>
      <tp t="s">
        <v>34.70%</v>
        <stp/>
        <stp>PROB_OTM</stp>
        <stp>.SPY201120P357</stp>
        <tr r="U618" s="1"/>
      </tp>
      <tp t="s">
        <v>N/A</v>
        <stp/>
        <stp>LAST</stp>
        <stp>.EFA201120C69.5</stp>
        <tr r="E104" s="1"/>
      </tp>
      <tp t="s">
        <v>60.04%</v>
        <stp/>
        <stp>PROB_OTM</stp>
        <stp>.SPY201120C356</stp>
        <tr r="U615" s="1"/>
      </tp>
      <tp t="s">
        <v>38.94%</v>
        <stp/>
        <stp>PROB_OTM</stp>
        <stp>.SPY201120P356</stp>
        <tr r="U616" s="1"/>
      </tp>
      <tp t="s">
        <v>71.31%</v>
        <stp/>
        <stp>PROB_OTM</stp>
        <stp>.SPY201120C359</stp>
        <tr r="U623" s="1"/>
      </tp>
      <tp t="s">
        <v>25.97%</v>
        <stp/>
        <stp>PROB_OTM</stp>
        <stp>.SPY201120P359</stp>
        <tr r="U624" s="1"/>
      </tp>
      <tp t="s">
        <v>79.63%</v>
        <stp/>
        <stp>PROB_OTM</stp>
        <stp>.SPY201118C360</stp>
        <tr r="U605" s="1"/>
      </tp>
      <tp t="s">
        <v>67.58%</v>
        <stp/>
        <stp>PROB_OTM</stp>
        <stp>.SPY201120C358</stp>
        <tr r="U621" s="1"/>
      </tp>
      <tp t="s">
        <v>15.63%</v>
        <stp/>
        <stp>PROB_OTM</stp>
        <stp>.SPY201118P360</stp>
        <tr r="U606" s="1"/>
      </tp>
      <tp t="s">
        <v>30.36%</v>
        <stp/>
        <stp>PROB_OTM</stp>
        <stp>.SPY201120P358</stp>
        <tr r="U622" s="1"/>
      </tp>
      <tp>
        <v>0.7</v>
        <stp/>
        <stp>LAST</stp>
        <stp>.FEZ201120P39.5</stp>
        <tr r="E182" s="1"/>
      </tp>
      <tp t="s">
        <v>N/A</v>
        <stp/>
        <stp>EXTRINSIC</stp>
        <stp>EUFN</stp>
        <tr r="S117" s="1"/>
      </tp>
      <tp t="s">
        <v>75.49%</v>
        <stp/>
        <stp>PROB_OTM</stp>
        <stp>.SPY201118C359</stp>
        <tr r="U603" s="1"/>
      </tp>
      <tp t="s">
        <v>78.44%</v>
        <stp/>
        <stp>PROB_OTM</stp>
        <stp>.SPY201120C361</stp>
        <tr r="U627" s="1"/>
      </tp>
      <tp t="s">
        <v>20.71%</v>
        <stp/>
        <stp>PROB_OTM</stp>
        <stp>.SPY201118P359</stp>
        <tr r="U604" s="1"/>
      </tp>
      <tp t="s">
        <v>17.44%</v>
        <stp/>
        <stp>PROB_OTM</stp>
        <stp>.SPY201120P361</stp>
        <tr r="U628" s="1"/>
      </tp>
      <tp t="s">
        <v>71.09%</v>
        <stp/>
        <stp>PROB_OTM</stp>
        <stp>.SPY201118C358</stp>
        <tr r="U601" s="1"/>
      </tp>
      <tp t="s">
        <v>74.97%</v>
        <stp/>
        <stp>PROB_OTM</stp>
        <stp>.SPY201120C360</stp>
        <tr r="U625" s="1"/>
      </tp>
      <tp t="s">
        <v>26.00%</v>
        <stp/>
        <stp>PROB_OTM</stp>
        <stp>.SPY201118P358</stp>
        <tr r="U602" s="1"/>
      </tp>
      <tp t="s">
        <v>21.62%</v>
        <stp/>
        <stp>PROB_OTM</stp>
        <stp>.SPY201120P360</stp>
        <tr r="U626" s="1"/>
      </tp>
      <tp t="s">
        <v>N/A</v>
        <stp/>
        <stp>OPEN_INT</stp>
        <stp>.IWD201120P129</stp>
        <tr r="G337" s="1"/>
      </tp>
      <tp t="s">
        <v>N/A</v>
        <stp/>
        <stp>OPEN_INT</stp>
        <stp>.IWD201120C129</stp>
        <tr r="G336" s="1"/>
      </tp>
      <tp t="s">
        <v>N/A</v>
        <stp/>
        <stp>OPEN_INT</stp>
        <stp>.IWD201120P128</stp>
        <tr r="G335" s="1"/>
      </tp>
      <tp t="s">
        <v>N/A</v>
        <stp/>
        <stp>OPEN_INT</stp>
        <stp>.IWD201120C128</stp>
        <tr r="G334" s="1"/>
      </tp>
      <tp t="s">
        <v>N/A</v>
        <stp/>
        <stp>LAST</stp>
        <stp>.FEZ201120C39.5</stp>
        <tr r="E181" s="1"/>
      </tp>
      <tp t="s">
        <v>48.83%</v>
        <stp/>
        <stp>PROB_OTM</stp>
        <stp>.SPY201118C353</stp>
        <tr r="U591" s="1"/>
      </tp>
      <tp t="s">
        <v>51.42%</v>
        <stp/>
        <stp>PROB_OTM</stp>
        <stp>.SPY201118P353</stp>
        <tr r="U592" s="1"/>
      </tp>
      <tp t="s">
        <v>57.42%</v>
        <stp/>
        <stp>PROB_OTM</stp>
        <stp>.SPY201118C355</stp>
        <tr r="U595" s="1"/>
      </tp>
      <tp t="s">
        <v>41.78%</v>
        <stp/>
        <stp>PROB_OTM</stp>
        <stp>.SPY201118P355</stp>
        <tr r="U596" s="1"/>
      </tp>
      <tp t="s">
        <v>53.03%</v>
        <stp/>
        <stp>PROB_OTM</stp>
        <stp>.SPY201118C354</stp>
        <tr r="U593" s="1"/>
      </tp>
      <tp t="s">
        <v>46.73%</v>
        <stp/>
        <stp>PROB_OTM</stp>
        <stp>.SPY201118P354</stp>
        <tr r="U594" s="1"/>
      </tp>
      <tp t="s">
        <v>66.55%</v>
        <stp/>
        <stp>PROB_OTM</stp>
        <stp>.SPY201118C357</stp>
        <tr r="U599" s="1"/>
      </tp>
      <tp t="s">
        <v>31.33%</v>
        <stp/>
        <stp>PROB_OTM</stp>
        <stp>.SPY201118P357</stp>
        <tr r="U600" s="1"/>
      </tp>
      <tp t="s">
        <v>61.95%</v>
        <stp/>
        <stp>PROB_OTM</stp>
        <stp>.SPY201118C356</stp>
        <tr r="U597" s="1"/>
      </tp>
      <tp t="s">
        <v>36.63%</v>
        <stp/>
        <stp>PROB_OTM</stp>
        <stp>.SPY201118P356</stp>
        <tr r="U598" s="1"/>
      </tp>
      <tp t="s">
        <v>N/A</v>
        <stp/>
        <stp>IMPL_VOL</stp>
        <stp>.EMB201120P114</stp>
        <tr r="D113" s="1"/>
      </tp>
      <tp t="s">
        <v>N/A</v>
        <stp/>
        <stp>IMPL_VOL</stp>
        <stp>.EMB201120C114</stp>
        <tr r="D112" s="1"/>
      </tp>
      <tp t="s">
        <v>N/A</v>
        <stp/>
        <stp>HIGH</stp>
        <stp>.SSO201120P81.5</stp>
        <tr r="J646" s="1"/>
      </tp>
      <tp t="s">
        <v>N/A</v>
        <stp/>
        <stp>IMPL_VOL</stp>
        <stp>.MUB201120C116</stp>
        <tr r="D436" s="1"/>
      </tp>
      <tp t="s">
        <v>N/A</v>
        <stp/>
        <stp>PROB_OF_TOUCHING</stp>
        <stp>.AGG201120P117</stp>
        <tr r="V17" s="1"/>
      </tp>
      <tp t="s">
        <v>N/A</v>
        <stp/>
        <stp>IMPL_VOL</stp>
        <stp>.MUB201120P116</stp>
        <tr r="D437" s="1"/>
      </tp>
      <tp t="s">
        <v>N/A</v>
        <stp/>
        <stp>PROB_OF_TOUCHING</stp>
        <stp>.AGG201120C117</stp>
        <tr r="V16" s="1"/>
      </tp>
      <tp t="s">
        <v>N/A</v>
        <stp/>
        <stp>OPEN_INT</stp>
        <stp>.IWD201120P130</stp>
        <tr r="G339" s="1"/>
      </tp>
      <tp>
        <v>8800</v>
        <stp/>
        <stp>OPEN_INT</stp>
        <stp>.LQD201120P135</stp>
        <tr r="G408" s="1"/>
      </tp>
      <tp>
        <v>2714</v>
        <stp/>
        <stp>OPEN_INT</stp>
        <stp>.IWD201120C130</stp>
        <tr r="G338" s="1"/>
      </tp>
      <tp t="s">
        <v>N/A</v>
        <stp/>
        <stp>OPEN_INT</stp>
        <stp>.LQD201120C135</stp>
        <tr r="G407" s="1"/>
      </tp>
      <tp t="s">
        <v>N/A</v>
        <stp/>
        <stp>HIGH</stp>
        <stp>.SSO201120C81.5</stp>
        <tr r="J645" s="1"/>
      </tp>
      <tp t="s">
        <v>N/A</v>
        <stp/>
        <stp>PROB_OTM</stp>
        <stp>.DIA201120C297.5</stp>
        <tr r="U79" s="1"/>
      </tp>
      <tp t="s">
        <v>N/A</v>
        <stp/>
        <stp>EXTRINSIC</stp>
        <stp>QUAL</stp>
        <tr r="S498" s="1"/>
      </tp>
      <tp t="s">
        <v>N/A</v>
        <stp/>
        <stp>IMPL_VOL</stp>
        <stp>.IBB201120P141</stp>
        <tr r="D242" s="1"/>
      </tp>
      <tp t="s">
        <v>N/A</v>
        <stp/>
        <stp>IMPL_VOL</stp>
        <stp>.IBB201120C141</stp>
        <tr r="D241" s="1"/>
      </tp>
      <tp t="s">
        <v>N/A</v>
        <stp/>
        <stp>IMPL_VOL</stp>
        <stp>.IBB201120P140</stp>
        <tr r="D238" s="1"/>
      </tp>
      <tp t="s">
        <v>N/A</v>
        <stp/>
        <stp>IMPL_VOL</stp>
        <stp>.IBB201120C140</stp>
        <tr r="D237" s="1"/>
      </tp>
      <tp t="s">
        <v>N/A</v>
        <stp/>
        <stp>PROB_OF_TOUCHING</stp>
        <stp>.MDY201120C387.5</stp>
        <tr r="V421" s="1"/>
      </tp>
      <tp t="s">
        <v>N/A</v>
        <stp/>
        <stp>INTRINSIC</stp>
        <stp>QUAL</stp>
        <tr r="R498" s="1"/>
      </tp>
      <tp>
        <v>2471</v>
        <stp/>
        <stp>OPEN_INT</stp>
        <stp>.QQQ201120C292.5</stp>
        <tr r="G492" s="1"/>
      </tp>
      <tp t="s">
        <v>N/A</v>
        <stp/>
        <stp>IMPL_VOL</stp>
        <stp>.DIA201120P292</stp>
        <tr r="D66" s="1"/>
      </tp>
      <tp t="s">
        <v>N/A</v>
        <stp/>
        <stp>IMPL_VOL</stp>
        <stp>.DIA201120C292</stp>
        <tr r="D65" s="1"/>
      </tp>
      <tp t="s">
        <v>N/A</v>
        <stp/>
        <stp>IMPL_VOL</stp>
        <stp>.DIA201120P293</stp>
        <tr r="D70" s="1"/>
      </tp>
      <tp t="s">
        <v>N/A</v>
        <stp/>
        <stp>IMPL_VOL</stp>
        <stp>.DIA201120C293</stp>
        <tr r="D69" s="1"/>
      </tp>
      <tp t="s">
        <v>N/A</v>
        <stp/>
        <stp>IMPL_VOL</stp>
        <stp>.DIA201120P291</stp>
        <tr r="D64" s="1"/>
      </tp>
      <tp t="s">
        <v>N/A</v>
        <stp/>
        <stp>IMPL_VOL</stp>
        <stp>.DIA201120C291</stp>
        <tr r="D63" s="1"/>
      </tp>
      <tp t="s">
        <v>N/A</v>
        <stp/>
        <stp>IMPL_VOL</stp>
        <stp>.DIA201120P296</stp>
        <tr r="D76" s="1"/>
      </tp>
      <tp t="s">
        <v>N/A</v>
        <stp/>
        <stp>IMPL_VOL</stp>
        <stp>.DIA201120C296</stp>
        <tr r="D75" s="1"/>
      </tp>
      <tp t="s">
        <v>N/A</v>
        <stp/>
        <stp>IMPL_VOL</stp>
        <stp>.DIA201120P297</stp>
        <tr r="D78" s="1"/>
      </tp>
      <tp t="s">
        <v>N/A</v>
        <stp/>
        <stp>IMPL_VOL</stp>
        <stp>.DIA201120C297</stp>
        <tr r="D77" s="1"/>
      </tp>
      <tp t="s">
        <v>N/A</v>
        <stp/>
        <stp>IMPL_VOL</stp>
        <stp>.DIA201120P294</stp>
        <tr r="D72" s="1"/>
      </tp>
      <tp t="s">
        <v>N/A</v>
        <stp/>
        <stp>IMPL_VOL</stp>
        <stp>.DIA201120C294</stp>
        <tr r="D71" s="1"/>
      </tp>
      <tp t="s">
        <v>N/A</v>
        <stp/>
        <stp>IMPL_VOL</stp>
        <stp>.DIA201120P295</stp>
        <tr r="D74" s="1"/>
      </tp>
      <tp t="s">
        <v>N/A</v>
        <stp/>
        <stp>IMPL_VOL</stp>
        <stp>.DIA201120C295</stp>
        <tr r="D73" s="1"/>
      </tp>
      <tp t="s">
        <v>N/A</v>
        <stp/>
        <stp>PROB_OTM</stp>
        <stp>.MDY201120P385</stp>
        <tr r="U420" s="1"/>
      </tp>
      <tp t="s">
        <v>N/A</v>
        <stp/>
        <stp>PROB_OTM</stp>
        <stp>.MDY201120C385</stp>
        <tr r="U419" s="1"/>
      </tp>
      <tp t="s">
        <v>N/A</v>
        <stp/>
        <stp>PROB_OTM</stp>
        <stp>.MDY201120P380</stp>
        <tr r="U416" s="1"/>
      </tp>
      <tp t="s">
        <v>N/A</v>
        <stp/>
        <stp>PROB_OTM</stp>
        <stp>.MDY201120C380</stp>
        <tr r="U415" s="1"/>
      </tp>
      <tp t="s">
        <v>N/A</v>
        <stp/>
        <stp>PROB_OF_EXPIRING</stp>
        <stp>.MDY201120C382.5</stp>
        <tr r="T417" s="1"/>
      </tp>
      <tp t="s">
        <v>N/A</v>
        <stp/>
        <stp>INTRINSIC</stp>
        <stp>EUFN</stp>
        <tr r="R117" s="1"/>
      </tp>
      <tp t="s">
        <v>N/A</v>
        <stp/>
        <stp>STRIKE</stp>
        <stp>.IEFA201120C66</stp>
        <tr r="W254" s="1"/>
      </tp>
      <tp t="s">
        <v>N/A</v>
        <stp/>
        <stp>STRIKE</stp>
        <stp>.IEFA201120C65</stp>
        <tr r="W252" s="1"/>
      </tp>
      <tp t="s">
        <v>N/A</v>
        <stp/>
        <stp>PUT_CALL_RATIO</stp>
        <stp>.IEMG201120C57</stp>
        <tr r="C257" s="1"/>
      </tp>
      <tp>
        <v>0.78</v>
        <stp/>
        <stp>ASK</stp>
        <stp>.HYG201120P85.5</stp>
        <tr r="I222" s="1"/>
      </tp>
      <tp t="s">
        <v>N/A</v>
        <stp/>
        <stp>PUT_CALL_RATIO</stp>
        <stp>.IEMG201120C58</stp>
        <tr r="C259" s="1"/>
      </tp>
      <tp>
        <v>0.43</v>
        <stp/>
        <stp>ASK</stp>
        <stp>.HYG201120C85.5</stp>
        <tr r="I221" s="1"/>
      </tp>
      <tp t="s">
        <v>N/A</v>
        <stp/>
        <stp>ASK</stp>
        <stp>.ITB201120P55.5</stp>
        <tr r="I294" s="1"/>
      </tp>
      <tp t="s">
        <v>N/A</v>
        <stp/>
        <stp>BID</stp>
        <stp>.SHY201120C86.5</stp>
        <tr r="H546" s="1"/>
      </tp>
      <tp t="s">
        <v>N/A</v>
        <stp/>
        <stp>ASK</stp>
        <stp>.IYR201120P85.5</stp>
        <tr r="I374" s="1"/>
      </tp>
      <tp>
        <v>0.8</v>
        <stp/>
        <stp>ASK</stp>
        <stp>.ITB201120C55.5</stp>
        <tr r="I293" s="1"/>
      </tp>
      <tp t="s">
        <v>N/A</v>
        <stp/>
        <stp>BID</stp>
        <stp>.SHY201120P86.5</stp>
        <tr r="H547" s="1"/>
      </tp>
      <tp t="s">
        <v>N/A</v>
        <stp/>
        <stp>ASK</stp>
        <stp>.IYR201120C85.5</stp>
        <tr r="I373" s="1"/>
      </tp>
      <tp t="s">
        <v>N/A</v>
        <stp/>
        <stp>BID</stp>
        <stp>.TAN201120C76.5</stp>
        <tr r="H676" s="1"/>
      </tp>
      <tp t="s">
        <v>N/A</v>
        <stp/>
        <stp>BID</stp>
        <stp>.TAN201120P76.5</stp>
        <tr r="H677" s="1"/>
      </tp>
      <tp>
        <v>0.45</v>
        <stp/>
        <stp>BID</stp>
        <stp>.VWO201120P46.5</stp>
        <tr r="H750" s="1"/>
      </tp>
      <tp>
        <v>0.45</v>
        <stp/>
        <stp>BID</stp>
        <stp>.VWO201120C46.5</stp>
        <tr r="H749" s="1"/>
      </tp>
      <tp>
        <v>0.25</v>
        <stp/>
        <stp>BID</stp>
        <stp>.XLU201120C66.5</stp>
        <tr r="H852" s="1"/>
      </tp>
      <tp t="s">
        <v>N/A</v>
        <stp/>
        <stp>BID</stp>
        <stp>.XLP201120C66.5</stp>
        <tr r="H842" s="1"/>
      </tp>
      <tp t="s">
        <v>N/A</v>
        <stp/>
        <stp>BID</stp>
        <stp>.XME201120C26.5</stp>
        <tr r="H885" s="1"/>
      </tp>
      <tp t="s">
        <v>N/A</v>
        <stp/>
        <stp>BID</stp>
        <stp>.XME201120P26.5</stp>
        <tr r="H886" s="1"/>
      </tp>
      <tp t="s">
        <v>N/A</v>
        <stp/>
        <stp>BID</stp>
        <stp>.XLU201120P66.5</stp>
        <tr r="H853" s="1"/>
      </tp>
      <tp>
        <v>0.37</v>
        <stp/>
        <stp>BID</stp>
        <stp>.XLP201120P66.5</stp>
        <tr r="H843" s="1"/>
      </tp>
      <tp t="s">
        <v>N/A</v>
        <stp/>
        <stp>STRIKE</stp>
        <stp>.EUFN201120C16</stp>
        <tr r="W118" s="1"/>
      </tp>
      <tp>
        <v>0</v>
        <stp/>
        <stp>LOW</stp>
        <stp>.XOP201120P48.5</stp>
        <tr r="K897" s="1"/>
      </tp>
      <tp t="s">
        <v>N/A</v>
        <stp/>
        <stp>LOW</stp>
        <stp>.XLB201120P68.5</stp>
        <tr r="K789" s="1"/>
      </tp>
      <tp>
        <v>0.66</v>
        <stp/>
        <stp>LOW</stp>
        <stp>.XLB201120C68.5</stp>
        <tr r="K788" s="1"/>
      </tp>
      <tp>
        <v>0.55000000000000004</v>
        <stp/>
        <stp>LOW</stp>
        <stp>.XOP201120C48.5</stp>
        <tr r="K896" s="1"/>
      </tp>
      <tp t="s">
        <v>N/A</v>
        <stp/>
        <stp>STRIKE</stp>
        <stp>.VXUS201120P57</stp>
        <tr r="W757" s="1"/>
      </tp>
      <tp t="s">
        <v>N/A</v>
        <stp/>
        <stp>STRIKE</stp>
        <stp>.VXUS201120P56</stp>
        <tr r="W755" s="1"/>
      </tp>
      <tp t="s">
        <v>N/A</v>
        <stp/>
        <stp>PUT_CALL_RATIO</stp>
        <stp>.USMV201120C67</stp>
        <tr r="C699" s="1"/>
      </tp>
      <tp t="s">
        <v>N/A</v>
        <stp/>
        <stp>ASK</stp>
        <stp>.XRT201120P55.5</stp>
        <tr r="I910" s="1"/>
      </tp>
      <tp>
        <v>0.88</v>
        <stp/>
        <stp>ASK</stp>
        <stp>.XLI201120C85.5</stp>
        <tr r="I820" s="1"/>
      </tp>
      <tp>
        <v>0.8</v>
        <stp/>
        <stp>ASK</stp>
        <stp>.XHB201120C55.5</stp>
        <tr r="I783" s="1"/>
      </tp>
      <tp t="s">
        <v>N/A</v>
        <stp/>
        <stp>ASK</stp>
        <stp>.XRT201120C55.5</stp>
        <tr r="I909" s="1"/>
      </tp>
      <tp t="s">
        <v>N/A</v>
        <stp/>
        <stp>ASK</stp>
        <stp>.XLI201120P85.5</stp>
        <tr r="I821" s="1"/>
      </tp>
      <tp>
        <v>1.55</v>
        <stp/>
        <stp>ASK</stp>
        <stp>.XHB201120P55.5</stp>
        <tr r="I784" s="1"/>
      </tp>
      <tp t="s">
        <v>N/A</v>
        <stp/>
        <stp>LOW</stp>
        <stp>.EWU201120C28.5</stp>
        <tr r="K152" s="1"/>
      </tp>
      <tp t="s">
        <v>N/A</v>
        <stp/>
        <stp>LOW</stp>
        <stp>.EWW201120C38.5</stp>
        <tr r="K155" s="1"/>
      </tp>
      <tp>
        <v>0.6</v>
        <stp/>
        <stp>LOW</stp>
        <stp>.EEM201120P48.5</stp>
        <tr r="K100" s="1"/>
      </tp>
      <tp t="s">
        <v>N/A</v>
        <stp/>
        <stp>STRIKE</stp>
        <stp>.IXUS201120P63</stp>
        <tr r="W362" s="1"/>
      </tp>
      <tp>
        <v>0.18</v>
        <stp/>
        <stp>LOW</stp>
        <stp>.EEM201120C48.5</stp>
        <tr r="K99" s="1"/>
      </tp>
      <tp t="s">
        <v>N/A</v>
        <stp/>
        <stp>LOW</stp>
        <stp>.EWU201120P28.5</stp>
        <tr r="K153" s="1"/>
      </tp>
      <tp t="s">
        <v>N/A</v>
        <stp/>
        <stp>LOW</stp>
        <stp>.EWW201120P38.5</stp>
        <tr r="K156" s="1"/>
      </tp>
      <tp>
        <v>38</v>
        <stp/>
        <stp>VOLUME</stp>
        <stp>.GDXJ201120C54</stp>
        <tr r="F211" s="1"/>
      </tp>
      <tp>
        <v>30</v>
        <stp/>
        <stp>VOLUME</stp>
        <stp>.GDXJ201120C53</stp>
        <tr r="F207" s="1"/>
      </tp>
      <tp>
        <v>0</v>
        <stp/>
        <stp>VOLUME</stp>
        <stp>.GDXJ201120C52</stp>
        <tr r="F203" s="1"/>
      </tp>
      <tp>
        <v>1.45</v>
        <stp/>
        <stp>BID</stp>
        <stp>.GDX201120C36.5</stp>
        <tr r="H196" s="1"/>
      </tp>
      <tp>
        <v>0.45</v>
        <stp/>
        <stp>BID</stp>
        <stp>.GDX201120P36.5</stp>
        <tr r="H197" s="1"/>
      </tp>
      <tp t="s">
        <v>N/A</v>
        <stp/>
        <stp>VOLUME</stp>
        <stp>.AAXJ201120C83</stp>
        <tr r="F3" s="1"/>
      </tp>
      <tp t="s">
        <v>N/A</v>
        <stp/>
        <stp>VOLUME</stp>
        <stp>.AAXJ201120C84</stp>
        <tr r="F5" s="1"/>
      </tp>
      <tp>
        <v>42</v>
        <stp/>
        <stp>VOLUME</stp>
        <stp>.ARKK201120P97</stp>
        <tr r="F27" s="1"/>
      </tp>
      <tp>
        <v>12</v>
        <stp/>
        <stp>VOLUME</stp>
        <stp>.ARKK201120P99</stp>
        <tr r="F31" s="1"/>
      </tp>
      <tp>
        <v>359</v>
        <stp/>
        <stp>VOLUME</stp>
        <stp>.ARKK201120P98</stp>
        <tr r="F29" s="1"/>
      </tp>
      <tp>
        <v>0.95</v>
        <stp/>
        <stp>BID</stp>
        <stp>.KRE201120P46.5</stp>
        <tr r="H392" s="1"/>
      </tp>
      <tp>
        <v>0.1</v>
        <stp/>
        <stp>BID</stp>
        <stp>.KRE201120C46.5</stp>
        <tr r="H391" s="1"/>
      </tp>
      <tp t="s">
        <v>N/A</v>
        <stp/>
        <stp>ASK</stp>
        <stp>.TAN201120C75.5</stp>
        <tr r="I672" s="1"/>
      </tp>
      <tp t="s">
        <v>N/A</v>
        <stp/>
        <stp>ASK</stp>
        <stp>.TAN201120P75.5</stp>
        <tr r="I673" s="1"/>
      </tp>
      <tp t="s">
        <v>N/A</v>
        <stp/>
        <stp>DESCRIPTION</stp>
        <stp>.EWW201120C39</stp>
        <tr r="B157" s="1"/>
      </tp>
      <tp t="s">
        <v>N/A</v>
        <stp/>
        <stp>DESCRIPTION</stp>
        <stp>.EWP201120C26</stp>
        <tr r="B146" s="1"/>
      </tp>
      <tp t="s">
        <v>N/A</v>
        <stp/>
        <stp>DESCRIPTION</stp>
        <stp>.SDS201120P14</stp>
        <tr r="B541" s="1"/>
      </tp>
      <tp>
        <v>1548611</v>
        <stp/>
        <stp>VOLUME</stp>
        <stp>AAXJ</stp>
        <tr r="F2" s="1"/>
      </tp>
      <tp t="s">
        <v>N/A</v>
        <stp/>
        <stp>DESCRIPTION</stp>
        <stp>.EWT201120C48</stp>
        <tr r="B149" s="1"/>
      </tp>
      <tp t="s">
        <v>N/A</v>
        <stp/>
        <stp>RHO</stp>
        <stp>.VFH201120P67</stp>
        <tr r="Q717" s="1"/>
      </tp>
      <tp t="s">
        <v>N/A</v>
        <stp/>
        <stp>RHO</stp>
        <stp>.VFH201120P66</stp>
        <tr r="Q715" s="1"/>
      </tp>
      <tp t="s">
        <v>N/A</v>
        <stp/>
        <stp>DESCRIPTION</stp>
        <stp>.EWY201120C72</stp>
        <tr r="B164" s="1"/>
      </tp>
      <tp t="s">
        <v>N/A</v>
        <stp/>
        <stp>DESCRIPTION</stp>
        <stp>.EWY201120C73</stp>
        <tr r="B168" s="1"/>
      </tp>
      <tp t="s">
        <v>N/A</v>
        <stp/>
        <stp>DESCRIPTION</stp>
        <stp>.GDX201120P37</stp>
        <tr r="B199" s="1"/>
      </tp>
      <tp>
        <v>0.62</v>
        <stp/>
        <stp>BID</stp>
        <stp>.XME201120P27</stp>
        <tr r="H888" s="1"/>
      </tp>
      <tp>
        <v>0.35</v>
        <stp/>
        <stp>ASK</stp>
        <stp>.TBF201120P16</stp>
        <tr r="I682" s="1"/>
      </tp>
      <tp>
        <v>0.42</v>
        <stp/>
        <stp>LOW</stp>
        <stp>.XME201120C27</stp>
        <tr r="K887" s="1"/>
      </tp>
      <tp t="s">
        <v>N/A</v>
        <stp/>
        <stp>RHO</stp>
        <stp>.EFA201120P69</stp>
        <tr r="Q103" s="1"/>
      </tp>
      <tp t="s">
        <v>N/A</v>
        <stp/>
        <stp>ASK</stp>
        <stp>.KBE201120P38</stp>
        <tr r="I387" s="1"/>
      </tp>
      <tp t="s">
        <v>N/A</v>
        <stp/>
        <stp>RHO</stp>
        <stp>.EFA201120P70</stp>
        <tr r="Q107" s="1"/>
      </tp>
      <tp t="s">
        <v>N/A</v>
        <stp/>
        <stp>DESCRIPTION</stp>
        <stp>.EWZ201120C32</stp>
        <tr r="B175" s="1"/>
      </tp>
      <tp t="s">
        <v>N/A</v>
        <stp/>
        <stp>DESCRIPTION</stp>
        <stp>.EWG201120C30</stp>
        <tr r="B127" s="1"/>
      </tp>
      <tp>
        <v>1268517</v>
        <stp/>
        <stp>VOLUME</stp>
        <stp>NAIL</stp>
        <tr r="F438" s="1"/>
      </tp>
      <tp t="s">
        <v>N/A</v>
        <stp/>
        <stp>DESCRIPTION</stp>
        <stp>.EWA201120C22</stp>
        <tr r="B121" s="1"/>
      </tp>
      <tp t="s">
        <v>N/A</v>
        <stp/>
        <stp>DESCRIPTION</stp>
        <stp>.EWC201120C29</stp>
        <tr r="B124" s="1"/>
      </tp>
      <tp t="s">
        <v>N/A</v>
        <stp/>
        <stp>DESCRIPTION</stp>
        <stp>.RWM201120C29</stp>
        <tr r="B518" s="1"/>
      </tp>
      <tp t="s">
        <v>N/A</v>
        <stp/>
        <stp>DESCRIPTION</stp>
        <stp>.EWJ201120C63</stp>
        <tr r="B136" s="1"/>
      </tp>
      <tp t="s">
        <v>N/A</v>
        <stp/>
        <stp>DESCRIPTION</stp>
        <stp>.EWJ201120C64</stp>
        <tr r="B140" s="1"/>
      </tp>
      <tp t="s">
        <v>N/A</v>
        <stp/>
        <stp>RHO</stp>
        <stp>.EFV201120P45</stp>
        <tr r="Q110" s="1"/>
      </tp>
      <tp t="s">
        <v>N/A</v>
        <stp/>
        <stp>ASK</stp>
        <stp>.TBT201120P17</stp>
        <tr r="I685" s="1"/>
      </tp>
      <tp t="s">
        <v>N/A</v>
        <stp/>
        <stp>DESCRIPTION</stp>
        <stp>.EWH201120C24</stp>
        <tr r="B130" s="1"/>
      </tp>
      <tp t="s">
        <v>N/A</v>
        <stp/>
        <stp>DESCRIPTION</stp>
        <stp>.VWO201120C47</stp>
        <tr r="B751" s="1"/>
      </tp>
      <tp t="s">
        <v>N/A</v>
        <stp/>
        <stp>DESCRIPTION</stp>
        <stp>.EWI201120C27</stp>
        <tr r="B133" s="1"/>
      </tp>
      <tp t="s">
        <v>N/A</v>
        <stp/>
        <stp>DESCRIPTION</stp>
        <stp>.EWL201120C43</stp>
        <tr r="B143" s="1"/>
      </tp>
      <tp t="s">
        <v>N/A</v>
        <stp/>
        <stp>PROB_OTM</stp>
        <stp>KRE</stp>
        <tr r="U388" s="1"/>
      </tp>
      <tp t="s">
        <v>4.41%</v>
        <stp/>
        <stp>IMPL_VOL</stp>
        <stp>MUB</stp>
        <tr r="D435" s="1"/>
      </tp>
      <tp t="s">
        <v>N/A</v>
        <stp/>
        <stp>PROB_OF_EXPIRING</stp>
        <stp>.INDA201120P36.5</stp>
        <tr r="T284" s="1"/>
      </tp>
      <tp t="s">
        <v>N/A</v>
        <stp/>
        <stp>PROB_OF_EXPIRING</stp>
        <stp>.INDA201120C36.5</stp>
        <tr r="T283" s="1"/>
      </tp>
      <tp t="s">
        <v>N/A</v>
        <stp/>
        <stp>PROB_OTM</stp>
        <stp>.JETS201120P19.5</stp>
        <tr r="U377" s="1"/>
      </tp>
      <tp t="s">
        <v>N/A</v>
        <stp/>
        <stp>PROB_OTM</stp>
        <stp>.JETS201120C19.5</stp>
        <tr r="U376" s="1"/>
      </tp>
      <tp t="s">
        <v>N/A</v>
        <stp/>
        <stp>PROB_OF_TOUCHING</stp>
        <stp>MUB</stp>
        <tr r="V435" s="1"/>
      </tp>
      <tp t="s">
        <v>N/A</v>
        <stp/>
        <stp>PROB_OTM</stp>
        <stp>KBE</stp>
        <tr r="U385" s="1"/>
      </tp>
      <tp t="s">
        <v>28.60%</v>
        <stp/>
        <stp>IMPL_VOL</stp>
        <stp>MDY</stp>
        <tr r="D414" s="1"/>
      </tp>
      <tp t="s">
        <v>N/A</v>
        <stp/>
        <stp>PROB_OF_TOUCHING</stp>
        <stp>MDY</stp>
        <tr r="V414" s="1"/>
      </tp>
      <tp>
        <v>0.6</v>
        <stp/>
        <stp>HIGH</stp>
        <stp>.MJ201120P13</stp>
        <tr r="J425" s="1"/>
      </tp>
      <tp t="s">
        <v>N/A</v>
        <stp/>
        <stp>PROB_OF_TOUCHING</stp>
        <stp>.LQD201120C135.5</stp>
        <tr r="V409" s="1"/>
      </tp>
      <tp t="s">
        <v>N/A</v>
        <stp/>
        <stp>PROB_OF_TOUCHING</stp>
        <stp>.IBB201120P140.5</stp>
        <tr r="V240" s="1"/>
      </tp>
      <tp t="s">
        <v>N/A</v>
        <stp/>
        <stp>PROB_OF_EXPIRING</stp>
        <stp>.JNK201120P106.5</stp>
        <tr r="T382" s="1"/>
      </tp>
      <tp t="s">
        <v>N/A</v>
        <stp/>
        <stp>HIGH</stp>
        <stp>.EWY201120P72.5</stp>
        <tr r="J167" s="1"/>
      </tp>
      <tp t="s">
        <v>N/A</v>
        <stp/>
        <stp>HIGH</stp>
        <stp>.EWY201120C72.5</stp>
        <tr r="J166" s="1"/>
      </tp>
      <tp>
        <v>1144</v>
        <stp/>
        <stp>OPEN_INT</stp>
        <stp>.SMH201120C193.5</stp>
        <tr r="G556" s="1"/>
      </tp>
      <tp t="s">
        <v>N/A</v>
        <stp/>
        <stp>VEGA</stp>
        <stp>.MJ201120P13</stp>
        <tr r="P425" s="1"/>
      </tp>
      <tp t="s">
        <v>N/A</v>
        <stp/>
        <stp>PROB_OTM</stp>
        <stp>.IEF201120P119.5</stp>
        <tr r="U250" s="1"/>
      </tp>
      <tp t="s">
        <v>N/A</v>
        <stp/>
        <stp>PROB_OTM</stp>
        <stp>.IBB201120P139.5</stp>
        <tr r="U236" s="1"/>
      </tp>
      <tp t="s">
        <v>N/A</v>
        <stp/>
        <stp>PROB_OF_TOUCHING</stp>
        <stp>.IWD201120C128</stp>
        <tr r="V334" s="1"/>
      </tp>
      <tp t="s">
        <v>N/A</v>
        <stp/>
        <stp>PROB_OF_TOUCHING</stp>
        <stp>.IWD201120P128</stp>
        <tr r="V335" s="1"/>
      </tp>
      <tp t="s">
        <v>N/A</v>
        <stp/>
        <stp>PROB_OF_TOUCHING</stp>
        <stp>.IWD201120C129</stp>
        <tr r="V336" s="1"/>
      </tp>
      <tp t="s">
        <v>N/A</v>
        <stp/>
        <stp>PROB_OF_TOUCHING</stp>
        <stp>.IWD201120P129</stp>
        <tr r="V337" s="1"/>
      </tp>
      <tp t="s">
        <v>N/A</v>
        <stp/>
        <stp>PROB_OF_TOUCHING</stp>
        <stp>.IWD201120C130</stp>
        <tr r="V338" s="1"/>
      </tp>
      <tp t="s">
        <v>N/A</v>
        <stp/>
        <stp>PROB_OF_TOUCHING</stp>
        <stp>.LQD201120C135</stp>
        <tr r="V407" s="1"/>
      </tp>
      <tp t="s">
        <v>N/A</v>
        <stp/>
        <stp>PROB_OF_TOUCHING</stp>
        <stp>.IWD201120P130</stp>
        <tr r="V339" s="1"/>
      </tp>
      <tp t="s">
        <v>N/A</v>
        <stp/>
        <stp>PROB_OF_TOUCHING</stp>
        <stp>.LQD201120P135</stp>
        <tr r="V408" s="1"/>
      </tp>
      <tp t="s">
        <v>N/A</v>
        <stp/>
        <stp>OPEN_INT</stp>
        <stp>.AGG201120C117</stp>
        <tr r="G16" s="1"/>
      </tp>
      <tp t="s">
        <v>N/A</v>
        <stp/>
        <stp>OPEN_INT</stp>
        <stp>.AGG201120P117</stp>
        <tr r="G17" s="1"/>
      </tp>
      <tp t="s">
        <v>N/A</v>
        <stp/>
        <stp>PROB_OF_TOUCHING</stp>
        <stp>.LQD201120P135.5</stp>
        <tr r="V410" s="1"/>
      </tp>
      <tp t="s">
        <v>N/A</v>
        <stp/>
        <stp>PROB_OF_TOUCHING</stp>
        <stp>.IBB201120C140.5</stp>
        <tr r="V239" s="1"/>
      </tp>
      <tp t="s">
        <v>N/A</v>
        <stp/>
        <stp>HIGH</stp>
        <stp>.RSX201120P22.5</stp>
        <tr r="J516" s="1"/>
      </tp>
      <tp t="s">
        <v>N/A</v>
        <stp/>
        <stp>PROB_OF_TOUCHING</stp>
        <stp>.QLD201120P100</stp>
        <tr r="V472" s="1"/>
      </tp>
      <tp t="s">
        <v>N/A</v>
        <stp/>
        <stp>PROB_OF_TOUCHING</stp>
        <stp>.QLD201120C100</stp>
        <tr r="V471" s="1"/>
      </tp>
      <tp t="s">
        <v>N/A</v>
        <stp/>
        <stp>PROB_OF_TOUCHING</stp>
        <stp>.QLD201120P101</stp>
        <tr r="V474" s="1"/>
      </tp>
      <tp t="s">
        <v>N/A</v>
        <stp/>
        <stp>PROB_OF_TOUCHING</stp>
        <stp>.QLD201120C101</stp>
        <tr r="V473" s="1"/>
      </tp>
      <tp t="s">
        <v>N/A</v>
        <stp/>
        <stp>HIGH</stp>
        <stp>.RSX201120C22.5</stp>
        <tr r="J515" s="1"/>
      </tp>
      <tp t="s">
        <v>N/A</v>
        <stp/>
        <stp>HIGH</stp>
        <stp>.SSO201120P82.5</stp>
        <tr r="J650" s="1"/>
      </tp>
      <tp t="s">
        <v>N/A</v>
        <stp/>
        <stp>HIGH</stp>
        <stp>.SSO201120C82.5</stp>
        <tr r="J649" s="1"/>
      </tp>
      <tp>
        <v>4.2</v>
        <stp/>
        <stp>HIGH</stp>
        <stp>.TAN201120C72.5</stp>
        <tr r="J660" s="1"/>
      </tp>
      <tp t="s">
        <v>N/A</v>
        <stp/>
        <stp>HIGH</stp>
        <stp>.TAN201120P72.5</stp>
        <tr r="J661" s="1"/>
      </tp>
      <tp>
        <v>1004</v>
        <stp/>
        <stp>OPEN_INT</stp>
        <stp>.SMH201120P193.5</stp>
        <tr r="G557" s="1"/>
      </tp>
      <tp t="s">
        <v>N/A</v>
        <stp/>
        <stp>PROB_OF_EXPIRING</stp>
        <stp>.JNK201120C106.5</stp>
        <tr r="T381" s="1"/>
      </tp>
      <tp t="s">
        <v>N/A</v>
        <stp/>
        <stp>PROB_OTM</stp>
        <stp>.IEF201120C119.5</stp>
        <tr r="U249" s="1"/>
      </tp>
      <tp t="s">
        <v>N/A</v>
        <stp/>
        <stp>PROB_OTM</stp>
        <stp>.IBB201120C139.5</stp>
        <tr r="U235" s="1"/>
      </tp>
      <tp>
        <v>4.05</v>
        <stp/>
        <stp>ASK</stp>
        <stp>.KRE201120P46.5</stp>
        <tr r="I392" s="1"/>
      </tp>
      <tp>
        <v>2.08</v>
        <stp/>
        <stp>ASK</stp>
        <stp>.KRE201120C46.5</stp>
        <tr r="I391" s="1"/>
      </tp>
      <tp t="s">
        <v>N/A</v>
        <stp/>
        <stp>STRIKE</stp>
        <stp>.KWEB201120C72</stp>
        <tr r="W398" s="1"/>
      </tp>
      <tp t="s">
        <v>N/A</v>
        <stp/>
        <stp>STRIKE</stp>
        <stp>.KWEB201120C73</stp>
        <tr r="W400" s="1"/>
      </tp>
      <tp t="s">
        <v>N/A</v>
        <stp/>
        <stp>STRIKE</stp>
        <stp>.KWEB201120C74</stp>
        <tr r="W402" s="1"/>
      </tp>
      <tp t="s">
        <v>N/A</v>
        <stp/>
        <stp>BID</stp>
        <stp>.TAN201120C75.5</stp>
        <tr r="H672" s="1"/>
      </tp>
      <tp t="s">
        <v>N/A</v>
        <stp/>
        <stp>BID</stp>
        <stp>.TAN201120P75.5</stp>
        <tr r="H673" s="1"/>
      </tp>
      <tp>
        <v>0.5</v>
        <stp/>
        <stp>BID</stp>
        <stp>.XHB201120C55.5</stp>
        <tr r="H783" s="1"/>
      </tp>
      <tp>
        <v>0.36</v>
        <stp/>
        <stp>BID</stp>
        <stp>.XLI201120C85.5</stp>
        <tr r="H820" s="1"/>
      </tp>
      <tp t="s">
        <v>N/A</v>
        <stp/>
        <stp>BID</stp>
        <stp>.XRT201120P55.5</stp>
        <tr r="H910" s="1"/>
      </tp>
      <tp>
        <v>1.2</v>
        <stp/>
        <stp>BID</stp>
        <stp>.XHB201120P55.5</stp>
        <tr r="H784" s="1"/>
      </tp>
      <tp t="s">
        <v>N/A</v>
        <stp/>
        <stp>BID</stp>
        <stp>.XLI201120P85.5</stp>
        <tr r="H821" s="1"/>
      </tp>
      <tp t="s">
        <v>N/A</v>
        <stp/>
        <stp>BID</stp>
        <stp>.XRT201120C55.5</stp>
        <tr r="H909" s="1"/>
      </tp>
      <tp t="s">
        <v>N/A</v>
        <stp/>
        <stp>STRIKE</stp>
        <stp>.DFEN201120C14</stp>
        <tr r="W57" s="1"/>
      </tp>
      <tp t="s">
        <v>N/A</v>
        <stp/>
        <stp>STRIKE</stp>
        <stp>.DFEN201120C13</stp>
        <tr r="W55" s="1"/>
      </tp>
      <tp t="s">
        <v>N/A</v>
        <stp/>
        <stp>VOLUME</stp>
        <stp>.ASHR201120P38</stp>
        <tr r="F47" s="1"/>
      </tp>
      <tp>
        <v>0</v>
        <stp/>
        <stp>VOLUME</stp>
        <stp>.SCHP201120P61</stp>
        <tr r="F533" s="1"/>
      </tp>
      <tp>
        <v>1.51</v>
        <stp/>
        <stp>ASK</stp>
        <stp>.GDX201120C36.5</stp>
        <tr r="I196" s="1"/>
      </tp>
      <tp>
        <v>0.5</v>
        <stp/>
        <stp>ASK</stp>
        <stp>.GDX201120P36.5</stp>
        <tr r="I197" s="1"/>
      </tp>
      <tp t="s">
        <v>N/A</v>
        <stp/>
        <stp>ASK</stp>
        <stp>.XME201120C26.5</stp>
        <tr r="I885" s="1"/>
      </tp>
      <tp>
        <v>0.55000000000000004</v>
        <stp/>
        <stp>ASK</stp>
        <stp>.XLU201120C66.5</stp>
        <tr r="I852" s="1"/>
      </tp>
      <tp t="s">
        <v>N/A</v>
        <stp/>
        <stp>ASK</stp>
        <stp>.XLP201120C66.5</stp>
        <tr r="I842" s="1"/>
      </tp>
      <tp t="s">
        <v>N/A</v>
        <stp/>
        <stp>EXTRINSIC</stp>
        <stp>.VOO201120C325</stp>
        <tr r="S730" s="1"/>
      </tp>
      <tp t="s">
        <v>N/A</v>
        <stp/>
        <stp>EXTRINSIC</stp>
        <stp>.VOO201120P325</stp>
        <tr r="S731" s="1"/>
      </tp>
      <tp t="s">
        <v>N/A</v>
        <stp/>
        <stp>ASK</stp>
        <stp>.XLU201120P66.5</stp>
        <tr r="I853" s="1"/>
      </tp>
      <tp>
        <v>1.04</v>
        <stp/>
        <stp>ASK</stp>
        <stp>.XLP201120P66.5</stp>
        <tr r="I843" s="1"/>
      </tp>
      <tp t="s">
        <v>N/A</v>
        <stp/>
        <stp>ASK</stp>
        <stp>.XME201120P26.5</stp>
        <tr r="I886" s="1"/>
      </tp>
      <tp t="s">
        <v>N/A</v>
        <stp/>
        <stp>EXTRINSIC</stp>
        <stp>.VOO201120C330</stp>
        <tr r="S732" s="1"/>
      </tp>
      <tp t="s">
        <v>N/A</v>
        <stp/>
        <stp>EXTRINSIC</stp>
        <stp>.VOO201120P330</stp>
        <tr r="S733" s="1"/>
      </tp>
      <tp>
        <v>3.5</v>
        <stp/>
        <stp>INTRINSIC</stp>
        <stp>.SPY201120P357</stp>
        <tr r="R618" s="1"/>
      </tp>
      <tp>
        <v>0</v>
        <stp/>
        <stp>INTRINSIC</stp>
        <stp>.SPY201120C357</stp>
        <tr r="R617" s="1"/>
      </tp>
      <tp>
        <v>2.5</v>
        <stp/>
        <stp>INTRINSIC</stp>
        <stp>.SPY201120P356</stp>
        <tr r="R616" s="1"/>
      </tp>
      <tp>
        <v>0</v>
        <stp/>
        <stp>INTRINSIC</stp>
        <stp>.SPY201120C356</stp>
        <tr r="R615" s="1"/>
      </tp>
      <tp>
        <v>1.5</v>
        <stp/>
        <stp>INTRINSIC</stp>
        <stp>.SPY201120P355</stp>
        <tr r="R614" s="1"/>
      </tp>
      <tp>
        <v>0</v>
        <stp/>
        <stp>INTRINSIC</stp>
        <stp>.SPY201120C355</stp>
        <tr r="R613" s="1"/>
      </tp>
      <tp>
        <v>0.5</v>
        <stp/>
        <stp>INTRINSIC</stp>
        <stp>.SPY201120P354</stp>
        <tr r="R612" s="1"/>
      </tp>
      <tp>
        <v>0</v>
        <stp/>
        <stp>INTRINSIC</stp>
        <stp>.SPY201120C354</stp>
        <tr r="R611" s="1"/>
      </tp>
      <tp>
        <v>0</v>
        <stp/>
        <stp>INTRINSIC</stp>
        <stp>.SPY201120P353</stp>
        <tr r="R610" s="1"/>
      </tp>
      <tp>
        <v>0.5</v>
        <stp/>
        <stp>INTRINSIC</stp>
        <stp>.SPY201120C353</stp>
        <tr r="R609" s="1"/>
      </tp>
      <tp>
        <v>5.5</v>
        <stp/>
        <stp>INTRINSIC</stp>
        <stp>.SPY201120P359</stp>
        <tr r="R624" s="1"/>
      </tp>
      <tp>
        <v>0</v>
        <stp/>
        <stp>INTRINSIC</stp>
        <stp>.SPY201120C359</stp>
        <tr r="R623" s="1"/>
      </tp>
      <tp>
        <v>6.5</v>
        <stp/>
        <stp>INTRINSIC</stp>
        <stp>.SPY201118P360</stp>
        <tr r="R606" s="1"/>
      </tp>
      <tp>
        <v>4.5</v>
        <stp/>
        <stp>INTRINSIC</stp>
        <stp>.SPY201120P358</stp>
        <tr r="R622" s="1"/>
      </tp>
      <tp>
        <v>0</v>
        <stp/>
        <stp>INTRINSIC</stp>
        <stp>.SPY201118C360</stp>
        <tr r="R605" s="1"/>
      </tp>
      <tp>
        <v>0</v>
        <stp/>
        <stp>INTRINSIC</stp>
        <stp>.SPY201120C358</stp>
        <tr r="R621" s="1"/>
      </tp>
      <tp>
        <v>5.5</v>
        <stp/>
        <stp>INTRINSIC</stp>
        <stp>.SPY201118P359</stp>
        <tr r="R604" s="1"/>
      </tp>
      <tp>
        <v>7.5</v>
        <stp/>
        <stp>INTRINSIC</stp>
        <stp>.SPY201120P361</stp>
        <tr r="R628" s="1"/>
      </tp>
      <tp>
        <v>0</v>
        <stp/>
        <stp>INTRINSIC</stp>
        <stp>.SPY201118C359</stp>
        <tr r="R603" s="1"/>
      </tp>
      <tp>
        <v>0</v>
        <stp/>
        <stp>INTRINSIC</stp>
        <stp>.SPY201120C361</stp>
        <tr r="R627" s="1"/>
      </tp>
      <tp>
        <v>4.5</v>
        <stp/>
        <stp>INTRINSIC</stp>
        <stp>.SPY201118P358</stp>
        <tr r="R602" s="1"/>
      </tp>
      <tp>
        <v>6.5</v>
        <stp/>
        <stp>INTRINSIC</stp>
        <stp>.SPY201120P360</stp>
        <tr r="R626" s="1"/>
      </tp>
      <tp>
        <v>0</v>
        <stp/>
        <stp>INTRINSIC</stp>
        <stp>.SPY201118C358</stp>
        <tr r="R601" s="1"/>
      </tp>
      <tp>
        <v>0</v>
        <stp/>
        <stp>INTRINSIC</stp>
        <stp>.SPY201120C360</stp>
        <tr r="R625" s="1"/>
      </tp>
      <tp>
        <v>3.5</v>
        <stp/>
        <stp>INTRINSIC</stp>
        <stp>.SPY201118P357</stp>
        <tr r="R600" s="1"/>
      </tp>
      <tp>
        <v>0</v>
        <stp/>
        <stp>INTRINSIC</stp>
        <stp>.SPY201118C357</stp>
        <tr r="R599" s="1"/>
      </tp>
      <tp>
        <v>2.5</v>
        <stp/>
        <stp>INTRINSIC</stp>
        <stp>.SPY201118P356</stp>
        <tr r="R598" s="1"/>
      </tp>
      <tp>
        <v>0</v>
        <stp/>
        <stp>INTRINSIC</stp>
        <stp>.SPY201118C356</stp>
        <tr r="R597" s="1"/>
      </tp>
      <tp>
        <v>1.5</v>
        <stp/>
        <stp>INTRINSIC</stp>
        <stp>.SPY201118P355</stp>
        <tr r="R596" s="1"/>
      </tp>
      <tp>
        <v>0</v>
        <stp/>
        <stp>INTRINSIC</stp>
        <stp>.SPY201118C355</stp>
        <tr r="R595" s="1"/>
      </tp>
      <tp>
        <v>0.5</v>
        <stp/>
        <stp>INTRINSIC</stp>
        <stp>.SPY201118P354</stp>
        <tr r="R594" s="1"/>
      </tp>
      <tp>
        <v>0</v>
        <stp/>
        <stp>INTRINSIC</stp>
        <stp>.SPY201118C354</stp>
        <tr r="R593" s="1"/>
      </tp>
      <tp>
        <v>0</v>
        <stp/>
        <stp>INTRINSIC</stp>
        <stp>.SPY201118P353</stp>
        <tr r="R592" s="1"/>
      </tp>
      <tp>
        <v>0.5</v>
        <stp/>
        <stp>INTRINSIC</stp>
        <stp>.SPY201118C353</stp>
        <tr r="R591" s="1"/>
      </tp>
      <tp t="s">
        <v>N/A</v>
        <stp/>
        <stp>STRIKE</stp>
        <stp>.SRVR201120P35</stp>
        <tr r="W639" s="1"/>
      </tp>
      <tp t="s">
        <v>N/A</v>
        <stp/>
        <stp>STRIKE</stp>
        <stp>.SRVR201120P36</stp>
        <tr r="W641" s="1"/>
      </tp>
      <tp t="s">
        <v>N/A</v>
        <stp/>
        <stp>EXTRINSIC</stp>
        <stp>.IWM201120P175</stp>
        <tr r="S359" s="1"/>
      </tp>
      <tp t="s">
        <v>N/A</v>
        <stp/>
        <stp>EXTRINSIC</stp>
        <stp>.IWM201120C175</stp>
        <tr r="S358" s="1"/>
      </tp>
      <tp t="s">
        <v>N/A</v>
        <stp/>
        <stp>EXTRINSIC</stp>
        <stp>.IWM201120P174</stp>
        <tr r="S357" s="1"/>
      </tp>
      <tp t="s">
        <v>N/A</v>
        <stp/>
        <stp>EXTRINSIC</stp>
        <stp>.IWM201120C174</stp>
        <tr r="S356" s="1"/>
      </tp>
      <tp t="s">
        <v>N/A</v>
        <stp/>
        <stp>EXTRINSIC</stp>
        <stp>.IWM201120P171</stp>
        <tr r="S349" s="1"/>
      </tp>
      <tp t="s">
        <v>N/A</v>
        <stp/>
        <stp>EXTRINSIC</stp>
        <stp>.IWM201120C171</stp>
        <tr r="S348" s="1"/>
      </tp>
      <tp t="s">
        <v>N/A</v>
        <stp/>
        <stp>EXTRINSIC</stp>
        <stp>.IWM201120P170</stp>
        <tr r="S347" s="1"/>
      </tp>
      <tp t="s">
        <v>N/A</v>
        <stp/>
        <stp>EXTRINSIC</stp>
        <stp>.IWM201120C170</stp>
        <tr r="S346" s="1"/>
      </tp>
      <tp t="s">
        <v>N/A</v>
        <stp/>
        <stp>EXTRINSIC</stp>
        <stp>.IWM201120P173</stp>
        <tr r="S355" s="1"/>
      </tp>
      <tp t="s">
        <v>N/A</v>
        <stp/>
        <stp>EXTRINSIC</stp>
        <stp>.IWM201120C173</stp>
        <tr r="S354" s="1"/>
      </tp>
      <tp t="s">
        <v>N/A</v>
        <stp/>
        <stp>EXTRINSIC</stp>
        <stp>.IWM201120P172</stp>
        <tr r="S351" s="1"/>
      </tp>
      <tp t="s">
        <v>N/A</v>
        <stp/>
        <stp>EXTRINSIC</stp>
        <stp>.IWM201120C172</stp>
        <tr r="S350" s="1"/>
      </tp>
      <tp>
        <v>0.71</v>
        <stp/>
        <stp>BID</stp>
        <stp>.HYG201120P85.5</stp>
        <tr r="H222" s="1"/>
      </tp>
      <tp t="s">
        <v>N/A</v>
        <stp/>
        <stp>VOLUME</stp>
        <stp>.SCHD201120P62</stp>
        <tr r="F524" s="1"/>
      </tp>
      <tp t="s">
        <v>N/A</v>
        <stp/>
        <stp>VOLUME</stp>
        <stp>.SCHD201120P61</stp>
        <tr r="F522" s="1"/>
      </tp>
      <tp t="s">
        <v>N/A</v>
        <stp/>
        <stp>INTRINSIC</stp>
        <stp>.MDY201120C380</stp>
        <tr r="R415" s="1"/>
      </tp>
      <tp t="s">
        <v>N/A</v>
        <stp/>
        <stp>INTRINSIC</stp>
        <stp>.MDY201120P380</stp>
        <tr r="R416" s="1"/>
      </tp>
      <tp t="s">
        <v>N/A</v>
        <stp/>
        <stp>INTRINSIC</stp>
        <stp>.MDY201120C385</stp>
        <tr r="R419" s="1"/>
      </tp>
      <tp t="s">
        <v>N/A</v>
        <stp/>
        <stp>INTRINSIC</stp>
        <stp>.MDY201120P385</stp>
        <tr r="R420" s="1"/>
      </tp>
      <tp>
        <v>0.39</v>
        <stp/>
        <stp>BID</stp>
        <stp>.HYG201120C85.5</stp>
        <tr r="H221" s="1"/>
      </tp>
      <tp t="s">
        <v>N/A</v>
        <stp/>
        <stp>BID</stp>
        <stp>.IYR201120P85.5</stp>
        <tr r="H374" s="1"/>
      </tp>
      <tp t="s">
        <v>N/A</v>
        <stp/>
        <stp>BID</stp>
        <stp>.ITB201120P55.5</stp>
        <tr r="H294" s="1"/>
      </tp>
      <tp t="s">
        <v>N/A</v>
        <stp/>
        <stp>ASK</stp>
        <stp>.SHY201120C86.5</stp>
        <tr r="I546" s="1"/>
      </tp>
      <tp t="s">
        <v>N/A</v>
        <stp/>
        <stp>BID</stp>
        <stp>.IYR201120C85.5</stp>
        <tr r="H373" s="1"/>
      </tp>
      <tp>
        <v>0.65</v>
        <stp/>
        <stp>BID</stp>
        <stp>.ITB201120C55.5</stp>
        <tr r="H293" s="1"/>
      </tp>
      <tp t="s">
        <v>N/A</v>
        <stp/>
        <stp>ASK</stp>
        <stp>.SHY201120P86.5</stp>
        <tr r="I547" s="1"/>
      </tp>
      <tp>
        <v>9</v>
        <stp/>
        <stp>VOLUME</stp>
        <stp>.MCHI201120P80</stp>
        <tr r="F413" s="1"/>
      </tp>
      <tp>
        <v>0.6</v>
        <stp/>
        <stp>ASK</stp>
        <stp>.VWO201120P46.5</stp>
        <tr r="I750" s="1"/>
      </tp>
      <tp>
        <v>0.6</v>
        <stp/>
        <stp>ASK</stp>
        <stp>.VWO201120C46.5</stp>
        <tr r="I749" s="1"/>
      </tp>
      <tp t="s">
        <v>N/A</v>
        <stp/>
        <stp>VOLUME</stp>
        <stp>.SPHD201120P36</stp>
        <tr r="F583" s="1"/>
      </tp>
      <tp t="s">
        <v>N/A</v>
        <stp/>
        <stp>VOLUME</stp>
        <stp>.SCHE201120P29</stp>
        <tr r="F527" s="1"/>
      </tp>
      <tp t="s">
        <v>N/A</v>
        <stp/>
        <stp>ASK</stp>
        <stp>.TAN201120C76.5</stp>
        <tr r="I676" s="1"/>
      </tp>
      <tp t="s">
        <v>N/A</v>
        <stp/>
        <stp>ASK</stp>
        <stp>.TAN201120P76.5</stp>
        <tr r="I677" s="1"/>
      </tp>
      <tp t="s">
        <v>N/A</v>
        <stp/>
        <stp>VOLUME</stp>
        <stp>.SCHF201120P34</stp>
        <tr r="F530" s="1"/>
      </tp>
      <tp>
        <v>2.85</v>
        <stp/>
        <stp>ASK</stp>
        <stp>.TAN201120P74</stp>
        <tr r="I667" s="1"/>
      </tp>
      <tp>
        <v>3.5</v>
        <stp/>
        <stp>ASK</stp>
        <stp>.TAN201120P75</stp>
        <tr r="I671" s="1"/>
      </tp>
      <tp>
        <v>4.3</v>
        <stp/>
        <stp>ASK</stp>
        <stp>.TAN201120P76</stp>
        <tr r="I675" s="1"/>
      </tp>
      <tp>
        <v>5</v>
        <stp/>
        <stp>ASK</stp>
        <stp>.TAN201120P77</stp>
        <tr r="I679" s="1"/>
      </tp>
      <tp>
        <v>2.4</v>
        <stp/>
        <stp>ASK</stp>
        <stp>.TAN201120P73</stp>
        <tr r="I663" s="1"/>
      </tp>
      <tp t="s">
        <v>N/A</v>
        <stp/>
        <stp>RHO</stp>
        <stp>.EEM201120P48</stp>
        <tr r="Q98" s="1"/>
      </tp>
      <tp>
        <v>0</v>
        <stp/>
        <stp>LOW</stp>
        <stp>.VTI201120P184</stp>
        <tr r="K747" s="1"/>
      </tp>
      <tp t="s">
        <v>N/A</v>
        <stp/>
        <stp>LOW</stp>
        <stp>.VTI201120C184</stp>
        <tr r="K746" s="1"/>
      </tp>
      <tp t="s">
        <v>N/A</v>
        <stp/>
        <stp>LOW</stp>
        <stp>.VTI201120P182</stp>
        <tr r="K743" s="1"/>
      </tp>
      <tp t="s">
        <v>N/A</v>
        <stp/>
        <stp>LOW</stp>
        <stp>.VTI201120C182</stp>
        <tr r="K742" s="1"/>
      </tp>
      <tp t="s">
        <v>N/A</v>
        <stp/>
        <stp>LOW</stp>
        <stp>.VTI201120P183</stp>
        <tr r="K745" s="1"/>
      </tp>
      <tp t="s">
        <v>N/A</v>
        <stp/>
        <stp>LOW</stp>
        <stp>.VTI201120C183</stp>
        <tr r="K744" s="1"/>
      </tp>
      <tp t="s">
        <v>N/A</v>
        <stp/>
        <stp>LOW</stp>
        <stp>.VTI201120P181</stp>
        <tr r="K741" s="1"/>
      </tp>
      <tp t="s">
        <v>N/A</v>
        <stp/>
        <stp>LOW</stp>
        <stp>.VTI201120C181</stp>
        <tr r="K740" s="1"/>
      </tp>
      <tp>
        <v>2.41</v>
        <stp/>
        <stp>BID</stp>
        <stp>.XBI201120P124</stp>
        <tr r="H773" s="1"/>
      </tp>
      <tp>
        <v>2.08</v>
        <stp/>
        <stp>BID</stp>
        <stp>.XBI201120C124</stp>
        <tr r="H772" s="1"/>
      </tp>
      <tp>
        <v>3</v>
        <stp/>
        <stp>BID</stp>
        <stp>.XBI201120P125</stp>
        <tr r="H777" s="1"/>
      </tp>
      <tp>
        <v>1.68</v>
        <stp/>
        <stp>BID</stp>
        <stp>.XBI201120C125</stp>
        <tr r="H776" s="1"/>
      </tp>
      <tp>
        <v>1.65</v>
        <stp/>
        <stp>BID</stp>
        <stp>.XBI201120P122</stp>
        <tr r="H765" s="1"/>
      </tp>
      <tp>
        <v>3.25</v>
        <stp/>
        <stp>BID</stp>
        <stp>.XBI201120C122</stp>
        <tr r="H764" s="1"/>
      </tp>
      <tp>
        <v>2.0099999999999998</v>
        <stp/>
        <stp>BID</stp>
        <stp>.XBI201120P123</stp>
        <tr r="H769" s="1"/>
      </tp>
      <tp>
        <v>2.57</v>
        <stp/>
        <stp>BID</stp>
        <stp>.XBI201120C123</stp>
        <tr r="H768" s="1"/>
      </tp>
      <tp>
        <v>2.79</v>
        <stp/>
        <stp>ASK</stp>
        <stp>.XBI201120P124</stp>
        <tr r="I773" s="1"/>
      </tp>
      <tp>
        <v>2.31</v>
        <stp/>
        <stp>ASK</stp>
        <stp>.XBI201120C124</stp>
        <tr r="I772" s="1"/>
      </tp>
      <tp>
        <v>3.3</v>
        <stp/>
        <stp>ASK</stp>
        <stp>.XBI201120P125</stp>
        <tr r="I777" s="1"/>
      </tp>
      <tp>
        <v>1.84</v>
        <stp/>
        <stp>ASK</stp>
        <stp>.XBI201120C125</stp>
        <tr r="I776" s="1"/>
      </tp>
      <tp>
        <v>1.86</v>
        <stp/>
        <stp>ASK</stp>
        <stp>.XBI201120P122</stp>
        <tr r="I765" s="1"/>
      </tp>
      <tp>
        <v>3.5</v>
        <stp/>
        <stp>ASK</stp>
        <stp>.XBI201120C122</stp>
        <tr r="I764" s="1"/>
      </tp>
      <tp>
        <v>2.33</v>
        <stp/>
        <stp>ASK</stp>
        <stp>.XBI201120P123</stp>
        <tr r="I769" s="1"/>
      </tp>
      <tp>
        <v>2.84</v>
        <stp/>
        <stp>ASK</stp>
        <stp>.XBI201120C123</stp>
        <tr r="I768" s="1"/>
      </tp>
      <tp>
        <v>5</v>
        <stp/>
        <stp>ASK</stp>
        <stp>.KRE201120C46</stp>
        <tr r="I389" s="1"/>
      </tp>
      <tp>
        <v>1.2</v>
        <stp/>
        <stp>ASK</stp>
        <stp>.KRE201120C47</stp>
        <tr r="I393" s="1"/>
      </tp>
      <tp>
        <v>2.76</v>
        <stp/>
        <stp>LOW</stp>
        <stp>.XBI201120C122</stp>
        <tr r="K764" s="1"/>
      </tp>
      <tp>
        <v>1.17</v>
        <stp/>
        <stp>LOW</stp>
        <stp>.XBI201120P122</stp>
        <tr r="K765" s="1"/>
      </tp>
      <tp>
        <v>2.34</v>
        <stp/>
        <stp>LOW</stp>
        <stp>.XBI201120C123</stp>
        <tr r="K768" s="1"/>
      </tp>
      <tp>
        <v>1.5</v>
        <stp/>
        <stp>LOW</stp>
        <stp>.XBI201120P123</stp>
        <tr r="K769" s="1"/>
      </tp>
      <tp>
        <v>1.95</v>
        <stp/>
        <stp>LOW</stp>
        <stp>.XBI201120C124</stp>
        <tr r="K772" s="1"/>
      </tp>
      <tp>
        <v>1.84</v>
        <stp/>
        <stp>LOW</stp>
        <stp>.XBI201120P124</stp>
        <tr r="K773" s="1"/>
      </tp>
      <tp>
        <v>1.44</v>
        <stp/>
        <stp>LOW</stp>
        <stp>.XBI201120C125</stp>
        <tr r="K776" s="1"/>
      </tp>
      <tp>
        <v>2.23</v>
        <stp/>
        <stp>LOW</stp>
        <stp>.XBI201120P125</stp>
        <tr r="K777" s="1"/>
      </tp>
      <tp t="s">
        <v>N/A</v>
        <stp/>
        <stp>ASK</stp>
        <stp>.VTI201120C182</stp>
        <tr r="I742" s="1"/>
      </tp>
      <tp t="s">
        <v>N/A</v>
        <stp/>
        <stp>ASK</stp>
        <stp>.VTI201120P182</stp>
        <tr r="I743" s="1"/>
      </tp>
      <tp t="s">
        <v>N/A</v>
        <stp/>
        <stp>ASK</stp>
        <stp>.VTI201120C183</stp>
        <tr r="I744" s="1"/>
      </tp>
      <tp t="s">
        <v>N/A</v>
        <stp/>
        <stp>ASK</stp>
        <stp>.VTI201120P183</stp>
        <tr r="I745" s="1"/>
      </tp>
      <tp t="s">
        <v>N/A</v>
        <stp/>
        <stp>ASK</stp>
        <stp>.VTI201120C181</stp>
        <tr r="I740" s="1"/>
      </tp>
      <tp t="s">
        <v>N/A</v>
        <stp/>
        <stp>ASK</stp>
        <stp>.VTI201120P181</stp>
        <tr r="I741" s="1"/>
      </tp>
      <tp t="s">
        <v>N/A</v>
        <stp/>
        <stp>ASK</stp>
        <stp>.VTI201120C184</stp>
        <tr r="I746" s="1"/>
      </tp>
      <tp>
        <v>4.4000000000000004</v>
        <stp/>
        <stp>ASK</stp>
        <stp>.VTI201120P184</stp>
        <tr r="I747" s="1"/>
      </tp>
      <tp t="s">
        <v>N/A</v>
        <stp/>
        <stp>RHO</stp>
        <stp>.VEA201120P44</stp>
        <tr r="Q709" s="1"/>
      </tp>
      <tp t="s">
        <v>N/A</v>
        <stp/>
        <stp>RHO</stp>
        <stp>.FVD201120C35</stp>
        <tr r="Q186" s="1"/>
      </tp>
      <tp t="s">
        <v>N/A</v>
        <stp/>
        <stp>STRIKE</stp>
        <stp>NAIL</stp>
        <tr r="W438" s="1"/>
      </tp>
      <tp t="s">
        <v>N/A</v>
        <stp/>
        <stp>BID</stp>
        <stp>.VTI201120C181</stp>
        <tr r="H740" s="1"/>
      </tp>
      <tp t="s">
        <v>N/A</v>
        <stp/>
        <stp>BID</stp>
        <stp>.VTI201120P181</stp>
        <tr r="H741" s="1"/>
      </tp>
      <tp t="s">
        <v>N/A</v>
        <stp/>
        <stp>BID</stp>
        <stp>.VTI201120C182</stp>
        <tr r="H742" s="1"/>
      </tp>
      <tp t="s">
        <v>N/A</v>
        <stp/>
        <stp>BID</stp>
        <stp>.VTI201120P182</stp>
        <tr r="H743" s="1"/>
      </tp>
      <tp t="s">
        <v>N/A</v>
        <stp/>
        <stp>BID</stp>
        <stp>.VTI201120C183</stp>
        <tr r="H744" s="1"/>
      </tp>
      <tp t="s">
        <v>N/A</v>
        <stp/>
        <stp>BID</stp>
        <stp>.VTI201120P183</stp>
        <tr r="H745" s="1"/>
      </tp>
      <tp t="s">
        <v>N/A</v>
        <stp/>
        <stp>BID</stp>
        <stp>.VTI201120C184</stp>
        <tr r="H746" s="1"/>
      </tp>
      <tp>
        <v>3.9</v>
        <stp/>
        <stp>BID</stp>
        <stp>.VTI201120P184</stp>
        <tr r="H747" s="1"/>
      </tp>
      <tp t="s">
        <v>N/A</v>
        <stp/>
        <stp>DESCRIPTION</stp>
        <stp>.PGX201120P15</stp>
        <tr r="B456" s="1"/>
      </tp>
      <tp t="s">
        <v>N/A</v>
        <stp/>
        <stp>BID</stp>
        <stp>.VNQ201120P85</stp>
        <tr r="H728" s="1"/>
      </tp>
      <tp t="s">
        <v>N/A</v>
        <stp/>
        <stp>BID</stp>
        <stp>.VNQ201120P84</stp>
        <tr r="H726" s="1"/>
      </tp>
      <tp t="s">
        <v>N/A</v>
        <stp/>
        <stp>LOW</stp>
        <stp>.VNQ201120C85</stp>
        <tr r="K727" s="1"/>
      </tp>
      <tp>
        <v>0.7</v>
        <stp/>
        <stp>LOW</stp>
        <stp>.VNQ201120C84</stp>
        <tr r="K725" s="1"/>
      </tp>
      <tp t="s">
        <v>N/A</v>
        <stp/>
        <stp>DESCRIPTION</stp>
        <stp>.ITB201120C56</stp>
        <tr r="B295" s="1"/>
      </tp>
      <tp t="s">
        <v>N/A</v>
        <stp/>
        <stp>DESCRIPTION</stp>
        <stp>.ITB201120C55</stp>
        <tr r="B291" s="1"/>
      </tp>
      <tp t="s">
        <v>N/A</v>
        <stp/>
        <stp>RHO</stp>
        <stp>.XBI201120P125</stp>
        <tr r="Q777" s="1"/>
      </tp>
      <tp t="s">
        <v>N/A</v>
        <stp/>
        <stp>RHO</stp>
        <stp>.XBI201120C125</stp>
        <tr r="Q776" s="1"/>
      </tp>
      <tp t="s">
        <v>N/A</v>
        <stp/>
        <stp>RHO</stp>
        <stp>.XBI201120P124</stp>
        <tr r="Q773" s="1"/>
      </tp>
      <tp t="s">
        <v>N/A</v>
        <stp/>
        <stp>RHO</stp>
        <stp>.XBI201120C124</stp>
        <tr r="Q772" s="1"/>
      </tp>
      <tp t="s">
        <v>N/A</v>
        <stp/>
        <stp>RHO</stp>
        <stp>.XBI201120P123</stp>
        <tr r="Q769" s="1"/>
      </tp>
      <tp t="s">
        <v>N/A</v>
        <stp/>
        <stp>RHO</stp>
        <stp>.XBI201120C123</stp>
        <tr r="Q768" s="1"/>
      </tp>
      <tp t="s">
        <v>N/A</v>
        <stp/>
        <stp>RHO</stp>
        <stp>.XBI201120P122</stp>
        <tr r="Q765" s="1"/>
      </tp>
      <tp t="s">
        <v>N/A</v>
        <stp/>
        <stp>RHO</stp>
        <stp>.XBI201120C122</stp>
        <tr r="Q764" s="1"/>
      </tp>
      <tp t="s">
        <v>N/A</v>
        <stp/>
        <stp>RHO</stp>
        <stp>.FEZ201120P40</stp>
        <tr r="Q184" s="1"/>
      </tp>
      <tp t="s">
        <v>N/A</v>
        <stp/>
        <stp>ASK</stp>
        <stp>.XRT201120C54</stp>
        <tr r="I903" s="1"/>
      </tp>
      <tp t="s">
        <v>N/A</v>
        <stp/>
        <stp>ASK</stp>
        <stp>.XRT201120C55</stp>
        <tr r="I907" s="1"/>
      </tp>
      <tp t="s">
        <v>N/A</v>
        <stp/>
        <stp>DESCRIPTION</stp>
        <stp>.VGK201120P57</stp>
        <tr r="B723" s="1"/>
      </tp>
      <tp t="s">
        <v>N/A</v>
        <stp/>
        <stp>RHO</stp>
        <stp>.VEU201120P55</stp>
        <tr r="Q712" s="1"/>
      </tp>
      <tp t="s">
        <v>N/A</v>
        <stp/>
        <stp>RHO</stp>
        <stp>.DVY201120C93</stp>
        <tr r="Q89" s="1"/>
      </tp>
      <tp t="s">
        <v>N/A</v>
        <stp/>
        <stp>RHO</stp>
        <stp>.DVY201120C92</stp>
        <tr r="Q87" s="1"/>
      </tp>
      <tp t="s">
        <v>N/A</v>
        <stp/>
        <stp>RHO</stp>
        <stp>.DVY201120C91</stp>
        <tr r="Q85" s="1"/>
      </tp>
      <tp t="s">
        <v>N/A</v>
        <stp/>
        <stp>DESCRIPTION</stp>
        <stp>.XLV201120P110</stp>
        <tr r="B858" s="1"/>
      </tp>
      <tp t="s">
        <v>N/A</v>
        <stp/>
        <stp>DESCRIPTION</stp>
        <stp>.XLV201120C110</stp>
        <tr r="B857" s="1"/>
      </tp>
      <tp t="s">
        <v>N/A</v>
        <stp/>
        <stp>DESCRIPTION</stp>
        <stp>.XLV201120P111</stp>
        <tr r="B862" s="1"/>
      </tp>
      <tp t="s">
        <v>N/A</v>
        <stp/>
        <stp>DESCRIPTION</stp>
        <stp>.XLV201120C111</stp>
        <tr r="B861" s="1"/>
      </tp>
      <tp t="s">
        <v>N/A</v>
        <stp/>
        <stp>DESCRIPTION</stp>
        <stp>.XLV201120P112</stp>
        <tr r="B866" s="1"/>
      </tp>
      <tp t="s">
        <v>N/A</v>
        <stp/>
        <stp>DESCRIPTION</stp>
        <stp>.XLV201120C112</stp>
        <tr r="B865" s="1"/>
      </tp>
      <tp t="s">
        <v>N/A</v>
        <stp/>
        <stp>STRIKE</stp>
        <stp>AAXJ</stp>
        <tr r="W2" s="1"/>
      </tp>
      <tp t="s">
        <v>N/A</v>
        <stp/>
        <stp>RHO</stp>
        <stp>.VTI201120C181</stp>
        <tr r="Q740" s="1"/>
      </tp>
      <tp t="s">
        <v>N/A</v>
        <stp/>
        <stp>RHO</stp>
        <stp>.VTI201120P181</stp>
        <tr r="Q741" s="1"/>
      </tp>
      <tp t="s">
        <v>N/A</v>
        <stp/>
        <stp>RHO</stp>
        <stp>.VTI201120C183</stp>
        <tr r="Q744" s="1"/>
      </tp>
      <tp t="s">
        <v>N/A</v>
        <stp/>
        <stp>RHO</stp>
        <stp>.VTI201120P183</stp>
        <tr r="Q745" s="1"/>
      </tp>
      <tp t="s">
        <v>N/A</v>
        <stp/>
        <stp>RHO</stp>
        <stp>.VTI201120C182</stp>
        <tr r="Q742" s="1"/>
      </tp>
      <tp t="s">
        <v>N/A</v>
        <stp/>
        <stp>RHO</stp>
        <stp>.VTI201120P182</stp>
        <tr r="Q743" s="1"/>
      </tp>
      <tp t="s">
        <v>N/A</v>
        <stp/>
        <stp>RHO</stp>
        <stp>.VTI201120C184</stp>
        <tr r="Q746" s="1"/>
      </tp>
      <tp t="s">
        <v>N/A</v>
        <stp/>
        <stp>RHO</stp>
        <stp>.VTI201120P184</stp>
        <tr r="Q747" s="1"/>
      </tp>
      <tp t="s">
        <v>N/A</v>
        <stp/>
        <stp>IMPL_VOL</stp>
        <stp>.GDXJ201120C53.5</stp>
        <tr r="D209" s="1"/>
      </tp>
      <tp t="s">
        <v>N/A</v>
        <stp/>
        <stp>IMPL_VOL</stp>
        <stp>.GDXJ201120P53.5</stp>
        <tr r="D210" s="1"/>
      </tp>
      <tp>
        <v>0</v>
        <stp/>
        <stp>VOLUME</stp>
        <stp>.FEZ201120P39.5</stp>
        <tr r="F182" s="1"/>
      </tp>
      <tp t="s">
        <v>N/A</v>
        <stp/>
        <stp>VOLUME</stp>
        <stp>.FEZ201120C39.5</stp>
        <tr r="F181" s="1"/>
      </tp>
      <tp t="s">
        <v>N/A</v>
        <stp/>
        <stp>VOLUME</stp>
        <stp>.EWW201120C39.5</stp>
        <tr r="F159" s="1"/>
      </tp>
      <tp t="s">
        <v>N/A</v>
        <stp/>
        <stp>VOLUME</stp>
        <stp>.EFA201120P69.5</stp>
        <tr r="F105" s="1"/>
      </tp>
      <tp t="s">
        <v>N/A</v>
        <stp/>
        <stp>VOLUME</stp>
        <stp>.EFA201120C69.5</stp>
        <tr r="F104" s="1"/>
      </tp>
      <tp t="s">
        <v>N/A</v>
        <stp/>
        <stp>VOLUME</stp>
        <stp>.EWW201120P39.5</stp>
        <tr r="F160" s="1"/>
      </tp>
      <tp t="s">
        <v>N/A</v>
        <stp/>
        <stp>PROB_OTM</stp>
        <stp>HYG</stp>
        <tr r="U220" s="1"/>
      </tp>
      <tp>
        <v>0</v>
        <stp/>
        <stp>OPEN_INT</stp>
        <stp>LQD</stp>
        <tr r="G404" s="1"/>
      </tp>
      <tp t="s">
        <v>N/A</v>
        <stp/>
        <stp>VOLUME</stp>
        <stp>.XLB201120P69.5</stp>
        <tr r="F793" s="1"/>
      </tp>
      <tp>
        <v>10</v>
        <stp/>
        <stp>VOLUME</stp>
        <stp>.XOP201120P49.5</stp>
        <tr r="F901" s="1"/>
      </tp>
      <tp t="s">
        <v>N/A</v>
        <stp/>
        <stp>VOLUME</stp>
        <stp>.XOP201120C49.5</stp>
        <tr r="F900" s="1"/>
      </tp>
      <tp>
        <v>0</v>
        <stp/>
        <stp>VOLUME</stp>
        <stp>.XLB201120C69.5</stp>
        <tr r="F792" s="1"/>
      </tp>
      <tp t="s">
        <v>N/A</v>
        <stp/>
        <stp>PROB_OF_TOUCHING</stp>
        <stp>.LQD201120C134.5</stp>
        <tr r="V405" s="1"/>
      </tp>
      <tp t="s">
        <v>N/A</v>
        <stp/>
        <stp>PROB_OF_TOUCHING</stp>
        <stp>.IBB201120P141.5</stp>
        <tr r="V244" s="1"/>
      </tp>
      <tp>
        <v>134</v>
        <stp/>
        <stp>OPEN_INT</stp>
        <stp>.XLK201120C119.5</stp>
        <tr r="G825" s="1"/>
      </tp>
      <tp>
        <v>368</v>
        <stp/>
        <stp>OPEN_INT</stp>
        <stp>.TLT201120C155.5</stp>
        <tr r="G692" s="1"/>
      </tp>
      <tp t="s">
        <v>N/A</v>
        <stp/>
        <stp>HIGH</stp>
        <stp>.EWY201120P73.5</stp>
        <tr r="J171" s="1"/>
      </tp>
      <tp t="s">
        <v>N/A</v>
        <stp/>
        <stp>HIGH</stp>
        <stp>.EWJ201120P63.5</stp>
        <tr r="J139" s="1"/>
      </tp>
      <tp t="s">
        <v>N/A</v>
        <stp/>
        <stp>HIGH</stp>
        <stp>.EWY201120C73.5</stp>
        <tr r="J170" s="1"/>
      </tp>
      <tp>
        <v>0.41</v>
        <stp/>
        <stp>HIGH</stp>
        <stp>.EWJ201120C63.5</stp>
        <tr r="J138" s="1"/>
      </tp>
      <tp>
        <v>60</v>
        <stp/>
        <stp>OPEN_INT</stp>
        <stp>.SMH201120C192.5</stp>
        <tr r="G552" s="1"/>
      </tp>
      <tp>
        <v>2533</v>
        <stp/>
        <stp>OPEN_INT</stp>
        <stp>.SPY201120P352.5</stp>
        <tr r="G608" s="1"/>
      </tp>
      <tp t="s">
        <v>N/A</v>
        <stp/>
        <stp>PROB_OTM</stp>
        <stp>.IBB201120P138.5</stp>
        <tr r="U232" s="1"/>
      </tp>
      <tp t="s">
        <v>N/A</v>
        <stp/>
        <stp>PROB_OF_TOUCHING</stp>
        <stp>.IVE201120C122</stp>
        <tr r="V305" s="1"/>
      </tp>
      <tp t="s">
        <v>N/A</v>
        <stp/>
        <stp>PROB_OF_TOUCHING</stp>
        <stp>.IVE201120P122</stp>
        <tr r="V306" s="1"/>
      </tp>
      <tp t="s">
        <v>N/A</v>
        <stp/>
        <stp>PROB_OF_TOUCHING</stp>
        <stp>.IVE201120C123</stp>
        <tr r="V307" s="1"/>
      </tp>
      <tp t="s">
        <v>N/A</v>
        <stp/>
        <stp>PROB_OF_TOUCHING</stp>
        <stp>.IVE201120P123</stp>
        <tr r="V308" s="1"/>
      </tp>
      <tp t="s">
        <v>N/A</v>
        <stp/>
        <stp>PROB_OF_TOUCHING</stp>
        <stp>.IVE201120C121</stp>
        <tr r="V303" s="1"/>
      </tp>
      <tp t="s">
        <v>N/A</v>
        <stp/>
        <stp>PROB_OF_TOUCHING</stp>
        <stp>.IVE201120P121</stp>
        <tr r="V304" s="1"/>
      </tp>
      <tp t="s">
        <v>N/A</v>
        <stp/>
        <stp>PROB_OF_TOUCHING</stp>
        <stp>.IWF201120C225</stp>
        <tr r="V341" s="1"/>
      </tp>
      <tp t="s">
        <v>N/A</v>
        <stp/>
        <stp>PROB_OF_TOUCHING</stp>
        <stp>.IWF201120P225</stp>
        <tr r="V342" s="1"/>
      </tp>
      <tp t="s">
        <v>N/A</v>
        <stp/>
        <stp>EXTRINSIC</stp>
        <stp>KWEB</stp>
        <tr r="S397" s="1"/>
      </tp>
      <tp t="s">
        <v>N/A</v>
        <stp/>
        <stp>PROB_OTM</stp>
        <stp>.XLY201120P152</stp>
        <tr r="U871" s="1"/>
      </tp>
      <tp t="s">
        <v>N/A</v>
        <stp/>
        <stp>PROB_OTM</stp>
        <stp>.XLY201120C152</stp>
        <tr r="U870" s="1"/>
      </tp>
      <tp t="s">
        <v>N/A</v>
        <stp/>
        <stp>PROB_OTM</stp>
        <stp>.XLY201120P153</stp>
        <tr r="U875" s="1"/>
      </tp>
      <tp t="s">
        <v>N/A</v>
        <stp/>
        <stp>PROB_OTM</stp>
        <stp>.XLY201120C153</stp>
        <tr r="U874" s="1"/>
      </tp>
      <tp t="s">
        <v>N/A</v>
        <stp/>
        <stp>PROB_OTM</stp>
        <stp>.XLY201120P154</stp>
        <tr r="U879" s="1"/>
      </tp>
      <tp t="s">
        <v>N/A</v>
        <stp/>
        <stp>PROB_OTM</stp>
        <stp>.XLY201120C154</stp>
        <tr r="U878" s="1"/>
      </tp>
      <tp t="s">
        <v>N/A</v>
        <stp/>
        <stp>PROB_OTM</stp>
        <stp>.XLY201120P155</stp>
        <tr r="U883" s="1"/>
      </tp>
      <tp t="s">
        <v>N/A</v>
        <stp/>
        <stp>PROB_OTM</stp>
        <stp>.XLY201120C155</stp>
        <tr r="U882" s="1"/>
      </tp>
      <tp t="s">
        <v>N/A</v>
        <stp/>
        <stp>PROB_OF_TOUCHING</stp>
        <stp>.LQD201120P134.5</stp>
        <tr r="V406" s="1"/>
      </tp>
      <tp t="s">
        <v>N/A</v>
        <stp/>
        <stp>PROB_OF_TOUCHING</stp>
        <stp>.IBB201120C141.5</stp>
        <tr r="V243" s="1"/>
      </tp>
      <tp t="s">
        <v>N/A</v>
        <stp/>
        <stp>HIGH</stp>
        <stp>.SDS201120C13.5</stp>
        <tr r="J538" s="1"/>
      </tp>
      <tp t="s">
        <v>N/A</v>
        <stp/>
        <stp>HIGH</stp>
        <stp>.SSO201120P83.5</stp>
        <tr r="J654" s="1"/>
      </tp>
      <tp t="s">
        <v>N/A</v>
        <stp/>
        <stp>HIGH</stp>
        <stp>.SDS201120P13.5</stp>
        <tr r="J539" s="1"/>
      </tp>
      <tp t="s">
        <v>N/A</v>
        <stp/>
        <stp>HIGH</stp>
        <stp>.SSO201120C83.5</stp>
        <tr r="J653" s="1"/>
      </tp>
      <tp t="s">
        <v>N/A</v>
        <stp/>
        <stp>HIGH</stp>
        <stp>.TAN201120C73.5</stp>
        <tr r="J664" s="1"/>
      </tp>
      <tp t="s">
        <v>N/A</v>
        <stp/>
        <stp>HIGH</stp>
        <stp>.TAN201120P73.5</stp>
        <tr r="J665" s="1"/>
      </tp>
      <tp>
        <v>32</v>
        <stp/>
        <stp>OPEN_INT</stp>
        <stp>.SMH201120P192.5</stp>
        <tr r="G553" s="1"/>
      </tp>
      <tp>
        <v>266</v>
        <stp/>
        <stp>OPEN_INT</stp>
        <stp>.XLK201120P119.5</stp>
        <tr r="G826" s="1"/>
      </tp>
      <tp>
        <v>1038</v>
        <stp/>
        <stp>OPEN_INT</stp>
        <stp>.TLT201120P155.5</stp>
        <tr r="G693" s="1"/>
      </tp>
      <tp t="s">
        <v>N/A</v>
        <stp/>
        <stp>HIGH</stp>
        <stp>.XLC201120C63.5</stp>
        <tr r="J799" s="1"/>
      </tp>
      <tp>
        <v>0.84</v>
        <stp/>
        <stp>HIGH</stp>
        <stp>.XLE201120C33.5</stp>
        <tr r="J804" s="1"/>
      </tp>
      <tp>
        <v>1.03</v>
        <stp/>
        <stp>HIGH</stp>
        <stp>.XLC201120P63.5</stp>
        <tr r="J800" s="1"/>
      </tp>
      <tp>
        <v>1.47</v>
        <stp/>
        <stp>HIGH</stp>
        <stp>.XLE201120P33.5</stp>
        <tr r="J805" s="1"/>
      </tp>
      <tp>
        <v>2877</v>
        <stp/>
        <stp>OPEN_INT</stp>
        <stp>.SPY201120C352.5</stp>
        <tr r="G607" s="1"/>
      </tp>
      <tp t="s">
        <v>N/A</v>
        <stp/>
        <stp>INTRINSIC</stp>
        <stp>KWEB</stp>
        <tr r="R397" s="1"/>
      </tp>
      <tp t="s">
        <v>N/A</v>
        <stp/>
        <stp>PROB_OTM</stp>
        <stp>.IBB201120C138.5</stp>
        <tr r="U231" s="1"/>
      </tp>
      <tp>
        <v>5</v>
        <stp/>
        <stp>ASK</stp>
        <stp>.KRE201120P47.5</stp>
        <tr r="I396" s="1"/>
      </tp>
      <tp>
        <v>1.1000000000000001</v>
        <stp/>
        <stp>ASK</stp>
        <stp>.KRE201120C47.5</stp>
        <tr r="I395" s="1"/>
      </tp>
      <tp t="s">
        <v>N/A</v>
        <stp/>
        <stp>BID</stp>
        <stp>.SSO201120P84.5</stp>
        <tr r="H658" s="1"/>
      </tp>
      <tp t="s">
        <v>N/A</v>
        <stp/>
        <stp>BID</stp>
        <stp>.SSO201120C84.5</stp>
        <tr r="H657" s="1"/>
      </tp>
      <tp t="s">
        <v>N/A</v>
        <stp/>
        <stp>BID</stp>
        <stp>.TAN201120C74.5</stp>
        <tr r="H668" s="1"/>
      </tp>
      <tp t="s">
        <v>N/A</v>
        <stp/>
        <stp>BID</stp>
        <stp>.TAN201120P74.5</stp>
        <tr r="H669" s="1"/>
      </tp>
      <tp t="s">
        <v>N/A</v>
        <stp/>
        <stp>STRIKE</stp>
        <stp>.INDA201120C36</stp>
        <tr r="W281" s="1"/>
      </tp>
      <tp t="s">
        <v>N/A</v>
        <stp/>
        <stp>VOLUME</stp>
        <stp>.VCIT201120P96</stp>
        <tr r="F703" s="1"/>
      </tp>
      <tp t="s">
        <v>N/A</v>
        <stp/>
        <stp>STRIKE</stp>
        <stp>.ACWI201120P86</stp>
        <tr r="W11" s="1"/>
      </tp>
      <tp t="s">
        <v>N/A</v>
        <stp/>
        <stp>STRIKE</stp>
        <stp>.ACWI201120P85</stp>
        <tr r="W9" s="1"/>
      </tp>
      <tp t="s">
        <v>N/A</v>
        <stp/>
        <stp>BID</stp>
        <stp>.XLI201120C84.5</stp>
        <tr r="H816" s="1"/>
      </tp>
      <tp>
        <v>0.19</v>
        <stp/>
        <stp>BID</stp>
        <stp>.XLE201120C34.5</stp>
        <tr r="H808" s="1"/>
      </tp>
      <tp t="s">
        <v>N/A</v>
        <stp/>
        <stp>BID</stp>
        <stp>.XRT201120P54.5</stp>
        <tr r="H906" s="1"/>
      </tp>
      <tp t="s">
        <v>N/A</v>
        <stp/>
        <stp>BID</stp>
        <stp>.XLI201120P84.5</stp>
        <tr r="H817" s="1"/>
      </tp>
      <tp>
        <v>1.87</v>
        <stp/>
        <stp>BID</stp>
        <stp>.XLE201120P34.5</stp>
        <tr r="H809" s="1"/>
      </tp>
      <tp t="s">
        <v>N/A</v>
        <stp/>
        <stp>BID</stp>
        <stp>.XRT201120C54.5</stp>
        <tr r="H905" s="1"/>
      </tp>
      <tp t="s">
        <v>N/A</v>
        <stp/>
        <stp>VOLUME</stp>
        <stp>.VGIT201120P70</stp>
        <tr r="F720" s="1"/>
      </tp>
      <tp>
        <v>0.95</v>
        <stp/>
        <stp>ASK</stp>
        <stp>.FXI201120P47.5</stp>
        <tr r="I192" s="1"/>
      </tp>
      <tp>
        <v>0.45</v>
        <stp/>
        <stp>ASK</stp>
        <stp>.FXI201120C47.5</stp>
        <tr r="I191" s="1"/>
      </tp>
      <tp>
        <v>0.9</v>
        <stp/>
        <stp>ASK</stp>
        <stp>.GDX201120C37.5</stp>
        <tr r="I200" s="1"/>
      </tp>
      <tp>
        <v>0.9</v>
        <stp/>
        <stp>ASK</stp>
        <stp>.GDX201120P37.5</stp>
        <tr r="I201" s="1"/>
      </tp>
      <tp>
        <v>20</v>
        <stp/>
        <stp>VOLUME</stp>
        <stp>.DRIP201120P45</stp>
        <tr r="F83" s="1"/>
      </tp>
      <tp>
        <v>0.71</v>
        <stp/>
        <stp>ASK</stp>
        <stp>.EEM201120C47.5</stp>
        <tr r="I95" s="1"/>
      </tp>
      <tp>
        <v>0.53</v>
        <stp/>
        <stp>ASK</stp>
        <stp>.EEM201120P47.5</stp>
        <tr r="I96" s="1"/>
      </tp>
      <tp t="s">
        <v>N/A</v>
        <stp/>
        <stp>STRIKE</stp>
        <stp>.SPDW201120C32</stp>
        <tr r="W579" s="1"/>
      </tp>
      <tp>
        <v>1.01</v>
        <stp/>
        <stp>ASK</stp>
        <stp>.XOP201120C47.5</stp>
        <tr r="I892" s="1"/>
      </tp>
      <tp>
        <v>0</v>
        <stp/>
        <stp>VOLUME</stp>
        <stp>.NAIL201120P48</stp>
        <tr r="F448" s="1"/>
      </tp>
      <tp>
        <v>0</v>
        <stp/>
        <stp>VOLUME</stp>
        <stp>.NAIL201120P49</stp>
        <tr r="F450" s="1"/>
      </tp>
      <tp>
        <v>2</v>
        <stp/>
        <stp>VOLUME</stp>
        <stp>.NAIL201120P46</stp>
        <tr r="F444" s="1"/>
      </tp>
      <tp>
        <v>0</v>
        <stp/>
        <stp>VOLUME</stp>
        <stp>.NAIL201120P47</stp>
        <tr r="F446" s="1"/>
      </tp>
      <tp>
        <v>2.35</v>
        <stp/>
        <stp>ASK</stp>
        <stp>.XOP201120P47.5</stp>
        <tr r="I893" s="1"/>
      </tp>
      <tp>
        <v>24</v>
        <stp/>
        <stp>VOLUME</stp>
        <stp>.NAIL201120P44</stp>
        <tr r="F440" s="1"/>
      </tp>
      <tp>
        <v>10</v>
        <stp/>
        <stp>VOLUME</stp>
        <stp>.NAIL201120P45</stp>
        <tr r="F442" s="1"/>
      </tp>
      <tp t="s">
        <v>N/A</v>
        <stp/>
        <stp>BID</stp>
        <stp>.IYR201120P84.5</stp>
        <tr r="H370" s="1"/>
      </tp>
      <tp t="s">
        <v>N/A</v>
        <stp/>
        <stp>BID</stp>
        <stp>.ITB201120P54.5</stp>
        <tr r="H290" s="1"/>
      </tp>
      <tp t="s">
        <v>N/A</v>
        <stp/>
        <stp>BID</stp>
        <stp>.IYR201120C84.5</stp>
        <tr r="H369" s="1"/>
      </tp>
      <tp t="s">
        <v>N/A</v>
        <stp/>
        <stp>BID</stp>
        <stp>.ITB201120C54.5</stp>
        <tr r="H289" s="1"/>
      </tp>
      <tp t="s">
        <v>N/A</v>
        <stp/>
        <stp>STRIKE</stp>
        <stp>.ACWX201120P50</stp>
        <tr r="W14" s="1"/>
      </tp>
      <tp t="s">
        <v>N/A</v>
        <stp/>
        <stp>PUT_CALL_RATIO</stp>
        <stp>.ITOT201120C81</stp>
        <tr r="C300" s="1"/>
      </tp>
      <tp t="s">
        <v>N/A</v>
        <stp/>
        <stp>PUT_CALL_RATIO</stp>
        <stp>.ITOT201120C80</stp>
        <tr r="C298" s="1"/>
      </tp>
      <tp t="s">
        <v>N/A</v>
        <stp/>
        <stp>STRIKE</stp>
        <stp>.INDY201120C38</stp>
        <tr r="W286" s="1"/>
      </tp>
      <tp t="s">
        <v>N/A</v>
        <stp/>
        <stp>VOLUME</stp>
        <stp>.IGIB201120P61</stp>
        <tr r="F263" s="1"/>
      </tp>
      <tp>
        <v>1.62</v>
        <stp/>
        <stp>LOW</stp>
        <stp>.SMH201120C198</stp>
        <tr r="K574" s="1"/>
      </tp>
      <tp>
        <v>0</v>
        <stp/>
        <stp>LOW</stp>
        <stp>.SMH201120P198</stp>
        <tr r="K575" s="1"/>
      </tp>
      <tp>
        <v>3.38</v>
        <stp/>
        <stp>LOW</stp>
        <stp>.SMH201120C193</stp>
        <tr r="K554" s="1"/>
      </tp>
      <tp>
        <v>2.2799999999999998</v>
        <stp/>
        <stp>LOW</stp>
        <stp>.SMH201120P193</stp>
        <tr r="K555" s="1"/>
      </tp>
      <tp>
        <v>1.95</v>
        <stp/>
        <stp>LOW</stp>
        <stp>.SMH201120C197</stp>
        <tr r="K570" s="1"/>
      </tp>
      <tp>
        <v>0</v>
        <stp/>
        <stp>LOW</stp>
        <stp>.SMH201120P197</stp>
        <tr r="K571" s="1"/>
      </tp>
      <tp>
        <v>2.15</v>
        <stp/>
        <stp>LOW</stp>
        <stp>.SMH201120C196</stp>
        <tr r="K566" s="1"/>
      </tp>
      <tp>
        <v>0</v>
        <stp/>
        <stp>LOW</stp>
        <stp>.SMH201120P196</stp>
        <tr r="K567" s="1"/>
      </tp>
      <tp>
        <v>2.37</v>
        <stp/>
        <stp>LOW</stp>
        <stp>.SMH201120C195</stp>
        <tr r="K562" s="1"/>
      </tp>
      <tp>
        <v>2.9</v>
        <stp/>
        <stp>LOW</stp>
        <stp>.SMH201120P195</stp>
        <tr r="K563" s="1"/>
      </tp>
      <tp>
        <v>2.89</v>
        <stp/>
        <stp>LOW</stp>
        <stp>.SMH201120C194</stp>
        <tr r="K558" s="1"/>
      </tp>
      <tp>
        <v>2.52</v>
        <stp/>
        <stp>LOW</stp>
        <stp>.SMH201120P194</stp>
        <tr r="K559" s="1"/>
      </tp>
      <tp t="s">
        <v>N/A</v>
        <stp/>
        <stp>RHO</stp>
        <stp>.EWL201120C43</stp>
        <tr r="Q143" s="1"/>
      </tp>
      <tp t="s">
        <v>N/A</v>
        <stp/>
        <stp>RHO</stp>
        <stp>.VWO201120C47</stp>
        <tr r="Q751" s="1"/>
      </tp>
      <tp t="s">
        <v>N/A</v>
        <stp/>
        <stp>RHO</stp>
        <stp>.EWI201120C27</stp>
        <tr r="Q133" s="1"/>
      </tp>
      <tp t="s">
        <v>N/A</v>
        <stp/>
        <stp>RHO</stp>
        <stp>.EWH201120C24</stp>
        <tr r="Q130" s="1"/>
      </tp>
      <tp t="s">
        <v>N/A</v>
        <stp/>
        <stp>DESCRIPTION</stp>
        <stp>.EFV201120P45</stp>
        <tr r="B110" s="1"/>
      </tp>
      <tp t="s">
        <v>N/A</v>
        <stp/>
        <stp>RHO</stp>
        <stp>.EWJ201120C64</stp>
        <tr r="Q140" s="1"/>
      </tp>
      <tp t="s">
        <v>N/A</v>
        <stp/>
        <stp>RHO</stp>
        <stp>.EWJ201120C63</stp>
        <tr r="Q136" s="1"/>
      </tp>
      <tp t="s">
        <v>N/A</v>
        <stp/>
        <stp>RHO</stp>
        <stp>.RWM201120C29</stp>
        <tr r="Q518" s="1"/>
      </tp>
      <tp t="s">
        <v>N/A</v>
        <stp/>
        <stp>RHO</stp>
        <stp>.EWC201120C29</stp>
        <tr r="Q124" s="1"/>
      </tp>
      <tp>
        <v>4812362</v>
        <stp/>
        <stp>VOLUME</stp>
        <stp>ACWI</stp>
        <tr r="F7" s="1"/>
      </tp>
      <tp>
        <v>1475988</v>
        <stp/>
        <stp>VOLUME</stp>
        <stp>ACWX</stp>
        <tr r="F12" s="1"/>
      </tp>
      <tp t="s">
        <v>N/A</v>
        <stp/>
        <stp>RHO</stp>
        <stp>.EWA201120C22</stp>
        <tr r="Q121" s="1"/>
      </tp>
      <tp>
        <v>5.75</v>
        <stp/>
        <stp>ASK</stp>
        <stp>.SMH201120P197</stp>
        <tr r="I571" s="1"/>
      </tp>
      <tp>
        <v>2.0499999999999998</v>
        <stp/>
        <stp>ASK</stp>
        <stp>.SMH201120C197</stp>
        <tr r="I570" s="1"/>
      </tp>
      <tp>
        <v>5.05</v>
        <stp/>
        <stp>ASK</stp>
        <stp>.SMH201120P196</stp>
        <tr r="I567" s="1"/>
      </tp>
      <tp>
        <v>2.29</v>
        <stp/>
        <stp>ASK</stp>
        <stp>.SMH201120C196</stp>
        <tr r="I566" s="1"/>
      </tp>
      <tp>
        <v>4.45</v>
        <stp/>
        <stp>ASK</stp>
        <stp>.SMH201120P195</stp>
        <tr r="I563" s="1"/>
      </tp>
      <tp>
        <v>2.82</v>
        <stp/>
        <stp>ASK</stp>
        <stp>.SMH201120C195</stp>
        <tr r="I562" s="1"/>
      </tp>
      <tp>
        <v>3.9</v>
        <stp/>
        <stp>ASK</stp>
        <stp>.SMH201120P194</stp>
        <tr r="I559" s="1"/>
      </tp>
      <tp>
        <v>3.1</v>
        <stp/>
        <stp>ASK</stp>
        <stp>.SMH201120C194</stp>
        <tr r="I558" s="1"/>
      </tp>
      <tp>
        <v>3.4</v>
        <stp/>
        <stp>ASK</stp>
        <stp>.SMH201120P193</stp>
        <tr r="I555" s="1"/>
      </tp>
      <tp>
        <v>3.65</v>
        <stp/>
        <stp>ASK</stp>
        <stp>.SMH201120C193</stp>
        <tr r="I554" s="1"/>
      </tp>
      <tp>
        <v>6.4</v>
        <stp/>
        <stp>ASK</stp>
        <stp>.SMH201120P198</stp>
        <tr r="I575" s="1"/>
      </tp>
      <tp>
        <v>1.58</v>
        <stp/>
        <stp>ASK</stp>
        <stp>.SMH201120C198</stp>
        <tr r="I574" s="1"/>
      </tp>
      <tp t="s">
        <v>N/A</v>
        <stp/>
        <stp>RHO</stp>
        <stp>.EWG201120C30</stp>
        <tr r="Q127" s="1"/>
      </tp>
      <tp>
        <v>6.1</v>
        <stp/>
        <stp>BID</stp>
        <stp>.SMH201120P198</stp>
        <tr r="H575" s="1"/>
      </tp>
      <tp>
        <v>1.36</v>
        <stp/>
        <stp>BID</stp>
        <stp>.SMH201120C198</stp>
        <tr r="H574" s="1"/>
      </tp>
      <tp>
        <v>4.25</v>
        <stp/>
        <stp>BID</stp>
        <stp>.SMH201120P195</stp>
        <tr r="H563" s="1"/>
      </tp>
      <tp>
        <v>2.4700000000000002</v>
        <stp/>
        <stp>BID</stp>
        <stp>.SMH201120C195</stp>
        <tr r="H562" s="1"/>
      </tp>
      <tp>
        <v>3.6</v>
        <stp/>
        <stp>BID</stp>
        <stp>.SMH201120P194</stp>
        <tr r="H559" s="1"/>
      </tp>
      <tp>
        <v>2.62</v>
        <stp/>
        <stp>BID</stp>
        <stp>.SMH201120C194</stp>
        <tr r="H558" s="1"/>
      </tp>
      <tp>
        <v>5.4</v>
        <stp/>
        <stp>BID</stp>
        <stp>.SMH201120P197</stp>
        <tr r="H571" s="1"/>
      </tp>
      <tp>
        <v>1.68</v>
        <stp/>
        <stp>BID</stp>
        <stp>.SMH201120C197</stp>
        <tr r="H570" s="1"/>
      </tp>
      <tp>
        <v>4.7</v>
        <stp/>
        <stp>BID</stp>
        <stp>.SMH201120P196</stp>
        <tr r="H567" s="1"/>
      </tp>
      <tp>
        <v>2.02</v>
        <stp/>
        <stp>BID</stp>
        <stp>.SMH201120C196</stp>
        <tr r="H566" s="1"/>
      </tp>
      <tp>
        <v>3.2</v>
        <stp/>
        <stp>BID</stp>
        <stp>.SMH201120P193</stp>
        <tr r="H555" s="1"/>
      </tp>
      <tp>
        <v>3.4</v>
        <stp/>
        <stp>BID</stp>
        <stp>.SMH201120C193</stp>
        <tr r="H554" s="1"/>
      </tp>
      <tp t="s">
        <v>N/A</v>
        <stp/>
        <stp>ASK</stp>
        <stp>.SSO201120C84</stp>
        <tr r="I655" s="1"/>
      </tp>
      <tp t="s">
        <v>N/A</v>
        <stp/>
        <stp>ASK</stp>
        <stp>.SSO201120C81</stp>
        <tr r="I643" s="1"/>
      </tp>
      <tp t="s">
        <v>N/A</v>
        <stp/>
        <stp>ASK</stp>
        <stp>.SSO201120C82</stp>
        <tr r="I647" s="1"/>
      </tp>
      <tp t="s">
        <v>N/A</v>
        <stp/>
        <stp>ASK</stp>
        <stp>.SSO201120C83</stp>
        <tr r="I651" s="1"/>
      </tp>
      <tp t="s">
        <v>N/A</v>
        <stp/>
        <stp>RHO</stp>
        <stp>.EWZ201120C32</stp>
        <tr r="Q175" s="1"/>
      </tp>
      <tp t="s">
        <v>N/A</v>
        <stp/>
        <stp>DESCRIPTION</stp>
        <stp>.EFA201120P70</stp>
        <tr r="B107" s="1"/>
      </tp>
      <tp>
        <v>4538441</v>
        <stp/>
        <stp>VOLUME</stp>
        <stp>ICLN</stp>
        <tr r="F245" s="1"/>
      </tp>
      <tp>
        <v>1144489</v>
        <stp/>
        <stp>VOLUME</stp>
        <stp>VCLT</stp>
        <tr r="F704" s="1"/>
      </tp>
      <tp t="s">
        <v>N/A</v>
        <stp/>
        <stp>DESCRIPTION</stp>
        <stp>.EFA201120P69</stp>
        <tr r="B103" s="1"/>
      </tp>
      <tp t="s">
        <v>N/A</v>
        <stp/>
        <stp>RHO</stp>
        <stp>.GDX201120P37</stp>
        <tr r="Q199" s="1"/>
      </tp>
      <tp t="s">
        <v>N/A</v>
        <stp/>
        <stp>ASK</stp>
        <stp>.RSX201120C22</stp>
        <tr r="I513" s="1"/>
      </tp>
      <tp>
        <v>5860920</v>
        <stp/>
        <stp>VOLUME</stp>
        <stp>VCIT</stp>
        <tr r="F701" s="1"/>
      </tp>
      <tp>
        <v>1346288</v>
        <stp/>
        <stp>VOLUME</stp>
        <stp>SCHE</stp>
        <tr r="F525" s="1"/>
      </tp>
      <tp>
        <v>1766341</v>
        <stp/>
        <stp>VOLUME</stp>
        <stp>SCHD</stp>
        <tr r="F520" s="1"/>
      </tp>
      <tp>
        <v>3204982</v>
        <stp/>
        <stp>VOLUME</stp>
        <stp>SCHF</stp>
        <tr r="F528" s="1"/>
      </tp>
      <tp>
        <v>4288718</v>
        <stp/>
        <stp>VOLUME</stp>
        <stp>MCHI</stp>
        <tr r="F411" s="1"/>
      </tp>
      <tp>
        <v>1140948</v>
        <stp/>
        <stp>VOLUME</stp>
        <stp>SCHP</stp>
        <tr r="F531" s="1"/>
      </tp>
      <tp t="s">
        <v>N/A</v>
        <stp/>
        <stp>RHO</stp>
        <stp>.EWY201120C73</stp>
        <tr r="Q168" s="1"/>
      </tp>
      <tp t="s">
        <v>N/A</v>
        <stp/>
        <stp>RHO</stp>
        <stp>.EWY201120C72</stp>
        <tr r="Q164" s="1"/>
      </tp>
      <tp t="s">
        <v>N/A</v>
        <stp/>
        <stp>DESCRIPTION</stp>
        <stp>.VFH201120P66</stp>
        <tr r="B715" s="1"/>
      </tp>
      <tp t="s">
        <v>N/A</v>
        <stp/>
        <stp>DESCRIPTION</stp>
        <stp>.VFH201120P67</stp>
        <tr r="B717" s="1"/>
      </tp>
      <tp t="s">
        <v>N/A</v>
        <stp/>
        <stp>RHO</stp>
        <stp>.EWT201120C48</stp>
        <tr r="Q149" s="1"/>
      </tp>
      <tp t="s">
        <v>N/A</v>
        <stp/>
        <stp>RHO</stp>
        <stp>.EWP201120C26</stp>
        <tr r="Q146" s="1"/>
      </tp>
      <tp t="s">
        <v>N/A</v>
        <stp/>
        <stp>RHO</stp>
        <stp>.SDS201120P14</stp>
        <tr r="Q541" s="1"/>
      </tp>
      <tp>
        <v>0.45</v>
        <stp/>
        <stp>LOW</stp>
        <stp>.XOP201120C49</stp>
        <tr r="K898" s="1"/>
      </tp>
      <tp t="s">
        <v>N/A</v>
        <stp/>
        <stp>BID</stp>
        <stp>.XOP201120P47</stp>
        <tr r="H891" s="1"/>
      </tp>
      <tp t="s">
        <v>N/A</v>
        <stp/>
        <stp>LOW</stp>
        <stp>.XOP201120C48</stp>
        <tr r="K894" s="1"/>
      </tp>
      <tp t="s">
        <v>N/A</v>
        <stp/>
        <stp>LOW</stp>
        <stp>.XOP201120C47</stp>
        <tr r="K890" s="1"/>
      </tp>
      <tp t="s">
        <v>N/A</v>
        <stp/>
        <stp>BID</stp>
        <stp>.XOP201120P49</stp>
        <tr r="H899" s="1"/>
      </tp>
      <tp t="s">
        <v>N/A</v>
        <stp/>
        <stp>BID</stp>
        <stp>.XOP201120P48</stp>
        <tr r="H895" s="1"/>
      </tp>
      <tp t="s">
        <v>N/A</v>
        <stp/>
        <stp>RHO</stp>
        <stp>.EWW201120C39</stp>
        <tr r="Q157" s="1"/>
      </tp>
      <tp t="s">
        <v>N/A</v>
        <stp/>
        <stp>RHO</stp>
        <stp>.SMH201120P198</stp>
        <tr r="Q575" s="1"/>
      </tp>
      <tp t="s">
        <v>N/A</v>
        <stp/>
        <stp>RHO</stp>
        <stp>.SMH201120C198</stp>
        <tr r="Q574" s="1"/>
      </tp>
      <tp t="s">
        <v>N/A</v>
        <stp/>
        <stp>RHO</stp>
        <stp>.SMH201120P194</stp>
        <tr r="Q559" s="1"/>
      </tp>
      <tp t="s">
        <v>N/A</v>
        <stp/>
        <stp>RHO</stp>
        <stp>.SMH201120C194</stp>
        <tr r="Q558" s="1"/>
      </tp>
      <tp t="s">
        <v>N/A</v>
        <stp/>
        <stp>RHO</stp>
        <stp>.SMH201120P195</stp>
        <tr r="Q563" s="1"/>
      </tp>
      <tp t="s">
        <v>N/A</v>
        <stp/>
        <stp>RHO</stp>
        <stp>.SMH201120C195</stp>
        <tr r="Q562" s="1"/>
      </tp>
      <tp t="s">
        <v>N/A</v>
        <stp/>
        <stp>RHO</stp>
        <stp>.SMH201120P196</stp>
        <tr r="Q567" s="1"/>
      </tp>
      <tp t="s">
        <v>N/A</v>
        <stp/>
        <stp>RHO</stp>
        <stp>.SMH201120C196</stp>
        <tr r="Q566" s="1"/>
      </tp>
      <tp t="s">
        <v>N/A</v>
        <stp/>
        <stp>RHO</stp>
        <stp>.SMH201120P197</stp>
        <tr r="Q571" s="1"/>
      </tp>
      <tp t="s">
        <v>N/A</v>
        <stp/>
        <stp>RHO</stp>
        <stp>.SMH201120C197</stp>
        <tr r="Q570" s="1"/>
      </tp>
      <tp t="s">
        <v>N/A</v>
        <stp/>
        <stp>RHO</stp>
        <stp>.SMH201120P193</stp>
        <tr r="Q555" s="1"/>
      </tp>
      <tp t="s">
        <v>N/A</v>
        <stp/>
        <stp>RHO</stp>
        <stp>.SMH201120C193</stp>
        <tr r="Q554" s="1"/>
      </tp>
      <tp t="s">
        <v>N/A</v>
        <stp/>
        <stp>IMPL_VOL</stp>
        <stp>.GDXJ201120C52.5</stp>
        <tr r="D205" s="1"/>
      </tp>
      <tp t="s">
        <v>N/A</v>
        <stp/>
        <stp>IMPL_VOL</stp>
        <stp>.GDXJ201120P52.5</stp>
        <tr r="D206" s="1"/>
      </tp>
      <tp t="s">
        <v>N/A</v>
        <stp/>
        <stp>PROB_OTM</stp>
        <stp>IVE</stp>
        <tr r="U302" s="1"/>
      </tp>
      <tp t="s">
        <v>N/A</v>
        <stp/>
        <stp>PROB_OTM</stp>
        <stp>IVW</stp>
        <tr r="U330" s="1"/>
      </tp>
      <tp t="s">
        <v>N/A</v>
        <stp/>
        <stp>PROB_OTM</stp>
        <stp>IVV</stp>
        <tr r="U309" s="1"/>
      </tp>
      <tp t="s">
        <v>N/A</v>
        <stp/>
        <stp>PROB_OTM</stp>
        <stp>IWD</stp>
        <tr r="U333" s="1"/>
      </tp>
      <tp t="s">
        <v>N/A</v>
        <stp/>
        <stp>PROB_OTM</stp>
        <stp>IWF</stp>
        <tr r="U340" s="1"/>
      </tp>
      <tp t="s">
        <v>N/A</v>
        <stp/>
        <stp>PROB_OTM</stp>
        <stp>IWM</stp>
        <tr r="U345" s="1"/>
      </tp>
      <tp t="s">
        <v>N/A</v>
        <stp/>
        <stp>PROB_OTM</stp>
        <stp>ITB</stp>
        <tr r="U288" s="1"/>
      </tp>
      <tp>
        <v>0</v>
        <stp/>
        <stp>OPEN_INT</stp>
        <stp>MDY</stp>
        <tr r="G414" s="1"/>
      </tp>
      <tp>
        <v>30</v>
        <stp/>
        <stp>VOLUME</stp>
        <stp>.EEM201120P48.5</stp>
        <tr r="F100" s="1"/>
      </tp>
      <tp t="s">
        <v>N/A</v>
        <stp/>
        <stp>VOLUME</stp>
        <stp>.EWU201120C28.5</stp>
        <tr r="F152" s="1"/>
      </tp>
      <tp t="s">
        <v>N/A</v>
        <stp/>
        <stp>VOLUME</stp>
        <stp>.EWW201120C38.5</stp>
        <tr r="F155" s="1"/>
      </tp>
      <tp t="s">
        <v>N/A</v>
        <stp/>
        <stp>VOLUME</stp>
        <stp>.EWU201120P28.5</stp>
        <tr r="F153" s="1"/>
      </tp>
      <tp t="s">
        <v>N/A</v>
        <stp/>
        <stp>VOLUME</stp>
        <stp>.EWW201120P38.5</stp>
        <tr r="F156" s="1"/>
      </tp>
      <tp>
        <v>1400</v>
        <stp/>
        <stp>VOLUME</stp>
        <stp>.EEM201120C48.5</stp>
        <tr r="F99" s="1"/>
      </tp>
      <tp t="s">
        <v>N/A</v>
        <stp/>
        <stp>PROB_OTM</stp>
        <stp>IYE</stp>
        <tr r="U363" s="1"/>
      </tp>
      <tp t="s">
        <v>N/A</v>
        <stp/>
        <stp>PROB_OTM</stp>
        <stp>IYR</stp>
        <tr r="U366" s="1"/>
      </tp>
      <tp t="s">
        <v>N/A</v>
        <stp/>
        <stp>PROB_OF_EXPIRING</stp>
        <stp>XRT</stp>
        <tr r="T902" s="1"/>
      </tp>
      <tp t="s">
        <v>N/A</v>
        <stp/>
        <stp>PROB_OTM</stp>
        <stp>IBB</stp>
        <tr r="U228" s="1"/>
      </tp>
      <tp t="s">
        <v>N/A</v>
        <stp/>
        <stp>PROB_OF_EXPIRING</stp>
        <stp>XOP</stp>
        <tr r="T889" s="1"/>
      </tp>
      <tp t="s">
        <v>N/A</v>
        <stp/>
        <stp>PROB_OF_EXPIRING</stp>
        <stp>XLE</stp>
        <tr r="T803" s="1"/>
      </tp>
      <tp t="s">
        <v>N/A</v>
        <stp/>
        <stp>PROB_OF_EXPIRING</stp>
        <stp>XLF</stp>
        <tr r="T810" s="1"/>
      </tp>
      <tp t="s">
        <v>N/A</v>
        <stp/>
        <stp>PROB_OF_EXPIRING</stp>
        <stp>XLC</stp>
        <tr r="T796" s="1"/>
      </tp>
      <tp t="s">
        <v>N/A</v>
        <stp/>
        <stp>PROB_OF_EXPIRING</stp>
        <stp>XLB</stp>
        <tr r="T787" s="1"/>
      </tp>
      <tp t="s">
        <v>N/A</v>
        <stp/>
        <stp>PROB_OF_EXPIRING</stp>
        <stp>XLI</stp>
        <tr r="T813" s="1"/>
      </tp>
      <tp t="s">
        <v>N/A</v>
        <stp/>
        <stp>PROB_OF_EXPIRING</stp>
        <stp>XLK</stp>
        <tr r="T824" s="1"/>
      </tp>
      <tp t="s">
        <v>N/A</v>
        <stp/>
        <stp>PROB_OF_EXPIRING</stp>
        <stp>XLU</stp>
        <tr r="T849" s="1"/>
      </tp>
      <tp t="s">
        <v>N/A</v>
        <stp/>
        <stp>PROB_OF_EXPIRING</stp>
        <stp>XLV</stp>
        <tr r="T856" s="1"/>
      </tp>
      <tp t="s">
        <v>N/A</v>
        <stp/>
        <stp>PROB_OF_EXPIRING</stp>
        <stp>XLP</stp>
        <tr r="T841" s="1"/>
      </tp>
      <tp t="s">
        <v>N/A</v>
        <stp/>
        <stp>PROB_OF_EXPIRING</stp>
        <stp>XLY</stp>
        <tr r="T867" s="1"/>
      </tp>
      <tp t="s">
        <v>N/A</v>
        <stp/>
        <stp>PROB_OF_EXPIRING</stp>
        <stp>XME</stp>
        <tr r="T884" s="1"/>
      </tp>
      <tp t="s">
        <v>N/A</v>
        <stp/>
        <stp>PROB_OTM</stp>
        <stp>IGV</stp>
        <tr r="U264" s="1"/>
      </tp>
      <tp t="s">
        <v>N/A</v>
        <stp/>
        <stp>VOLUME</stp>
        <stp>.XLB201120P68.5</stp>
        <tr r="F789" s="1"/>
      </tp>
      <tp>
        <v>0</v>
        <stp/>
        <stp>VOLUME</stp>
        <stp>.XOP201120P48.5</stp>
        <tr r="F897" s="1"/>
      </tp>
      <tp>
        <v>28</v>
        <stp/>
        <stp>VOLUME</stp>
        <stp>.XOP201120C48.5</stp>
        <tr r="F896" s="1"/>
      </tp>
      <tp>
        <v>8</v>
        <stp/>
        <stp>VOLUME</stp>
        <stp>.XLB201120C68.5</stp>
        <tr r="F788" s="1"/>
      </tp>
      <tp t="s">
        <v>N/A</v>
        <stp/>
        <stp>PROB_OF_EXPIRING</stp>
        <stp>XHB</stp>
        <tr r="T780" s="1"/>
      </tp>
      <tp t="s">
        <v>N/A</v>
        <stp/>
        <stp>PROB_OTM</stp>
        <stp>IEF</stp>
        <tr r="U248" s="1"/>
      </tp>
      <tp>
        <v>0</v>
        <stp/>
        <stp>OPEN_INT</stp>
        <stp>MUB</stp>
        <tr r="G435" s="1"/>
      </tp>
      <tp t="s">
        <v>N/A</v>
        <stp/>
        <stp>PROB_OTM</stp>
        <stp>IJH</stp>
        <tr r="U271" s="1"/>
      </tp>
      <tp t="s">
        <v>N/A</v>
        <stp/>
        <stp>PROB_OTM</stp>
        <stp>IJR</stp>
        <tr r="U274" s="1"/>
      </tp>
      <tp t="s">
        <v>N/A</v>
        <stp/>
        <stp>PROB_OF_EXPIRING</stp>
        <stp>XBI</stp>
        <tr r="T763" s="1"/>
      </tp>
      <tp t="s">
        <v>N/A</v>
        <stp/>
        <stp>PROB_OTM</stp>
        <stp>ILF</stp>
        <tr r="U277" s="1"/>
      </tp>
      <tp t="s">
        <v>N/A</v>
        <stp/>
        <stp>INTRINSIC</stp>
        <stp>SPYV</stp>
        <tr r="R634" s="1"/>
      </tp>
      <tp t="s">
        <v>N/A</v>
        <stp/>
        <stp>INTRINSIC</stp>
        <stp>SPYG</stp>
        <tr r="R629" s="1"/>
      </tp>
      <tp t="s">
        <v>N/A</v>
        <stp/>
        <stp>PROB_OF_TOUCHING</stp>
        <stp>.MDY201120P382.5</stp>
        <tr r="V418" s="1"/>
      </tp>
      <tp t="s">
        <v>N/A</v>
        <stp/>
        <stp>VEGA</stp>
        <stp>.EWU201120P28.5</stp>
        <tr r="P153" s="1"/>
      </tp>
      <tp t="s">
        <v>N/A</v>
        <stp/>
        <stp>VEGA</stp>
        <stp>.EWW201120P38.5</stp>
        <tr r="P156" s="1"/>
      </tp>
      <tp t="s">
        <v>N/A</v>
        <stp/>
        <stp>VEGA</stp>
        <stp>.EEM201120C48.5</stp>
        <tr r="P99" s="1"/>
      </tp>
      <tp t="s">
        <v>N/A</v>
        <stp/>
        <stp>VEGA</stp>
        <stp>.EEM201120P48.5</stp>
        <tr r="P100" s="1"/>
      </tp>
      <tp t="s">
        <v>N/A</v>
        <stp/>
        <stp>VEGA</stp>
        <stp>.EWU201120C28.5</stp>
        <tr r="P152" s="1"/>
      </tp>
      <tp t="s">
        <v>N/A</v>
        <stp/>
        <stp>VEGA</stp>
        <stp>.EWW201120C38.5</stp>
        <tr r="P155" s="1"/>
      </tp>
      <tp>
        <v>0</v>
        <stp/>
        <stp>OPEN_INT</stp>
        <stp>.SMH201120C195.5</stp>
        <tr r="G564" s="1"/>
      </tp>
      <tp t="s">
        <v>N/A</v>
        <stp/>
        <stp>PROB_OF_EXPIRING</stp>
        <stp>.XBI201120P124</stp>
        <tr r="T773" s="1"/>
      </tp>
      <tp t="s">
        <v>N/A</v>
        <stp/>
        <stp>PROB_OF_EXPIRING</stp>
        <stp>.XBI201120C124</stp>
        <tr r="T772" s="1"/>
      </tp>
      <tp t="s">
        <v>N/A</v>
        <stp/>
        <stp>PROB_OF_EXPIRING</stp>
        <stp>.XBI201120P125</stp>
        <tr r="T777" s="1"/>
      </tp>
      <tp t="s">
        <v>N/A</v>
        <stp/>
        <stp>PROB_OF_EXPIRING</stp>
        <stp>.XBI201120C125</stp>
        <tr r="T776" s="1"/>
      </tp>
      <tp t="s">
        <v>N/A</v>
        <stp/>
        <stp>PROB_OF_EXPIRING</stp>
        <stp>.XBI201120P122</stp>
        <tr r="T765" s="1"/>
      </tp>
      <tp t="s">
        <v>N/A</v>
        <stp/>
        <stp>PROB_OF_EXPIRING</stp>
        <stp>.XBI201120C122</stp>
        <tr r="T764" s="1"/>
      </tp>
      <tp t="s">
        <v>N/A</v>
        <stp/>
        <stp>PROB_OF_EXPIRING</stp>
        <stp>.XBI201120P123</stp>
        <tr r="T769" s="1"/>
      </tp>
      <tp t="s">
        <v>N/A</v>
        <stp/>
        <stp>PROB_OF_EXPIRING</stp>
        <stp>.XBI201120C123</stp>
        <tr r="T768" s="1"/>
      </tp>
      <tp t="s">
        <v>N/A</v>
        <stp/>
        <stp>PROB_OTM</stp>
        <stp>.DIA201120P292.5</stp>
        <tr r="U68" s="1"/>
      </tp>
      <tp t="s">
        <v>N/A</v>
        <stp/>
        <stp>HIGH</stp>
        <stp>.IYR201120P84.5</stp>
        <tr r="J370" s="1"/>
      </tp>
      <tp t="s">
        <v>N/A</v>
        <stp/>
        <stp>HIGH</stp>
        <stp>.ITB201120P54.5</stp>
        <tr r="J290" s="1"/>
      </tp>
      <tp t="s">
        <v>N/A</v>
        <stp/>
        <stp>HIGH</stp>
        <stp>.IYR201120C84.5</stp>
        <tr r="J369" s="1"/>
      </tp>
      <tp t="s">
        <v>N/A</v>
        <stp/>
        <stp>HIGH</stp>
        <stp>.ITB201120C54.5</stp>
        <tr r="J289" s="1"/>
      </tp>
      <tp>
        <v>3011</v>
        <stp/>
        <stp>OPEN_INT</stp>
        <stp>.QQQ201120P287.5</stp>
        <tr r="G481" s="1"/>
      </tp>
      <tp t="s">
        <v>N/A</v>
        <stp/>
        <stp>EXTRINSIC</stp>
        <stp>SPYG</stp>
        <tr r="S629" s="1"/>
      </tp>
      <tp t="s">
        <v>N/A</v>
        <stp/>
        <stp>EXTRINSIC</stp>
        <stp>SPYV</stp>
        <tr r="S634" s="1"/>
      </tp>
      <tp t="s">
        <v>N/A</v>
        <stp/>
        <stp>PROB_OF_EXPIRING</stp>
        <stp>.VTI201120C181</stp>
        <tr r="T740" s="1"/>
      </tp>
      <tp t="s">
        <v>N/A</v>
        <stp/>
        <stp>PROB_OF_EXPIRING</stp>
        <stp>.VTI201120P181</stp>
        <tr r="T741" s="1"/>
      </tp>
      <tp t="s">
        <v>N/A</v>
        <stp/>
        <stp>PROB_OF_EXPIRING</stp>
        <stp>.VTI201120C182</stp>
        <tr r="T742" s="1"/>
      </tp>
      <tp t="s">
        <v>N/A</v>
        <stp/>
        <stp>PROB_OF_EXPIRING</stp>
        <stp>.VTI201120P182</stp>
        <tr r="T743" s="1"/>
      </tp>
      <tp t="s">
        <v>N/A</v>
        <stp/>
        <stp>PROB_OF_EXPIRING</stp>
        <stp>.VTI201120C183</stp>
        <tr r="T744" s="1"/>
      </tp>
      <tp t="s">
        <v>N/A</v>
        <stp/>
        <stp>PROB_OF_EXPIRING</stp>
        <stp>.VTI201120P183</stp>
        <tr r="T745" s="1"/>
      </tp>
      <tp t="s">
        <v>N/A</v>
        <stp/>
        <stp>PROB_OF_EXPIRING</stp>
        <stp>.VTI201120C184</stp>
        <tr r="T746" s="1"/>
      </tp>
      <tp t="s">
        <v>N/A</v>
        <stp/>
        <stp>PROB_OF_EXPIRING</stp>
        <stp>.VTI201120P184</stp>
        <tr r="T747" s="1"/>
      </tp>
      <tp t="s">
        <v>N/A</v>
        <stp/>
        <stp>PROB_OF_EXPIRING</stp>
        <stp>.MDY201120P387.5</stp>
        <tr r="T422" s="1"/>
      </tp>
      <tp t="s">
        <v>N/A</v>
        <stp/>
        <stp>EXTRINSIC</stp>
        <stp>SPDW</stp>
        <tr r="S578" s="1"/>
      </tp>
      <tp t="s">
        <v>N/A</v>
        <stp/>
        <stp>INTRINSIC</stp>
        <stp>SPHD</stp>
        <tr r="R581" s="1"/>
      </tp>
      <tp t="s">
        <v>N/A</v>
        <stp/>
        <stp>PROB_OF_TOUCHING</stp>
        <stp>.IBB201120P138</stp>
        <tr r="V230" s="1"/>
      </tp>
      <tp t="s">
        <v>N/A</v>
        <stp/>
        <stp>PROB_OF_TOUCHING</stp>
        <stp>.IBB201120C138</stp>
        <tr r="V229" s="1"/>
      </tp>
      <tp t="s">
        <v>N/A</v>
        <stp/>
        <stp>PROB_OF_TOUCHING</stp>
        <stp>.IBB201120P139</stp>
        <tr r="V234" s="1"/>
      </tp>
      <tp t="s">
        <v>N/A</v>
        <stp/>
        <stp>PROB_OF_TOUCHING</stp>
        <stp>.IBB201120C139</stp>
        <tr r="V233" s="1"/>
      </tp>
      <tp t="s">
        <v>N/A</v>
        <stp/>
        <stp>IMPL_VOL</stp>
        <stp>.AGG201120P117</stp>
        <tr r="D17" s="1"/>
      </tp>
      <tp t="s">
        <v>N/A</v>
        <stp/>
        <stp>PROB_OF_TOUCHING</stp>
        <stp>.MUB201120C116</stp>
        <tr r="V436" s="1"/>
      </tp>
      <tp t="s">
        <v>N/A</v>
        <stp/>
        <stp>IMPL_VOL</stp>
        <stp>.AGG201120C117</stp>
        <tr r="D16" s="1"/>
      </tp>
      <tp t="s">
        <v>N/A</v>
        <stp/>
        <stp>PROB_OF_TOUCHING</stp>
        <stp>.MUB201120P116</stp>
        <tr r="V437" s="1"/>
      </tp>
      <tp t="s">
        <v>N/A</v>
        <stp/>
        <stp>PROB_OF_TOUCHING</stp>
        <stp>.EMB201120P114</stp>
        <tr r="V113" s="1"/>
      </tp>
      <tp t="s">
        <v>N/A</v>
        <stp/>
        <stp>PROB_OF_TOUCHING</stp>
        <stp>.EMB201120C114</stp>
        <tr r="V112" s="1"/>
      </tp>
      <tp t="s">
        <v>N/A</v>
        <stp/>
        <stp>HIGH</stp>
        <stp>.SSO201120P84.5</stp>
        <tr r="J658" s="1"/>
      </tp>
      <tp t="s">
        <v>N/A</v>
        <stp/>
        <stp>HIGH</stp>
        <stp>.SSO201120C84.5</stp>
        <tr r="J657" s="1"/>
      </tp>
      <tp t="s">
        <v>N/A</v>
        <stp/>
        <stp>INTRINSIC</stp>
        <stp>SPLV</stp>
        <tr r="R587" s="1"/>
      </tp>
      <tp t="s">
        <v>N/A</v>
        <stp/>
        <stp>HIGH</stp>
        <stp>.TAN201120C74.5</stp>
        <tr r="J668" s="1"/>
      </tp>
      <tp t="s">
        <v>N/A</v>
        <stp/>
        <stp>INTRINSIC</stp>
        <stp>SPLG</stp>
        <tr r="R584" s="1"/>
      </tp>
      <tp t="s">
        <v>N/A</v>
        <stp/>
        <stp>HIGH</stp>
        <stp>.TAN201120P74.5</stp>
        <tr r="J669" s="1"/>
      </tp>
      <tp t="s">
        <v>N/A</v>
        <stp/>
        <stp>PROB_OTM</stp>
        <stp>.DIA201120C292.5</stp>
        <tr r="U67" s="1"/>
      </tp>
      <tp t="s">
        <v>N/A</v>
        <stp/>
        <stp>PROB_OF_TOUCHING</stp>
        <stp>.IBB201120P140</stp>
        <tr r="V238" s="1"/>
      </tp>
      <tp t="s">
        <v>N/A</v>
        <stp/>
        <stp>PROB_OF_TOUCHING</stp>
        <stp>.IBB201120C140</stp>
        <tr r="V237" s="1"/>
      </tp>
      <tp t="s">
        <v>N/A</v>
        <stp/>
        <stp>PROB_OF_TOUCHING</stp>
        <stp>.IBB201120P141</stp>
        <tr r="V242" s="1"/>
      </tp>
      <tp t="s">
        <v>N/A</v>
        <stp/>
        <stp>PROB_OF_TOUCHING</stp>
        <stp>.IBB201120C141</stp>
        <tr r="V241" s="1"/>
      </tp>
      <tp>
        <v>0</v>
        <stp/>
        <stp>OPEN_INT</stp>
        <stp>.SMH201120P195.5</stp>
        <tr r="G565" s="1"/>
      </tp>
      <tp t="s">
        <v>N/A</v>
        <stp/>
        <stp>PROB_OF_TOUCHING</stp>
        <stp>.MDY201120C382.5</stp>
        <tr r="V417" s="1"/>
      </tp>
      <tp>
        <v>0.42</v>
        <stp/>
        <stp>HIGH</stp>
        <stp>.XLE201120C34.5</stp>
        <tr r="J808" s="1"/>
      </tp>
      <tp t="s">
        <v>N/A</v>
        <stp/>
        <stp>HIGH</stp>
        <stp>.XLI201120C84.5</stp>
        <tr r="J816" s="1"/>
      </tp>
      <tp t="s">
        <v>N/A</v>
        <stp/>
        <stp>EXTRINSIC</stp>
        <stp>SPLG</stp>
        <tr r="S584" s="1"/>
      </tp>
      <tp t="s">
        <v>N/A</v>
        <stp/>
        <stp>VEGA</stp>
        <stp>.XLB201120C68.5</stp>
        <tr r="P788" s="1"/>
      </tp>
      <tp t="s">
        <v>N/A</v>
        <stp/>
        <stp>VEGA</stp>
        <stp>.XOP201120C48.5</stp>
        <tr r="P896" s="1"/>
      </tp>
      <tp t="s">
        <v>N/A</v>
        <stp/>
        <stp>HIGH</stp>
        <stp>.XRT201120P54.5</stp>
        <tr r="J906" s="1"/>
      </tp>
      <tp>
        <v>1.9</v>
        <stp/>
        <stp>HIGH</stp>
        <stp>.XLE201120P34.5</stp>
        <tr r="J809" s="1"/>
      </tp>
      <tp t="s">
        <v>N/A</v>
        <stp/>
        <stp>HIGH</stp>
        <stp>.XLI201120P84.5</stp>
        <tr r="J817" s="1"/>
      </tp>
      <tp t="s">
        <v>N/A</v>
        <stp/>
        <stp>EXTRINSIC</stp>
        <stp>SPLV</stp>
        <tr r="S587" s="1"/>
      </tp>
      <tp t="s">
        <v>N/A</v>
        <stp/>
        <stp>VEGA</stp>
        <stp>.XOP201120P48.5</stp>
        <tr r="P897" s="1"/>
      </tp>
      <tp t="s">
        <v>N/A</v>
        <stp/>
        <stp>VEGA</stp>
        <stp>.XLB201120P68.5</stp>
        <tr r="P789" s="1"/>
      </tp>
      <tp t="s">
        <v>N/A</v>
        <stp/>
        <stp>HIGH</stp>
        <stp>.XRT201120C54.5</stp>
        <tr r="J905" s="1"/>
      </tp>
      <tp>
        <v>1641</v>
        <stp/>
        <stp>OPEN_INT</stp>
        <stp>.QQQ201120C287.5</stp>
        <tr r="G480" s="1"/>
      </tp>
      <tp t="s">
        <v>N/A</v>
        <stp/>
        <stp>PROB_OF_TOUCHING</stp>
        <stp>.DIA201120P297</stp>
        <tr r="V78" s="1"/>
      </tp>
      <tp t="s">
        <v>N/A</v>
        <stp/>
        <stp>PROB_OF_TOUCHING</stp>
        <stp>.DIA201120C297</stp>
        <tr r="V77" s="1"/>
      </tp>
      <tp t="s">
        <v>N/A</v>
        <stp/>
        <stp>PROB_OF_TOUCHING</stp>
        <stp>.DIA201120P296</stp>
        <tr r="V76" s="1"/>
      </tp>
      <tp t="s">
        <v>N/A</v>
        <stp/>
        <stp>PROB_OF_TOUCHING</stp>
        <stp>.DIA201120C296</stp>
        <tr r="V75" s="1"/>
      </tp>
      <tp t="s">
        <v>N/A</v>
        <stp/>
        <stp>PROB_OF_TOUCHING</stp>
        <stp>.DIA201120P295</stp>
        <tr r="V74" s="1"/>
      </tp>
      <tp t="s">
        <v>N/A</v>
        <stp/>
        <stp>PROB_OF_TOUCHING</stp>
        <stp>.DIA201120C295</stp>
        <tr r="V73" s="1"/>
      </tp>
      <tp t="s">
        <v>N/A</v>
        <stp/>
        <stp>PROB_OF_TOUCHING</stp>
        <stp>.DIA201120P294</stp>
        <tr r="V72" s="1"/>
      </tp>
      <tp t="s">
        <v>N/A</v>
        <stp/>
        <stp>PROB_OF_TOUCHING</stp>
        <stp>.DIA201120C294</stp>
        <tr r="V71" s="1"/>
      </tp>
      <tp t="s">
        <v>N/A</v>
        <stp/>
        <stp>PROB_OF_TOUCHING</stp>
        <stp>.DIA201120P293</stp>
        <tr r="V70" s="1"/>
      </tp>
      <tp t="s">
        <v>N/A</v>
        <stp/>
        <stp>PROB_OF_TOUCHING</stp>
        <stp>.DIA201120C293</stp>
        <tr r="V69" s="1"/>
      </tp>
      <tp t="s">
        <v>N/A</v>
        <stp/>
        <stp>PROB_OF_TOUCHING</stp>
        <stp>.DIA201120P292</stp>
        <tr r="V66" s="1"/>
      </tp>
      <tp t="s">
        <v>N/A</v>
        <stp/>
        <stp>PROB_OF_TOUCHING</stp>
        <stp>.DIA201120C292</stp>
        <tr r="V65" s="1"/>
      </tp>
      <tp t="s">
        <v>N/A</v>
        <stp/>
        <stp>PROB_OF_TOUCHING</stp>
        <stp>.DIA201120P291</stp>
        <tr r="V64" s="1"/>
      </tp>
      <tp t="s">
        <v>N/A</v>
        <stp/>
        <stp>PROB_OF_TOUCHING</stp>
        <stp>.DIA201120C291</stp>
        <tr r="V63" s="1"/>
      </tp>
      <tp t="s">
        <v>N/A</v>
        <stp/>
        <stp>EXTRINSIC</stp>
        <stp>SPHD</stp>
        <tr r="S581" s="1"/>
      </tp>
      <tp t="s">
        <v>N/A</v>
        <stp/>
        <stp>INTRINSIC</stp>
        <stp>SPDW</stp>
        <tr r="R578" s="1"/>
      </tp>
      <tp t="s">
        <v>N/A</v>
        <stp/>
        <stp>PROB_OF_EXPIRING</stp>
        <stp>.MDY201120C387.5</stp>
        <tr r="T421" s="1"/>
      </tp>
      <tp t="s">
        <v>N/A</v>
        <stp/>
        <stp>PUT_CALL_RATIO</stp>
        <stp>.MCHI201120C80</stp>
        <tr r="C412" s="1"/>
      </tp>
      <tp t="s">
        <v>N/A</v>
        <stp/>
        <stp>PUT_CALL_RATIO</stp>
        <stp>.SCHD201120C61</stp>
        <tr r="C521" s="1"/>
      </tp>
      <tp t="s">
        <v>N/A</v>
        <stp/>
        <stp>PUT_CALL_RATIO</stp>
        <stp>.SCHD201120C62</stp>
        <tr r="C523" s="1"/>
      </tp>
      <tp t="s">
        <v>N/A</v>
        <stp/>
        <stp>BID</stp>
        <stp>.SSO201120P83.5</stp>
        <tr r="H654" s="1"/>
      </tp>
      <tp t="s">
        <v>N/A</v>
        <stp/>
        <stp>BID</stp>
        <stp>.SDS201120C13.5</stp>
        <tr r="H538" s="1"/>
      </tp>
      <tp t="s">
        <v>N/A</v>
        <stp/>
        <stp>BID</stp>
        <stp>.SSO201120C83.5</stp>
        <tr r="H653" s="1"/>
      </tp>
      <tp t="s">
        <v>N/A</v>
        <stp/>
        <stp>BID</stp>
        <stp>.SDS201120P13.5</stp>
        <tr r="H539" s="1"/>
      </tp>
      <tp t="s">
        <v>N/A</v>
        <stp/>
        <stp>BID</stp>
        <stp>.TAN201120C73.5</stp>
        <tr r="H664" s="1"/>
      </tp>
      <tp t="s">
        <v>N/A</v>
        <stp/>
        <stp>BID</stp>
        <stp>.TAN201120P73.5</stp>
        <tr r="H665" s="1"/>
      </tp>
      <tp t="s">
        <v>N/A</v>
        <stp/>
        <stp>PUT_CALL_RATIO</stp>
        <stp>.SCHF201120C34</stp>
        <tr r="C529" s="1"/>
      </tp>
      <tp t="s">
        <v>N/A</v>
        <stp/>
        <stp>PUT_CALL_RATIO</stp>
        <stp>.SCHE201120C29</stp>
        <tr r="C526" s="1"/>
      </tp>
      <tp t="s">
        <v>N/A</v>
        <stp/>
        <stp>PUT_CALL_RATIO</stp>
        <stp>.SPHD201120C36</stp>
        <tr r="C582" s="1"/>
      </tp>
      <tp>
        <v>0.43</v>
        <stp/>
        <stp>BID</stp>
        <stp>.XLE201120C33.5</stp>
        <tr r="H804" s="1"/>
      </tp>
      <tp t="s">
        <v>N/A</v>
        <stp/>
        <stp>BID</stp>
        <stp>.XLC201120C63.5</stp>
        <tr r="H799" s="1"/>
      </tp>
      <tp>
        <v>1.17</v>
        <stp/>
        <stp>BID</stp>
        <stp>.XLE201120P33.5</stp>
        <tr r="H805" s="1"/>
      </tp>
      <tp>
        <v>0</v>
        <stp/>
        <stp>BID</stp>
        <stp>.XLC201120P63.5</stp>
        <tr r="H800" s="1"/>
      </tp>
      <tp t="s">
        <v>N/A</v>
        <stp/>
        <stp>EXTRINSIC</stp>
        <stp>.JNK201120C107</stp>
        <tr r="S383" s="1"/>
      </tp>
      <tp t="s">
        <v>N/A</v>
        <stp/>
        <stp>EXTRINSIC</stp>
        <stp>.JNK201120P107</stp>
        <tr r="S384" s="1"/>
      </tp>
      <tp t="s">
        <v>N/A</v>
        <stp/>
        <stp>PUT_CALL_RATIO</stp>
        <stp>.ASHR201120C38</stp>
        <tr r="C46" s="1"/>
      </tp>
      <tp t="s">
        <v>N/A</v>
        <stp/>
        <stp>EXTRINSIC</stp>
        <stp>.IJH201120C210</stp>
        <tr r="S272" s="1"/>
      </tp>
      <tp t="s">
        <v>N/A</v>
        <stp/>
        <stp>EXTRINSIC</stp>
        <stp>.IJH201120P210</stp>
        <tr r="S273" s="1"/>
      </tp>
      <tp t="s">
        <v>N/A</v>
        <stp/>
        <stp>EXTRINSIC</stp>
        <stp>.XLK201120C120</stp>
        <tr r="S827" s="1"/>
      </tp>
      <tp t="s">
        <v>N/A</v>
        <stp/>
        <stp>EXTRINSIC</stp>
        <stp>.XLK201120P120</stp>
        <tr r="S828" s="1"/>
      </tp>
      <tp t="s">
        <v>N/A</v>
        <stp/>
        <stp>EXTRINSIC</stp>
        <stp>.XLK201120C121</stp>
        <tr r="S831" s="1"/>
      </tp>
      <tp t="s">
        <v>N/A</v>
        <stp/>
        <stp>EXTRINSIC</stp>
        <stp>.XLK201120P121</stp>
        <tr r="S832" s="1"/>
      </tp>
      <tp t="s">
        <v>N/A</v>
        <stp/>
        <stp>EXTRINSIC</stp>
        <stp>.XLK201120C122</stp>
        <tr r="S835" s="1"/>
      </tp>
      <tp t="s">
        <v>N/A</v>
        <stp/>
        <stp>EXTRINSIC</stp>
        <stp>.XLK201120P122</stp>
        <tr r="S836" s="1"/>
      </tp>
      <tp t="s">
        <v>N/A</v>
        <stp/>
        <stp>EXTRINSIC</stp>
        <stp>.XLK201120C123</stp>
        <tr r="S839" s="1"/>
      </tp>
      <tp t="s">
        <v>N/A</v>
        <stp/>
        <stp>EXTRINSIC</stp>
        <stp>.XLK201120P123</stp>
        <tr r="S840" s="1"/>
      </tp>
      <tp t="s">
        <v>N/A</v>
        <stp/>
        <stp>BID</stp>
        <stp>.EWJ201120P63.5</stp>
        <tr r="H139" s="1"/>
      </tp>
      <tp t="s">
        <v>N/A</v>
        <stp/>
        <stp>BID</stp>
        <stp>.EWY201120P73.5</stp>
        <tr r="H171" s="1"/>
      </tp>
      <tp>
        <v>0.27</v>
        <stp/>
        <stp>BID</stp>
        <stp>.EWJ201120C63.5</stp>
        <tr r="H138" s="1"/>
      </tp>
      <tp t="s">
        <v>N/A</v>
        <stp/>
        <stp>BID</stp>
        <stp>.EWY201120C73.5</stp>
        <tr r="H170" s="1"/>
      </tp>
      <tp t="s">
        <v>N/A</v>
        <stp/>
        <stp>PUT_CALL_RATIO</stp>
        <stp>.SCHP201120C61</stp>
        <tr r="C532" s="1"/>
      </tp>
      <tp>
        <v>6467587</v>
        <stp/>
        <stp>VOLUME</stp>
        <stp>GDXJ</stp>
        <tr r="F202" s="1"/>
      </tp>
      <tp>
        <v>1.35</v>
        <stp/>
        <stp>ASK</stp>
        <stp>.VGK201120P57</stp>
        <tr r="I723" s="1"/>
      </tp>
      <tp t="s">
        <v>N/A</v>
        <stp/>
        <stp>DESCRIPTION</stp>
        <stp>.XRT201120C54</stp>
        <tr r="B903" s="1"/>
      </tp>
      <tp t="s">
        <v>N/A</v>
        <stp/>
        <stp>DESCRIPTION</stp>
        <stp>.XRT201120C55</stp>
        <tr r="B907" s="1"/>
      </tp>
      <tp>
        <v>1.5</v>
        <stp/>
        <stp>BID</stp>
        <stp>.XHB201120P56</stp>
        <tr r="H786" s="1"/>
      </tp>
      <tp t="s">
        <v>N/A</v>
        <stp/>
        <stp>ASK</stp>
        <stp>.ITB201120C55</stp>
        <tr r="I291" s="1"/>
      </tp>
      <tp>
        <v>1</v>
        <stp/>
        <stp>BID</stp>
        <stp>.XHB201120P55</stp>
        <tr r="H782" s="1"/>
      </tp>
      <tp t="s">
        <v>N/A</v>
        <stp/>
        <stp>ASK</stp>
        <stp>.ITB201120C56</stp>
        <tr r="I295" s="1"/>
      </tp>
      <tp>
        <v>1.56</v>
        <stp/>
        <stp>LOW</stp>
        <stp>.XHB201120C55</stp>
        <tr r="K781" s="1"/>
      </tp>
      <tp>
        <v>0.95</v>
        <stp/>
        <stp>LOW</stp>
        <stp>.XHB201120C56</stp>
        <tr r="K785" s="1"/>
      </tp>
      <tp t="s">
        <v>N/A</v>
        <stp/>
        <stp>STRIKE</stp>
        <stp>VGIT</stp>
        <tr r="W718" s="1"/>
      </tp>
      <tp t="s">
        <v>N/A</v>
        <stp/>
        <stp>STRIKE</stp>
        <stp>IGIB</stp>
        <tr r="W261" s="1"/>
      </tp>
      <tp t="s">
        <v>N/A</v>
        <stp/>
        <stp>ASK</stp>
        <stp>.PGX201120P15</stp>
        <tr r="I456" s="1"/>
      </tp>
      <tp t="s">
        <v>N/A</v>
        <stp/>
        <stp>STRIKE</stp>
        <stp>DGRO</stp>
        <tr r="W59" s="1"/>
      </tp>
      <tp t="s">
        <v>N/A</v>
        <stp/>
        <stp>RHO</stp>
        <stp>.SCZ201120P63</stp>
        <tr r="Q536" s="1"/>
      </tp>
      <tp t="s">
        <v>N/A</v>
        <stp/>
        <stp>DESCRIPTION</stp>
        <stp>.KRE201120C46</stp>
        <tr r="B389" s="1"/>
      </tp>
      <tp t="s">
        <v>N/A</v>
        <stp/>
        <stp>DESCRIPTION</stp>
        <stp>.KRE201120C47</stp>
        <tr r="B393" s="1"/>
      </tp>
      <tp t="s">
        <v>N/A</v>
        <stp/>
        <stp>DESCRIPTION</stp>
        <stp>.TIP201120P125</stp>
        <tr r="B688" s="1"/>
      </tp>
      <tp t="s">
        <v>N/A</v>
        <stp/>
        <stp>DESCRIPTION</stp>
        <stp>.TIP201120C125</stp>
        <tr r="B687" s="1"/>
      </tp>
      <tp t="s">
        <v>N/A</v>
        <stp/>
        <stp>DESCRIPTION</stp>
        <stp>.RSP201120C120</stp>
        <tr r="B510" s="1"/>
      </tp>
      <tp t="s">
        <v>N/A</v>
        <stp/>
        <stp>DESCRIPTION</stp>
        <stp>.RSP201120P120</stp>
        <tr r="B511" s="1"/>
      </tp>
      <tp t="s">
        <v>N/A</v>
        <stp/>
        <stp>DESCRIPTION</stp>
        <stp>.RSP201120C118</stp>
        <tr r="B506" s="1"/>
      </tp>
      <tp t="s">
        <v>N/A</v>
        <stp/>
        <stp>DESCRIPTION</stp>
        <stp>.RSP201120P118</stp>
        <tr r="B507" s="1"/>
      </tp>
      <tp t="s">
        <v>N/A</v>
        <stp/>
        <stp>DESCRIPTION</stp>
        <stp>.RSP201120C119</stp>
        <tr r="B508" s="1"/>
      </tp>
      <tp t="s">
        <v>N/A</v>
        <stp/>
        <stp>DESCRIPTION</stp>
        <stp>.RSP201120P119</stp>
        <tr r="B509" s="1"/>
      </tp>
      <tp>
        <v>1875176</v>
        <stp/>
        <stp>VOLUME</stp>
        <stp>PDBC</stp>
        <tr r="F451" s="1"/>
      </tp>
      <tp t="s">
        <v>N/A</v>
        <stp/>
        <stp>DESCRIPTION</stp>
        <stp>.TAN201120P73</stp>
        <tr r="B663" s="1"/>
      </tp>
      <tp t="s">
        <v>N/A</v>
        <stp/>
        <stp>DESCRIPTION</stp>
        <stp>.TAN201120P76</stp>
        <tr r="B675" s="1"/>
      </tp>
      <tp t="s">
        <v>N/A</v>
        <stp/>
        <stp>DESCRIPTION</stp>
        <stp>.TAN201120P77</stp>
        <tr r="B679" s="1"/>
      </tp>
      <tp t="s">
        <v>N/A</v>
        <stp/>
        <stp>DESCRIPTION</stp>
        <stp>.TAN201120P74</stp>
        <tr r="B667" s="1"/>
      </tp>
      <tp t="s">
        <v>N/A</v>
        <stp/>
        <stp>DESCRIPTION</stp>
        <stp>.TAN201120P75</stp>
        <tr r="B671" s="1"/>
      </tp>
      <tp t="s">
        <v>N/A</v>
        <stp/>
        <stp>PROB_OF_TOUCHING</stp>
        <stp>HYG</stp>
        <tr r="V220" s="1"/>
      </tp>
      <tp>
        <v>0</v>
        <stp/>
        <stp>OPEN_INT</stp>
        <stp>JNK</stp>
        <tr r="G380" s="1"/>
      </tp>
      <tp t="s">
        <v>N/A</v>
        <stp/>
        <stp>IMPL_VOL</stp>
        <stp>.AMLP201120P23.5</stp>
        <tr r="D22" s="1"/>
      </tp>
      <tp t="s">
        <v>N/A</v>
        <stp/>
        <stp>IMPL_VOL</stp>
        <stp>.AMLP201120C23.5</stp>
        <tr r="D21" s="1"/>
      </tp>
      <tp t="s">
        <v>N/A</v>
        <stp/>
        <stp>PROB_OF_TOUCHING</stp>
        <stp>.INDA201120P36.5</stp>
        <tr r="V284" s="1"/>
      </tp>
      <tp t="s">
        <v>N/A</v>
        <stp/>
        <stp>PROB_OF_TOUCHING</stp>
        <stp>.INDA201120C36.5</stp>
        <tr r="V283" s="1"/>
      </tp>
      <tp t="s">
        <v>13.88%</v>
        <stp/>
        <stp>IMPL_VOL</stp>
        <stp>HYG</stp>
        <tr r="D220" s="1"/>
      </tp>
      <tp t="s">
        <v>N/A</v>
        <stp/>
        <stp>PROB_OTM</stp>
        <stp>.ASHR201120C37.5</stp>
        <tr r="U44" s="1"/>
      </tp>
      <tp t="s">
        <v>N/A</v>
        <stp/>
        <stp>PROB_OTM</stp>
        <stp>.ASHR201120P37.5</stp>
        <tr r="U45" s="1"/>
      </tp>
      <tp>
        <v>25</v>
        <stp/>
        <stp>OPEN_INT</stp>
        <stp>.IVW201120C61.25</stp>
        <tr r="G331" s="1"/>
      </tp>
      <tp t="s">
        <v>N/A</v>
        <stp/>
        <stp>PROB_OF_TOUCHING</stp>
        <stp>.IWF201120C227.5</stp>
        <tr r="V343" s="1"/>
      </tp>
      <tp t="s">
        <v>N/A</v>
        <stp/>
        <stp>VEGA</stp>
        <stp>.EWW201120P39.5</stp>
        <tr r="P160" s="1"/>
      </tp>
      <tp t="s">
        <v>N/A</v>
        <stp/>
        <stp>VEGA</stp>
        <stp>.EFA201120C69.5</stp>
        <tr r="P104" s="1"/>
      </tp>
      <tp t="s">
        <v>N/A</v>
        <stp/>
        <stp>VEGA</stp>
        <stp>.EFA201120P69.5</stp>
        <tr r="P105" s="1"/>
      </tp>
      <tp t="s">
        <v>N/A</v>
        <stp/>
        <stp>VEGA</stp>
        <stp>.EWW201120C39.5</stp>
        <tr r="P159" s="1"/>
      </tp>
      <tp>
        <v>0</v>
        <stp/>
        <stp>OPEN_INT</stp>
        <stp>.SMH201120C194.5</stp>
        <tr r="G560" s="1"/>
      </tp>
      <tp t="s">
        <v>N/A</v>
        <stp/>
        <stp>PROB_OF_TOUCHING</stp>
        <stp>.IVV201120C357.5</stp>
        <tr r="V318" s="1"/>
      </tp>
      <tp t="s">
        <v>N/A</v>
        <stp/>
        <stp>VEGA</stp>
        <stp>.FEZ201120C39.5</stp>
        <tr r="P181" s="1"/>
      </tp>
      <tp t="s">
        <v>N/A</v>
        <stp/>
        <stp>VEGA</stp>
        <stp>.FEZ201120P39.5</stp>
        <tr r="P182" s="1"/>
      </tp>
      <tp>
        <v>0.75</v>
        <stp/>
        <stp>HIGH</stp>
        <stp>.HYG201120P85.5</stp>
        <tr r="J222" s="1"/>
      </tp>
      <tp>
        <v>0.48</v>
        <stp/>
        <stp>HIGH</stp>
        <stp>.HYG201120C85.5</stp>
        <tr r="J221" s="1"/>
      </tp>
      <tp t="s">
        <v>N/A</v>
        <stp/>
        <stp>IMPL_VOL</stp>
        <stp>.DIA201120P297.5</stp>
        <tr r="D80" s="1"/>
      </tp>
      <tp t="s">
        <v>N/A</v>
        <stp/>
        <stp>HIGH</stp>
        <stp>.IYR201120P85.5</stp>
        <tr r="J374" s="1"/>
      </tp>
      <tp t="s">
        <v>N/A</v>
        <stp/>
        <stp>HIGH</stp>
        <stp>.ITB201120P55.5</stp>
        <tr r="J294" s="1"/>
      </tp>
      <tp t="s">
        <v>N/A</v>
        <stp/>
        <stp>HIGH</stp>
        <stp>.IYR201120C85.5</stp>
        <tr r="J373" s="1"/>
      </tp>
      <tp>
        <v>1.19</v>
        <stp/>
        <stp>HIGH</stp>
        <stp>.ITB201120C55.5</stp>
        <tr r="J293" s="1"/>
      </tp>
      <tp t="s">
        <v>N/A</v>
        <stp/>
        <stp>PROB_OF_EXPIRING</stp>
        <stp>.SMH201120P198</stp>
        <tr r="T575" s="1"/>
      </tp>
      <tp t="s">
        <v>N/A</v>
        <stp/>
        <stp>PROB_OF_EXPIRING</stp>
        <stp>.SMH201120C198</stp>
        <tr r="T574" s="1"/>
      </tp>
      <tp t="s">
        <v>N/A</v>
        <stp/>
        <stp>PROB_OF_EXPIRING</stp>
        <stp>.SMH201120P195</stp>
        <tr r="T563" s="1"/>
      </tp>
      <tp t="s">
        <v>N/A</v>
        <stp/>
        <stp>PROB_OF_EXPIRING</stp>
        <stp>.SMH201120C195</stp>
        <tr r="T562" s="1"/>
      </tp>
      <tp t="s">
        <v>N/A</v>
        <stp/>
        <stp>PROB_OF_EXPIRING</stp>
        <stp>.SMH201120P194</stp>
        <tr r="T559" s="1"/>
      </tp>
      <tp t="s">
        <v>N/A</v>
        <stp/>
        <stp>PROB_OF_EXPIRING</stp>
        <stp>.SMH201120C194</stp>
        <tr r="T558" s="1"/>
      </tp>
      <tp t="s">
        <v>N/A</v>
        <stp/>
        <stp>PROB_OF_EXPIRING</stp>
        <stp>.SMH201120P197</stp>
        <tr r="T571" s="1"/>
      </tp>
      <tp t="s">
        <v>N/A</v>
        <stp/>
        <stp>PROB_OF_EXPIRING</stp>
        <stp>.SMH201120C197</stp>
        <tr r="T570" s="1"/>
      </tp>
      <tp t="s">
        <v>N/A</v>
        <stp/>
        <stp>PROB_OF_EXPIRING</stp>
        <stp>.SMH201120P196</stp>
        <tr r="T567" s="1"/>
      </tp>
      <tp t="s">
        <v>N/A</v>
        <stp/>
        <stp>PROB_OF_EXPIRING</stp>
        <stp>.SMH201120C196</stp>
        <tr r="T566" s="1"/>
      </tp>
      <tp t="s">
        <v>N/A</v>
        <stp/>
        <stp>PROB_OF_EXPIRING</stp>
        <stp>.SMH201120P193</stp>
        <tr r="T555" s="1"/>
      </tp>
      <tp t="s">
        <v>N/A</v>
        <stp/>
        <stp>PROB_OF_EXPIRING</stp>
        <stp>.SMH201120C193</stp>
        <tr r="T554" s="1"/>
      </tp>
      <tp t="s">
        <v>N/A</v>
        <stp/>
        <stp>PROB_OF_EXPIRING</stp>
        <stp>.IWM201120C172.5</stp>
        <tr r="T352" s="1"/>
      </tp>
      <tp t="s">
        <v>N/A</v>
        <stp/>
        <stp>OPEN_INT</stp>
        <stp>.IVW201120P61.25</stp>
        <tr r="G332" s="1"/>
      </tp>
      <tp t="s">
        <v>N/A</v>
        <stp/>
        <stp>HIGH</stp>
        <stp>.TAN201120C75.5</stp>
        <tr r="J672" s="1"/>
      </tp>
      <tp t="s">
        <v>N/A</v>
        <stp/>
        <stp>HIGH</stp>
        <stp>.TAN201120P75.5</stp>
        <tr r="J673" s="1"/>
      </tp>
      <tp>
        <v>0</v>
        <stp/>
        <stp>OPEN_INT</stp>
        <stp>.SMH201120P194.5</stp>
        <tr r="G561" s="1"/>
      </tp>
      <tp t="s">
        <v>N/A</v>
        <stp/>
        <stp>PROB_OF_TOUCHING</stp>
        <stp>.IVV201120P357.5</stp>
        <tr r="V319" s="1"/>
      </tp>
      <tp t="s">
        <v>N/A</v>
        <stp/>
        <stp>PROB_OF_TOUCHING</stp>
        <stp>.IWF201120P227.5</stp>
        <tr r="V344" s="1"/>
      </tp>
      <tp>
        <v>0.54</v>
        <stp/>
        <stp>HIGH</stp>
        <stp>.XLI201120C85.5</stp>
        <tr r="J820" s="1"/>
      </tp>
      <tp>
        <v>0.95</v>
        <stp/>
        <stp>HIGH</stp>
        <stp>.XHB201120C55.5</stp>
        <tr r="J783" s="1"/>
      </tp>
      <tp t="s">
        <v>N/A</v>
        <stp/>
        <stp>VEGA</stp>
        <stp>.XLB201120C69.5</stp>
        <tr r="P792" s="1"/>
      </tp>
      <tp t="s">
        <v>N/A</v>
        <stp/>
        <stp>VEGA</stp>
        <stp>.XOP201120C49.5</stp>
        <tr r="P900" s="1"/>
      </tp>
      <tp t="s">
        <v>N/A</v>
        <stp/>
        <stp>HIGH</stp>
        <stp>.XRT201120P55.5</stp>
        <tr r="J910" s="1"/>
      </tp>
      <tp t="s">
        <v>N/A</v>
        <stp/>
        <stp>HIGH</stp>
        <stp>.XLI201120P85.5</stp>
        <tr r="J821" s="1"/>
      </tp>
      <tp>
        <v>1.41</v>
        <stp/>
        <stp>HIGH</stp>
        <stp>.XHB201120P55.5</stp>
        <tr r="J784" s="1"/>
      </tp>
      <tp t="s">
        <v>N/A</v>
        <stp/>
        <stp>VEGA</stp>
        <stp>.XOP201120P49.5</stp>
        <tr r="P901" s="1"/>
      </tp>
      <tp t="s">
        <v>N/A</v>
        <stp/>
        <stp>VEGA</stp>
        <stp>.XLB201120P69.5</stp>
        <tr r="P793" s="1"/>
      </tp>
      <tp t="s">
        <v>N/A</v>
        <stp/>
        <stp>HIGH</stp>
        <stp>.XRT201120C55.5</stp>
        <tr r="J909" s="1"/>
      </tp>
      <tp t="s">
        <v>N/A</v>
        <stp/>
        <stp>IMPL_VOL</stp>
        <stp>.DIA201120C297.5</stp>
        <tr r="D79" s="1"/>
      </tp>
      <tp>
        <v>0.37</v>
        <stp/>
        <stp>LAST</stp>
        <stp>.MJ201120C13</stp>
        <tr r="E424" s="1"/>
      </tp>
      <tp t="s">
        <v>N/A</v>
        <stp/>
        <stp>PROB_OF_EXPIRING</stp>
        <stp>.IWM201120P172.5</stp>
        <tr r="T353" s="1"/>
      </tp>
      <tp t="s">
        <v>N/A</v>
        <stp/>
        <stp>BID</stp>
        <stp>.RSX201120P22.5</stp>
        <tr r="H516" s="1"/>
      </tp>
      <tp t="s">
        <v>N/A</v>
        <stp/>
        <stp>BID</stp>
        <stp>.RSX201120C22.5</stp>
        <tr r="H515" s="1"/>
      </tp>
      <tp t="s">
        <v>N/A</v>
        <stp/>
        <stp>BID</stp>
        <stp>.SSO201120P82.5</stp>
        <tr r="H650" s="1"/>
      </tp>
      <tp t="s">
        <v>N/A</v>
        <stp/>
        <stp>BID</stp>
        <stp>.SSO201120C82.5</stp>
        <tr r="H649" s="1"/>
      </tp>
      <tp t="s">
        <v>N/A</v>
        <stp/>
        <stp>PUT_CALL_RATIO</stp>
        <stp>.IGIB201120C61</stp>
        <tr r="C262" s="1"/>
      </tp>
      <tp t="s">
        <v>N/A</v>
        <stp/>
        <stp>STRIKE</stp>
        <stp>.PDBC201120C14</stp>
        <tr r="W452" s="1"/>
      </tp>
      <tp>
        <v>2.6</v>
        <stp/>
        <stp>BID</stp>
        <stp>.TAN201120C72.5</stp>
        <tr r="H660" s="1"/>
      </tp>
      <tp t="s">
        <v>N/A</v>
        <stp/>
        <stp>BID</stp>
        <stp>.TAN201120P72.5</stp>
        <tr r="H661" s="1"/>
      </tp>
      <tp>
        <v>0</v>
        <stp/>
        <stp>VOLUME</stp>
        <stp>.ITOT201120P81</stp>
        <tr r="F301" s="1"/>
      </tp>
      <tp t="s">
        <v>N/A</v>
        <stp/>
        <stp>VOLUME</stp>
        <stp>.ITOT201120P80</stp>
        <tr r="F299" s="1"/>
      </tp>
      <tp t="s">
        <v>N/A</v>
        <stp/>
        <stp>PUT_CALL_RATIO</stp>
        <stp>.NAIL201120C44</stp>
        <tr r="C439" s="1"/>
      </tp>
      <tp t="s">
        <v>N/A</v>
        <stp/>
        <stp>PUT_CALL_RATIO</stp>
        <stp>.NAIL201120C45</stp>
        <tr r="C441" s="1"/>
      </tp>
      <tp t="s">
        <v>N/A</v>
        <stp/>
        <stp>PUT_CALL_RATIO</stp>
        <stp>.NAIL201120C46</stp>
        <tr r="C443" s="1"/>
      </tp>
      <tp t="s">
        <v>N/A</v>
        <stp/>
        <stp>PUT_CALL_RATIO</stp>
        <stp>.NAIL201120C47</stp>
        <tr r="C445" s="1"/>
      </tp>
      <tp t="s">
        <v>N/A</v>
        <stp/>
        <stp>PUT_CALL_RATIO</stp>
        <stp>.NAIL201120C48</stp>
        <tr r="C447" s="1"/>
      </tp>
      <tp t="s">
        <v>N/A</v>
        <stp/>
        <stp>PUT_CALL_RATIO</stp>
        <stp>.NAIL201120C49</stp>
        <tr r="C449" s="1"/>
      </tp>
      <tp>
        <v>1.2</v>
        <stp/>
        <stp>ASK</stp>
        <stp>.EWZ201120P31.5</stp>
        <tr r="I174" s="1"/>
      </tp>
      <tp>
        <v>1.03</v>
        <stp/>
        <stp>ASK</stp>
        <stp>.EWY201120P71.5</stp>
        <tr r="I163" s="1"/>
      </tp>
      <tp>
        <v>0.43</v>
        <stp/>
        <stp>ASK</stp>
        <stp>.EWZ201120C31.5</stp>
        <tr r="I173" s="1"/>
      </tp>
      <tp t="s">
        <v>N/A</v>
        <stp/>
        <stp>ASK</stp>
        <stp>.EWY201120C71.5</stp>
        <tr r="I162" s="1"/>
      </tp>
      <tp t="s">
        <v>N/A</v>
        <stp/>
        <stp>PUT_CALL_RATIO</stp>
        <stp>.VGIT201120C70</stp>
        <tr r="C719" s="1"/>
      </tp>
      <tp t="s">
        <v>N/A</v>
        <stp/>
        <stp>PUT_CALL_RATIO</stp>
        <stp>.DRIP201120C45</stp>
        <tr r="C82" s="1"/>
      </tp>
      <tp t="s">
        <v>N/A</v>
        <stp/>
        <stp>BID</stp>
        <stp>.EWY201120P72.5</stp>
        <tr r="H167" s="1"/>
      </tp>
      <tp t="s">
        <v>N/A</v>
        <stp/>
        <stp>BID</stp>
        <stp>.EWY201120C72.5</stp>
        <tr r="H166" s="1"/>
      </tp>
      <tp t="s">
        <v>N/A</v>
        <stp/>
        <stp>ASK</stp>
        <stp>.SSO201120P81.5</stp>
        <tr r="I646" s="1"/>
      </tp>
      <tp t="s">
        <v>N/A</v>
        <stp/>
        <stp>ASK</stp>
        <stp>.SSO201120C81.5</stp>
        <tr r="I645" s="1"/>
      </tp>
      <tp t="s">
        <v>N/A</v>
        <stp/>
        <stp>PUT_CALL_RATIO</stp>
        <stp>.VCIT201120C96</stp>
        <tr r="C702" s="1"/>
      </tp>
      <tp t="s">
        <v>N/A</v>
        <stp/>
        <stp>STRIKE</stp>
        <stp>DFEN</stp>
        <tr r="W54" s="1"/>
      </tp>
      <tp t="s">
        <v>N/A</v>
        <stp/>
        <stp>ASK</stp>
        <stp>.VFH201120P66</stp>
        <tr r="I715" s="1"/>
      </tp>
      <tp t="s">
        <v>N/A</v>
        <stp/>
        <stp>ASK</stp>
        <stp>.VFH201120P67</stp>
        <tr r="I717" s="1"/>
      </tp>
      <tp>
        <v>7192978</v>
        <stp/>
        <stp>VOLUME</stp>
        <stp>JETS</stp>
        <tr r="F375" s="1"/>
      </tp>
      <tp t="s">
        <v>N/A</v>
        <stp/>
        <stp>DESCRIPTION</stp>
        <stp>.RSX201120C22</stp>
        <tr r="B513" s="1"/>
      </tp>
      <tp>
        <v>1.4</v>
        <stp/>
        <stp>ASK</stp>
        <stp>.EFA201120P69</stp>
        <tr r="I103" s="1"/>
      </tp>
      <tp t="s">
        <v>N/A</v>
        <stp/>
        <stp>RHO</stp>
        <stp>.TBF201120P16</stp>
        <tr r="Q682" s="1"/>
      </tp>
      <tp t="s">
        <v>N/A</v>
        <stp/>
        <stp>ASK</stp>
        <stp>.EFA201120P70</stp>
        <tr r="I107" s="1"/>
      </tp>
      <tp t="s">
        <v>N/A</v>
        <stp/>
        <stp>RHO</stp>
        <stp>.KBE201120P38</stp>
        <tr r="Q387" s="1"/>
      </tp>
      <tp>
        <v>15836079</v>
        <stp/>
        <stp>VOLUME</stp>
        <stp>IEMG</stp>
        <tr r="F256" s="1"/>
      </tp>
      <tp t="s">
        <v>N/A</v>
        <stp/>
        <stp>DESCRIPTION</stp>
        <stp>.SSO201120C82</stp>
        <tr r="B647" s="1"/>
      </tp>
      <tp t="s">
        <v>N/A</v>
        <stp/>
        <stp>DESCRIPTION</stp>
        <stp>.SSO201120C83</stp>
        <tr r="B651" s="1"/>
      </tp>
      <tp t="s">
        <v>N/A</v>
        <stp/>
        <stp>DESCRIPTION</stp>
        <stp>.SSO201120C81</stp>
        <tr r="B643" s="1"/>
      </tp>
      <tp t="s">
        <v>N/A</v>
        <stp/>
        <stp>DESCRIPTION</stp>
        <stp>.SSO201120C84</stp>
        <tr r="B655" s="1"/>
      </tp>
      <tp t="s">
        <v>N/A</v>
        <stp/>
        <stp>BID</stp>
        <stp>.EZU201120C42</stp>
        <tr r="H178" s="1"/>
      </tp>
      <tp t="s">
        <v>N/A</v>
        <stp/>
        <stp>LOW</stp>
        <stp>.EZU201120P42</stp>
        <tr r="K179" s="1"/>
      </tp>
      <tp t="s">
        <v>N/A</v>
        <stp/>
        <stp>BID</stp>
        <stp>.BZQ201120C12</stp>
        <tr r="H52" s="1"/>
      </tp>
      <tp t="s">
        <v>N/A</v>
        <stp/>
        <stp>LOW</stp>
        <stp>.BZQ201120P12</stp>
        <tr r="K53" s="1"/>
      </tp>
      <tp>
        <v>5643264</v>
        <stp/>
        <stp>VOLUME</stp>
        <stp>IEFA</stp>
        <tr r="F251" s="1"/>
      </tp>
      <tp t="s">
        <v>N/A</v>
        <stp/>
        <stp>ASK</stp>
        <stp>.EFV201120P45</stp>
        <tr r="I110" s="1"/>
      </tp>
      <tp t="s">
        <v>N/A</v>
        <stp/>
        <stp>RHO</stp>
        <stp>.TBT201120P17</stp>
        <tr r="Q685" s="1"/>
      </tp>
      <tp t="s">
        <v>23.03%</v>
        <stp/>
        <stp>IMPL_VOL</stp>
        <stp>IVE</stp>
        <tr r="D302" s="1"/>
      </tp>
      <tp>
        <v>0</v>
        <stp/>
        <stp>OPEN_INT</stp>
        <stp>KBE</stp>
        <tr r="G385" s="1"/>
      </tp>
      <tp t="s">
        <v>24.13%</v>
        <stp/>
        <stp>IMPL_VOL</stp>
        <stp>IVV</stp>
        <tr r="D309" s="1"/>
      </tp>
      <tp t="s">
        <v>26.04%</v>
        <stp/>
        <stp>IMPL_VOL</stp>
        <stp>IVW</stp>
        <tr r="D330" s="1"/>
      </tp>
      <tp t="s">
        <v>32.01%</v>
        <stp/>
        <stp>IMPL_VOL</stp>
        <stp>IWM</stp>
        <tr r="D345" s="1"/>
      </tp>
      <tp t="s">
        <v>29.14%</v>
        <stp/>
        <stp>IMPL_VOL</stp>
        <stp>IWF</stp>
        <tr r="D340" s="1"/>
      </tp>
      <tp t="s">
        <v>24.55%</v>
        <stp/>
        <stp>IMPL_VOL</stp>
        <stp>IWD</stp>
        <tr r="D333" s="1"/>
      </tp>
      <tp t="s">
        <v>N/A</v>
        <stp/>
        <stp>PROB_OF_TOUCHING</stp>
        <stp>IYE</stp>
        <tr r="V363" s="1"/>
      </tp>
      <tp t="s">
        <v>35.22%</v>
        <stp/>
        <stp>IMPL_VOL</stp>
        <stp>ITB</stp>
        <tr r="D288" s="1"/>
      </tp>
      <tp t="s">
        <v>N/A</v>
        <stp/>
        <stp>PROB_OF_TOUCHING</stp>
        <stp>IYR</stp>
        <tr r="V366" s="1"/>
      </tp>
      <tp t="s">
        <v>N/A</v>
        <stp/>
        <stp>IMPL_VOL</stp>
        <stp>.JETS201120C19.5</stp>
        <tr r="D376" s="1"/>
      </tp>
      <tp t="s">
        <v>N/A</v>
        <stp/>
        <stp>IMPL_VOL</stp>
        <stp>.JETS201120P19.5</stp>
        <tr r="D377" s="1"/>
      </tp>
      <tp t="s">
        <v>N/A</v>
        <stp/>
        <stp>PROB_OF_TOUCHING</stp>
        <stp>IWM</stp>
        <tr r="V345" s="1"/>
      </tp>
      <tp t="s">
        <v>N/A</v>
        <stp/>
        <stp>PROB_OF_TOUCHING</stp>
        <stp>IWF</stp>
        <tr r="V340" s="1"/>
      </tp>
      <tp t="s">
        <v>N/A</v>
        <stp/>
        <stp>PROB_OF_TOUCHING</stp>
        <stp>IWD</stp>
        <tr r="V333" s="1"/>
      </tp>
      <tp t="s">
        <v>N/A</v>
        <stp/>
        <stp>PROB_OF_TOUCHING</stp>
        <stp>IVE</stp>
        <tr r="V302" s="1"/>
      </tp>
      <tp t="s">
        <v>N/A</v>
        <stp/>
        <stp>PROB_OF_TOUCHING</stp>
        <stp>IVW</stp>
        <tr r="V330" s="1"/>
      </tp>
      <tp t="s">
        <v>N/A</v>
        <stp/>
        <stp>PROB_OF_TOUCHING</stp>
        <stp>IVV</stp>
        <tr r="V309" s="1"/>
      </tp>
      <tp t="s">
        <v>39.45%</v>
        <stp/>
        <stp>IMPL_VOL</stp>
        <stp>IYE</stp>
        <tr r="D363" s="1"/>
      </tp>
      <tp t="s">
        <v>N/A</v>
        <stp/>
        <stp>PROB_OF_TOUCHING</stp>
        <stp>ITB</stp>
        <tr r="V288" s="1"/>
      </tp>
      <tp t="s">
        <v>26.12%</v>
        <stp/>
        <stp>IMPL_VOL</stp>
        <stp>IYR</stp>
        <tr r="D366" s="1"/>
      </tp>
      <tp>
        <v>0</v>
        <stp/>
        <stp>OPEN_INT</stp>
        <stp>KRE</stp>
        <tr r="G388" s="1"/>
      </tp>
      <tp t="s">
        <v>N/A</v>
        <stp/>
        <stp>PROB_OF_TOUCHING</stp>
        <stp>IJH</stp>
        <tr r="V271" s="1"/>
      </tp>
      <tp t="s">
        <v>32.52%</v>
        <stp/>
        <stp>IMPL_VOL</stp>
        <stp>IGV</stp>
        <tr r="D264" s="1"/>
      </tp>
      <tp t="s">
        <v>N/A</v>
        <stp/>
        <stp>PROB_OF_TOUCHING</stp>
        <stp>IJR</stp>
        <tr r="V274" s="1"/>
      </tp>
      <tp t="s">
        <v>4.48%</v>
        <stp/>
        <stp>IMPL_VOL</stp>
        <stp>IEF</stp>
        <tr r="D248" s="1"/>
      </tp>
      <tp t="s">
        <v>28.43%</v>
        <stp/>
        <stp>IMPL_VOL</stp>
        <stp>IBB</stp>
        <tr r="D228" s="1"/>
      </tp>
      <tp t="s">
        <v>N/A</v>
        <stp/>
        <stp>PROB_OF_TOUCHING</stp>
        <stp>ILF</stp>
        <tr r="V277" s="1"/>
      </tp>
      <tp t="s">
        <v>N/A</v>
        <stp/>
        <stp>PROB_OF_TOUCHING</stp>
        <stp>IBB</stp>
        <tr r="V228" s="1"/>
      </tp>
      <tp t="s">
        <v>29.76%</v>
        <stp/>
        <stp>IMPL_VOL</stp>
        <stp>ILF</stp>
        <tr r="D277" s="1"/>
      </tp>
      <tp t="s">
        <v>24.02%</v>
        <stp/>
        <stp>IMPL_VOL</stp>
        <stp>IJH</stp>
        <tr r="D271" s="1"/>
      </tp>
      <tp t="s">
        <v>N/A</v>
        <stp/>
        <stp>PROB_OF_TOUCHING</stp>
        <stp>IGV</stp>
        <tr r="V264" s="1"/>
      </tp>
      <tp t="s">
        <v>31.96%</v>
        <stp/>
        <stp>IMPL_VOL</stp>
        <stp>IJR</stp>
        <tr r="D274" s="1"/>
      </tp>
      <tp t="s">
        <v>N/A</v>
        <stp/>
        <stp>PROB_OF_TOUCHING</stp>
        <stp>IEF</stp>
        <tr r="V248" s="1"/>
      </tp>
      <tp t="s">
        <v>N/A</v>
        <stp/>
        <stp>EXTRINSIC</stp>
        <stp>SRVR</stp>
        <tr r="S637" s="1"/>
      </tp>
      <tp t="s">
        <v>N/A</v>
        <stp/>
        <stp>IMPL_VOL</stp>
        <stp>.IBB201120P139.5</stp>
        <tr r="D236" s="1"/>
      </tp>
      <tp t="s">
        <v>N/A</v>
        <stp/>
        <stp>PROB_OF_EXPIRING</stp>
        <stp>.IJH201120P210</stp>
        <tr r="T273" s="1"/>
      </tp>
      <tp t="s">
        <v>N/A</v>
        <stp/>
        <stp>PROB_OF_EXPIRING</stp>
        <stp>.IJH201120C210</stp>
        <tr r="T272" s="1"/>
      </tp>
      <tp t="s">
        <v>N/A</v>
        <stp/>
        <stp>IMPL_VOL</stp>
        <stp>.IEF201120P119.5</stp>
        <tr r="D250" s="1"/>
      </tp>
      <tp t="s">
        <v>N/A</v>
        <stp/>
        <stp>PROB_OF_EXPIRING</stp>
        <stp>.JNK201120P107</stp>
        <tr r="T384" s="1"/>
      </tp>
      <tp t="s">
        <v>N/A</v>
        <stp/>
        <stp>PROB_OF_EXPIRING</stp>
        <stp>.JNK201120C107</stp>
        <tr r="T383" s="1"/>
      </tp>
      <tp>
        <v>716</v>
        <stp/>
        <stp>OPEN_INT</stp>
        <stp>.SMH201120C197.5</stp>
        <tr r="G572" s="1"/>
      </tp>
      <tp>
        <v>1.81</v>
        <stp/>
        <stp>HIGH</stp>
        <stp>.GDX201120C36.5</stp>
        <tr r="J196" s="1"/>
      </tp>
      <tp t="s">
        <v>N/A</v>
        <stp/>
        <stp>PROB_OF_EXPIRING</stp>
        <stp>.XLK201120P122</stp>
        <tr r="T836" s="1"/>
      </tp>
      <tp t="s">
        <v>N/A</v>
        <stp/>
        <stp>PROB_OF_EXPIRING</stp>
        <stp>.XLK201120C122</stp>
        <tr r="T835" s="1"/>
      </tp>
      <tp t="s">
        <v>N/A</v>
        <stp/>
        <stp>PROB_OF_EXPIRING</stp>
        <stp>.XLK201120P123</stp>
        <tr r="T840" s="1"/>
      </tp>
      <tp t="s">
        <v>N/A</v>
        <stp/>
        <stp>PROB_OF_EXPIRING</stp>
        <stp>.XLK201120C123</stp>
        <tr r="T839" s="1"/>
      </tp>
      <tp t="s">
        <v>N/A</v>
        <stp/>
        <stp>PROB_OF_EXPIRING</stp>
        <stp>.XLK201120P120</stp>
        <tr r="T828" s="1"/>
      </tp>
      <tp t="s">
        <v>N/A</v>
        <stp/>
        <stp>PROB_OF_EXPIRING</stp>
        <stp>.XLK201120C120</stp>
        <tr r="T827" s="1"/>
      </tp>
      <tp t="s">
        <v>N/A</v>
        <stp/>
        <stp>PROB_OF_EXPIRING</stp>
        <stp>.XLK201120P121</stp>
        <tr r="T832" s="1"/>
      </tp>
      <tp t="s">
        <v>N/A</v>
        <stp/>
        <stp>PROB_OF_EXPIRING</stp>
        <stp>.XLK201120C121</stp>
        <tr r="T831" s="1"/>
      </tp>
      <tp>
        <v>0.48</v>
        <stp/>
        <stp>HIGH</stp>
        <stp>.GDX201120P36.5</stp>
        <tr r="J197" s="1"/>
      </tp>
      <tp t="s">
        <v>N/A</v>
        <stp/>
        <stp>PROB_OF_EXPIRING</stp>
        <stp>.LQD201120C134.5</stp>
        <tr r="T405" s="1"/>
      </tp>
      <tp t="s">
        <v>N/A</v>
        <stp/>
        <stp>PROB_OF_EXPIRING</stp>
        <stp>.IBB201120P141.5</stp>
        <tr r="T244" s="1"/>
      </tp>
      <tp>
        <v>0</v>
        <stp/>
        <stp>HIGH</stp>
        <stp>.KRE201120P46.5</stp>
        <tr r="J392" s="1"/>
      </tp>
      <tp>
        <v>0.83</v>
        <stp/>
        <stp>HIGH</stp>
        <stp>.KRE201120C46.5</stp>
        <tr r="J391" s="1"/>
      </tp>
      <tp>
        <v>3014</v>
        <stp/>
        <stp>OPEN_INT</stp>
        <stp>.SPY201120P357.5</stp>
        <tr r="G620" s="1"/>
      </tp>
      <tp t="s">
        <v>N/A</v>
        <stp/>
        <stp>INTRINSIC</stp>
        <stp>SRVR</stp>
        <tr r="R637" s="1"/>
      </tp>
      <tp t="s">
        <v>N/A</v>
        <stp/>
        <stp>IMPL_VOL</stp>
        <stp>.IWF201120C225</stp>
        <tr r="D341" s="1"/>
      </tp>
      <tp t="s">
        <v>N/A</v>
        <stp/>
        <stp>IMPL_VOL</stp>
        <stp>.IWF201120P225</stp>
        <tr r="D342" s="1"/>
      </tp>
      <tp t="s">
        <v>N/A</v>
        <stp/>
        <stp>IMPL_VOL</stp>
        <stp>.IVE201120C123</stp>
        <tr r="D307" s="1"/>
      </tp>
      <tp t="s">
        <v>N/A</v>
        <stp/>
        <stp>IMPL_VOL</stp>
        <stp>.IVE201120P123</stp>
        <tr r="D308" s="1"/>
      </tp>
      <tp t="s">
        <v>N/A</v>
        <stp/>
        <stp>IMPL_VOL</stp>
        <stp>.IVE201120C122</stp>
        <tr r="D305" s="1"/>
      </tp>
      <tp t="s">
        <v>N/A</v>
        <stp/>
        <stp>IMPL_VOL</stp>
        <stp>.IVE201120P122</stp>
        <tr r="D306" s="1"/>
      </tp>
      <tp t="s">
        <v>N/A</v>
        <stp/>
        <stp>IMPL_VOL</stp>
        <stp>.IVE201120C121</stp>
        <tr r="D303" s="1"/>
      </tp>
      <tp t="s">
        <v>N/A</v>
        <stp/>
        <stp>IMPL_VOL</stp>
        <stp>.IVE201120P121</stp>
        <tr r="D304" s="1"/>
      </tp>
      <tp t="s">
        <v>N/A</v>
        <stp/>
        <stp>IMPL_VOL</stp>
        <stp>.IBB201120C139.5</stp>
        <tr r="D235" s="1"/>
      </tp>
      <tp t="s">
        <v>N/A</v>
        <stp/>
        <stp>INTRINSIC</stp>
        <stp>DRIP</stp>
        <tr r="R81" s="1"/>
      </tp>
      <tp t="s">
        <v>N/A</v>
        <stp/>
        <stp>INTRINSIC</stp>
        <stp>ARKW</stp>
        <tr r="R34" s="1"/>
      </tp>
      <tp t="s">
        <v>N/A</v>
        <stp/>
        <stp>HIGH</stp>
        <stp>.SHY201120C86.5</stp>
        <tr r="J546" s="1"/>
      </tp>
      <tp t="s">
        <v>N/A</v>
        <stp/>
        <stp>HIGH</stp>
        <stp>.SHY201120P86.5</stp>
        <tr r="J547" s="1"/>
      </tp>
      <tp t="s">
        <v>N/A</v>
        <stp/>
        <stp>INTRINSIC</stp>
        <stp>ARKK</stp>
        <tr r="R25" s="1"/>
      </tp>
      <tp t="s">
        <v>N/A</v>
        <stp/>
        <stp>HIGH</stp>
        <stp>.TAN201120C76.5</stp>
        <tr r="J676" s="1"/>
      </tp>
      <tp t="s">
        <v>N/A</v>
        <stp/>
        <stp>HIGH</stp>
        <stp>.TAN201120P76.5</stp>
        <tr r="J677" s="1"/>
      </tp>
      <tp>
        <v>0</v>
        <stp/>
        <stp>HIGH</stp>
        <stp>.VWO201120P46.5</stp>
        <tr r="J750" s="1"/>
      </tp>
      <tp>
        <v>0</v>
        <stp/>
        <stp>HIGH</stp>
        <stp>.VWO201120C46.5</stp>
        <tr r="J749" s="1"/>
      </tp>
      <tp>
        <v>119</v>
        <stp/>
        <stp>OPEN_INT</stp>
        <stp>.SMH201120P197.5</stp>
        <tr r="G573" s="1"/>
      </tp>
      <tp t="s">
        <v>N/A</v>
        <stp/>
        <stp>IMPL_VOL</stp>
        <stp>.IEF201120C119.5</stp>
        <tr r="D249" s="1"/>
      </tp>
      <tp t="s">
        <v>N/A</v>
        <stp/>
        <stp>HIGH</stp>
        <stp>.XME201120C26.5</stp>
        <tr r="J885" s="1"/>
      </tp>
      <tp t="s">
        <v>N/A</v>
        <stp/>
        <stp>HIGH</stp>
        <stp>.XLP201120C66.5</stp>
        <tr r="J842" s="1"/>
      </tp>
      <tp>
        <v>0.53</v>
        <stp/>
        <stp>HIGH</stp>
        <stp>.XLU201120C66.5</stp>
        <tr r="J852" s="1"/>
      </tp>
      <tp>
        <v>0.86</v>
        <stp/>
        <stp>HIGH</stp>
        <stp>.XLP201120P66.5</stp>
        <tr r="J843" s="1"/>
      </tp>
      <tp t="s">
        <v>N/A</v>
        <stp/>
        <stp>HIGH</stp>
        <stp>.XLU201120P66.5</stp>
        <tr r="J853" s="1"/>
      </tp>
      <tp t="s">
        <v>N/A</v>
        <stp/>
        <stp>HIGH</stp>
        <stp>.XME201120P26.5</stp>
        <tr r="J886" s="1"/>
      </tp>
      <tp>
        <v>5831</v>
        <stp/>
        <stp>OPEN_INT</stp>
        <stp>.SPY201120C357.5</stp>
        <tr r="G619" s="1"/>
      </tp>
      <tp t="s">
        <v>N/A</v>
        <stp/>
        <stp>PROB_OF_EXPIRING</stp>
        <stp>.LQD201120P134.5</stp>
        <tr r="T406" s="1"/>
      </tp>
      <tp t="s">
        <v>N/A</v>
        <stp/>
        <stp>PROB_OF_EXPIRING</stp>
        <stp>.IBB201120C141.5</stp>
        <tr r="T243" s="1"/>
      </tp>
      <tp t="s">
        <v>N/A</v>
        <stp/>
        <stp>EXTRINSIC</stp>
        <stp>DRIP</stp>
        <tr r="S81" s="1"/>
      </tp>
      <tp t="s">
        <v>N/A</v>
        <stp/>
        <stp>EXTRINSIC</stp>
        <stp>ARKK</stp>
        <tr r="S25" s="1"/>
      </tp>
      <tp t="s">
        <v>N/A</v>
        <stp/>
        <stp>EXTRINSIC</stp>
        <stp>ARKW</stp>
        <tr r="S34" s="1"/>
      </tp>
      <tp t="s">
        <v>N/A</v>
        <stp/>
        <stp>STRIKE</stp>
        <stp>.XLRE201120P37</stp>
        <tr r="W848" s="1"/>
      </tp>
      <tp t="s">
        <v>N/A</v>
        <stp/>
        <stp>PUT_CALL_RATIO</stp>
        <stp>.SPYG201120P53</stp>
        <tr r="C633" s="1"/>
      </tp>
      <tp t="s">
        <v>N/A</v>
        <stp/>
        <stp>PUT_CALL_RATIO</stp>
        <stp>.SPYG201120P52</stp>
        <tr r="C631" s="1"/>
      </tp>
      <tp t="s">
        <v>N/A</v>
        <stp/>
        <stp>BID</stp>
        <stp>.SSO201120P81.5</stp>
        <tr r="H646" s="1"/>
      </tp>
      <tp t="s">
        <v>N/A</v>
        <stp/>
        <stp>PUT_CALL_RATIO</stp>
        <stp>.SHYG201120P45</stp>
        <tr r="C550" s="1"/>
      </tp>
      <tp t="s">
        <v>N/A</v>
        <stp/>
        <stp>BID</stp>
        <stp>.SSO201120C81.5</stp>
        <tr r="H645" s="1"/>
      </tp>
      <tp t="s">
        <v>N/A</v>
        <stp/>
        <stp>VOLUME</stp>
        <stp>.AMLP201120P23</stp>
        <tr r="F20" s="1"/>
      </tp>
      <tp t="s">
        <v>N/A</v>
        <stp/>
        <stp>VOLUME</stp>
        <stp>.AMLP201120P24</stp>
        <tr r="F24" s="1"/>
      </tp>
      <tp t="s">
        <v>N/A</v>
        <stp/>
        <stp>VOLUME</stp>
        <stp>.SPLV201120P55</stp>
        <tr r="F589" s="1"/>
      </tp>
      <tp t="s">
        <v>N/A</v>
        <stp/>
        <stp>STRIKE</stp>
        <stp>.DGRO201120P43</stp>
        <tr r="W61" s="1"/>
      </tp>
      <tp t="s">
        <v>N/A</v>
        <stp/>
        <stp>ASK</stp>
        <stp>.EWY201120P72.5</stp>
        <tr r="I167" s="1"/>
      </tp>
      <tp t="s">
        <v>N/A</v>
        <stp/>
        <stp>ASK</stp>
        <stp>.EWY201120C72.5</stp>
        <tr r="I166" s="1"/>
      </tp>
      <tp t="s">
        <v>N/A</v>
        <stp/>
        <stp>EXTRINSIC</stp>
        <stp>.XBI201120C124</stp>
        <tr r="S772" s="1"/>
      </tp>
      <tp t="s">
        <v>N/A</v>
        <stp/>
        <stp>EXTRINSIC</stp>
        <stp>.XBI201120P124</stp>
        <tr r="S773" s="1"/>
      </tp>
      <tp t="s">
        <v>N/A</v>
        <stp/>
        <stp>EXTRINSIC</stp>
        <stp>.XBI201120C125</stp>
        <tr r="S776" s="1"/>
      </tp>
      <tp t="s">
        <v>N/A</v>
        <stp/>
        <stp>EXTRINSIC</stp>
        <stp>.XBI201120P125</stp>
        <tr r="S777" s="1"/>
      </tp>
      <tp t="s">
        <v>N/A</v>
        <stp/>
        <stp>EXTRINSIC</stp>
        <stp>.XBI201120C122</stp>
        <tr r="S764" s="1"/>
      </tp>
      <tp t="s">
        <v>N/A</v>
        <stp/>
        <stp>EXTRINSIC</stp>
        <stp>.XBI201120P122</stp>
        <tr r="S765" s="1"/>
      </tp>
      <tp t="s">
        <v>N/A</v>
        <stp/>
        <stp>EXTRINSIC</stp>
        <stp>.XBI201120C123</stp>
        <tr r="S768" s="1"/>
      </tp>
      <tp t="s">
        <v>N/A</v>
        <stp/>
        <stp>EXTRINSIC</stp>
        <stp>.XBI201120P123</stp>
        <tr r="S769" s="1"/>
      </tp>
      <tp>
        <v>1.1499999999999999</v>
        <stp/>
        <stp>BID</stp>
        <stp>.EWZ201120P31.5</stp>
        <tr r="H174" s="1"/>
      </tp>
      <tp>
        <v>0.86</v>
        <stp/>
        <stp>BID</stp>
        <stp>.EWY201120P71.5</stp>
        <tr r="H163" s="1"/>
      </tp>
      <tp>
        <v>0.39</v>
        <stp/>
        <stp>BID</stp>
        <stp>.EWZ201120C31.5</stp>
        <tr r="H173" s="1"/>
      </tp>
      <tp t="s">
        <v>N/A</v>
        <stp/>
        <stp>BID</stp>
        <stp>.EWY201120C71.5</stp>
        <tr r="H162" s="1"/>
      </tp>
      <tp t="s">
        <v>N/A</v>
        <stp/>
        <stp>PUT_CALL_RATIO</stp>
        <stp>.SPYV201120P33</stp>
        <tr r="C636" s="1"/>
      </tp>
      <tp t="s">
        <v>N/A</v>
        <stp/>
        <stp>VOLUME</stp>
        <stp>.BKLN201120P22</stp>
        <tr r="F50" s="1"/>
      </tp>
      <tp t="s">
        <v>N/A</v>
        <stp/>
        <stp>VOLUME</stp>
        <stp>.ICLN201120P22</stp>
        <tr r="F247" s="1"/>
      </tp>
      <tp t="s">
        <v>N/A</v>
        <stp/>
        <stp>ASK</stp>
        <stp>.RSX201120P22.5</stp>
        <tr r="I516" s="1"/>
      </tp>
      <tp t="s">
        <v>N/A</v>
        <stp/>
        <stp>EXTRINSIC</stp>
        <stp>.VTI201120P182</stp>
        <tr r="S743" s="1"/>
      </tp>
      <tp t="s">
        <v>N/A</v>
        <stp/>
        <stp>EXTRINSIC</stp>
        <stp>.VTI201120C182</stp>
        <tr r="S742" s="1"/>
      </tp>
      <tp t="s">
        <v>N/A</v>
        <stp/>
        <stp>EXTRINSIC</stp>
        <stp>.VTI201120P183</stp>
        <tr r="S745" s="1"/>
      </tp>
      <tp t="s">
        <v>N/A</v>
        <stp/>
        <stp>EXTRINSIC</stp>
        <stp>.VTI201120C183</stp>
        <tr r="S744" s="1"/>
      </tp>
      <tp t="s">
        <v>N/A</v>
        <stp/>
        <stp>EXTRINSIC</stp>
        <stp>.VTI201120P181</stp>
        <tr r="S741" s="1"/>
      </tp>
      <tp t="s">
        <v>N/A</v>
        <stp/>
        <stp>EXTRINSIC</stp>
        <stp>.VTI201120C181</stp>
        <tr r="S740" s="1"/>
      </tp>
      <tp t="s">
        <v>N/A</v>
        <stp/>
        <stp>ASK</stp>
        <stp>.RSX201120C22.5</stp>
        <tr r="I515" s="1"/>
      </tp>
      <tp t="s">
        <v>N/A</v>
        <stp/>
        <stp>EXTRINSIC</stp>
        <stp>.VTI201120P184</stp>
        <tr r="S747" s="1"/>
      </tp>
      <tp t="s">
        <v>N/A</v>
        <stp/>
        <stp>EXTRINSIC</stp>
        <stp>.VTI201120C184</stp>
        <tr r="S746" s="1"/>
      </tp>
      <tp t="s">
        <v>N/A</v>
        <stp/>
        <stp>VOLUME</stp>
        <stp>.SPLG201120P42</stp>
        <tr r="F586" s="1"/>
      </tp>
      <tp t="s">
        <v>N/A</v>
        <stp/>
        <stp>ASK</stp>
        <stp>.SSO201120P82.5</stp>
        <tr r="I650" s="1"/>
      </tp>
      <tp t="s">
        <v>N/A</v>
        <stp/>
        <stp>ASK</stp>
        <stp>.SSO201120C82.5</stp>
        <tr r="I649" s="1"/>
      </tp>
      <tp t="s">
        <v>N/A</v>
        <stp/>
        <stp>VOLUME</stp>
        <stp>.EMLC201120P32</stp>
        <tr r="F116" s="1"/>
      </tp>
      <tp t="s">
        <v>N/A</v>
        <stp/>
        <stp>VOLUME</stp>
        <stp>.HYLB201120P49</stp>
        <tr r="F227" s="1"/>
      </tp>
      <tp>
        <v>3.1</v>
        <stp/>
        <stp>ASK</stp>
        <stp>.TAN201120C72.5</stp>
        <tr r="I660" s="1"/>
      </tp>
      <tp t="s">
        <v>N/A</v>
        <stp/>
        <stp>ASK</stp>
        <stp>.TAN201120P72.5</stp>
        <tr r="I661" s="1"/>
      </tp>
      <tp>
        <v>0.96</v>
        <stp/>
        <stp>BID</stp>
        <stp>.IWM201120C175</stp>
        <tr r="H358" s="1"/>
      </tp>
      <tp>
        <v>5.88</v>
        <stp/>
        <stp>BID</stp>
        <stp>.IWM201120P175</stp>
        <tr r="H359" s="1"/>
      </tp>
      <tp>
        <v>1.25</v>
        <stp/>
        <stp>BID</stp>
        <stp>.IWM201120C174</stp>
        <tr r="H356" s="1"/>
      </tp>
      <tp>
        <v>5.18</v>
        <stp/>
        <stp>BID</stp>
        <stp>.IWM201120P174</stp>
        <tr r="H357" s="1"/>
      </tp>
      <tp>
        <v>1.61</v>
        <stp/>
        <stp>BID</stp>
        <stp>.IWM201120C173</stp>
        <tr r="H354" s="1"/>
      </tp>
      <tp>
        <v>4.53</v>
        <stp/>
        <stp>BID</stp>
        <stp>.IWM201120P173</stp>
        <tr r="H355" s="1"/>
      </tp>
      <tp>
        <v>2.0099999999999998</v>
        <stp/>
        <stp>BID</stp>
        <stp>.IWM201120C172</stp>
        <tr r="H350" s="1"/>
      </tp>
      <tp>
        <v>3.95</v>
        <stp/>
        <stp>BID</stp>
        <stp>.IWM201120P172</stp>
        <tr r="H351" s="1"/>
      </tp>
      <tp>
        <v>2.4700000000000002</v>
        <stp/>
        <stp>BID</stp>
        <stp>.IWM201120C171</stp>
        <tr r="H348" s="1"/>
      </tp>
      <tp>
        <v>3.45</v>
        <stp/>
        <stp>BID</stp>
        <stp>.IWM201120P171</stp>
        <tr r="H349" s="1"/>
      </tp>
      <tp>
        <v>3.01</v>
        <stp/>
        <stp>BID</stp>
        <stp>.IWM201120C170</stp>
        <tr r="H346" s="1"/>
      </tp>
      <tp>
        <v>2.98</v>
        <stp/>
        <stp>BID</stp>
        <stp>.IWM201120P170</stp>
        <tr r="H347" s="1"/>
      </tp>
      <tp t="s">
        <v>N/A</v>
        <stp/>
        <stp>STRIKE</stp>
        <stp>IEFA</stp>
        <tr r="W251" s="1"/>
      </tp>
      <tp>
        <v>0.85</v>
        <stp/>
        <stp>ASK</stp>
        <stp>.EEM201120P48</stp>
        <tr r="I98" s="1"/>
      </tp>
      <tp t="s">
        <v>N/A</v>
        <stp/>
        <stp>RHO</stp>
        <stp>.TAN201120P77</stp>
        <tr r="Q679" s="1"/>
      </tp>
      <tp t="s">
        <v>N/A</v>
        <stp/>
        <stp>RHO</stp>
        <stp>.TAN201120P76</stp>
        <tr r="Q675" s="1"/>
      </tp>
      <tp t="s">
        <v>N/A</v>
        <stp/>
        <stp>RHO</stp>
        <stp>.TAN201120P75</stp>
        <tr r="Q671" s="1"/>
      </tp>
      <tp t="s">
        <v>N/A</v>
        <stp/>
        <stp>RHO</stp>
        <stp>.TAN201120P74</stp>
        <tr r="Q667" s="1"/>
      </tp>
      <tp t="s">
        <v>N/A</v>
        <stp/>
        <stp>RHO</stp>
        <stp>.TAN201120P73</stp>
        <tr r="Q663" s="1"/>
      </tp>
      <tp>
        <v>1.04</v>
        <stp/>
        <stp>ASK</stp>
        <stp>.IWM201120C175</stp>
        <tr r="I358" s="1"/>
      </tp>
      <tp>
        <v>6.1</v>
        <stp/>
        <stp>ASK</stp>
        <stp>.IWM201120P175</stp>
        <tr r="I359" s="1"/>
      </tp>
      <tp>
        <v>1.34</v>
        <stp/>
        <stp>ASK</stp>
        <stp>.IWM201120C174</stp>
        <tr r="I356" s="1"/>
      </tp>
      <tp>
        <v>5.4</v>
        <stp/>
        <stp>ASK</stp>
        <stp>.IWM201120P174</stp>
        <tr r="I357" s="1"/>
      </tp>
      <tp>
        <v>2.58</v>
        <stp/>
        <stp>ASK</stp>
        <stp>.IWM201120C171</stp>
        <tr r="I348" s="1"/>
      </tp>
      <tp>
        <v>3.58</v>
        <stp/>
        <stp>ASK</stp>
        <stp>.IWM201120P171</stp>
        <tr r="I349" s="1"/>
      </tp>
      <tp>
        <v>3.13</v>
        <stp/>
        <stp>ASK</stp>
        <stp>.IWM201120C170</stp>
        <tr r="I346" s="1"/>
      </tp>
      <tp>
        <v>3.08</v>
        <stp/>
        <stp>ASK</stp>
        <stp>.IWM201120P170</stp>
        <tr r="I347" s="1"/>
      </tp>
      <tp>
        <v>1.7</v>
        <stp/>
        <stp>ASK</stp>
        <stp>.IWM201120C173</stp>
        <tr r="I354" s="1"/>
      </tp>
      <tp>
        <v>4.74</v>
        <stp/>
        <stp>ASK</stp>
        <stp>.IWM201120P173</stp>
        <tr r="I355" s="1"/>
      </tp>
      <tp>
        <v>2.12</v>
        <stp/>
        <stp>ASK</stp>
        <stp>.IWM201120C172</stp>
        <tr r="I350" s="1"/>
      </tp>
      <tp>
        <v>4.1399999999999997</v>
        <stp/>
        <stp>ASK</stp>
        <stp>.IWM201120P172</stp>
        <tr r="I351" s="1"/>
      </tp>
      <tp t="s">
        <v>N/A</v>
        <stp/>
        <stp>BID</stp>
        <stp>.VOO201120P330</stp>
        <tr r="H733" s="1"/>
      </tp>
      <tp>
        <v>1.3</v>
        <stp/>
        <stp>BID</stp>
        <stp>.VOO201120C330</stp>
        <tr r="H732" s="1"/>
      </tp>
      <tp t="s">
        <v>N/A</v>
        <stp/>
        <stp>BID</stp>
        <stp>.VOO201120P325</stp>
        <tr r="H731" s="1"/>
      </tp>
      <tp>
        <v>3.6</v>
        <stp/>
        <stp>BID</stp>
        <stp>.VOO201120C325</stp>
        <tr r="H730" s="1"/>
      </tp>
      <tp t="s">
        <v>N/A</v>
        <stp/>
        <stp>ASK</stp>
        <stp>.VOO201120P325</stp>
        <tr r="I731" s="1"/>
      </tp>
      <tp>
        <v>4.0999999999999996</v>
        <stp/>
        <stp>ASK</stp>
        <stp>.VOO201120C325</stp>
        <tr r="I730" s="1"/>
      </tp>
      <tp>
        <v>0.18</v>
        <stp/>
        <stp>BID</stp>
        <stp>.HYG201120C86</stp>
        <tr r="H223" s="1"/>
      </tp>
      <tp>
        <v>0.69</v>
        <stp/>
        <stp>LOW</stp>
        <stp>.HYG201120P86</stp>
        <tr r="K224" s="1"/>
      </tp>
      <tp t="s">
        <v>N/A</v>
        <stp/>
        <stp>ASK</stp>
        <stp>.VOO201120P330</stp>
        <tr r="I733" s="1"/>
      </tp>
      <tp>
        <v>1.7</v>
        <stp/>
        <stp>ASK</stp>
        <stp>.VOO201120C330</stp>
        <tr r="I732" s="1"/>
      </tp>
      <tp t="s">
        <v>N/A</v>
        <stp/>
        <stp>RHO</stp>
        <stp>.KRE201120C47</stp>
        <tr r="Q393" s="1"/>
      </tp>
      <tp t="s">
        <v>N/A</v>
        <stp/>
        <stp>RHO</stp>
        <stp>.KRE201120C46</stp>
        <tr r="Q389" s="1"/>
      </tp>
      <tp>
        <v>1.4</v>
        <stp/>
        <stp>LOW</stp>
        <stp>.VOO201120C330</stp>
        <tr r="K732" s="1"/>
      </tp>
      <tp t="s">
        <v>N/A</v>
        <stp/>
        <stp>LOW</stp>
        <stp>.VOO201120P330</stp>
        <tr r="K733" s="1"/>
      </tp>
      <tp t="s">
        <v>N/A</v>
        <stp/>
        <stp>DESCRIPTION</stp>
        <stp>.SCZ201120P63</stp>
        <tr r="B536" s="1"/>
      </tp>
      <tp>
        <v>0.33300000000000002</v>
        <stp/>
        <stp>PUT_CALL_RATIO</stp>
        <stp>IXUS</stp>
        <tr r="C360" s="1"/>
      </tp>
      <tp>
        <v>3.5</v>
        <stp/>
        <stp>PUT_CALL_RATIO</stp>
        <stp>VXUS</stp>
        <tr r="C753" s="1"/>
      </tp>
      <tp t="s">
        <v>N/A</v>
        <stp/>
        <stp>STRIKE</stp>
        <stp>IEMG</stp>
        <tr r="W256" s="1"/>
      </tp>
      <tp>
        <v>3.6</v>
        <stp/>
        <stp>LOW</stp>
        <stp>.VOO201120C325</stp>
        <tr r="K730" s="1"/>
      </tp>
      <tp t="s">
        <v>N/A</v>
        <stp/>
        <stp>LOW</stp>
        <stp>.VOO201120P325</stp>
        <tr r="K731" s="1"/>
      </tp>
      <tp t="s">
        <v>N/A</v>
        <stp/>
        <stp>BID</stp>
        <stp>.VYM201120C87</stp>
        <tr r="H759" s="1"/>
      </tp>
      <tp t="s">
        <v>N/A</v>
        <stp/>
        <stp>ASK</stp>
        <stp>.VEA201120P44</stp>
        <tr r="I709" s="1"/>
      </tp>
      <tp t="s">
        <v>N/A</v>
        <stp/>
        <stp>LOW</stp>
        <stp>.VYM201120P88</stp>
        <tr r="K762" s="1"/>
      </tp>
      <tp t="s">
        <v>N/A</v>
        <stp/>
        <stp>LOW</stp>
        <stp>.VYM201120P87</stp>
        <tr r="K760" s="1"/>
      </tp>
      <tp t="s">
        <v>N/A</v>
        <stp/>
        <stp>BID</stp>
        <stp>.VYM201120C88</stp>
        <tr r="H761" s="1"/>
      </tp>
      <tp t="s">
        <v>N/A</v>
        <stp/>
        <stp>LOW</stp>
        <stp>.IYE201120P18</stp>
        <tr r="K365" s="1"/>
      </tp>
      <tp>
        <v>0.1</v>
        <stp/>
        <stp>BID</stp>
        <stp>.IYE201120C18</stp>
        <tr r="H364" s="1"/>
      </tp>
      <tp>
        <v>2.34</v>
        <stp/>
        <stp>LOW</stp>
        <stp>.IWM201120P171</stp>
        <tr r="K349" s="1"/>
      </tp>
      <tp>
        <v>2.0099999999999998</v>
        <stp/>
        <stp>LOW</stp>
        <stp>.IWM201120C171</stp>
        <tr r="K348" s="1"/>
      </tp>
      <tp>
        <v>1.98</v>
        <stp/>
        <stp>LOW</stp>
        <stp>.IWM201120P170</stp>
        <tr r="K347" s="1"/>
      </tp>
      <tp>
        <v>2.37</v>
        <stp/>
        <stp>LOW</stp>
        <stp>.IWM201120C170</stp>
        <tr r="K346" s="1"/>
      </tp>
      <tp>
        <v>3.27</v>
        <stp/>
        <stp>LOW</stp>
        <stp>.IWM201120P173</stp>
        <tr r="K355" s="1"/>
      </tp>
      <tp>
        <v>1.26</v>
        <stp/>
        <stp>LOW</stp>
        <stp>.IWM201120C173</stp>
        <tr r="K354" s="1"/>
      </tp>
      <tp>
        <v>2.79</v>
        <stp/>
        <stp>LOW</stp>
        <stp>.IWM201120P172</stp>
        <tr r="K351" s="1"/>
      </tp>
      <tp>
        <v>1.48</v>
        <stp/>
        <stp>LOW</stp>
        <stp>.IWM201120C172</stp>
        <tr r="K350" s="1"/>
      </tp>
      <tp>
        <v>4.4800000000000004</v>
        <stp/>
        <stp>LOW</stp>
        <stp>.IWM201120P175</stp>
        <tr r="K359" s="1"/>
      </tp>
      <tp>
        <v>0.73</v>
        <stp/>
        <stp>LOW</stp>
        <stp>.IWM201120C175</stp>
        <tr r="K358" s="1"/>
      </tp>
      <tp>
        <v>3.86</v>
        <stp/>
        <stp>LOW</stp>
        <stp>.IWM201120P174</stp>
        <tr r="K357" s="1"/>
      </tp>
      <tp>
        <v>0.94</v>
        <stp/>
        <stp>LOW</stp>
        <stp>.IWM201120C174</stp>
        <tr r="K356" s="1"/>
      </tp>
      <tp t="s">
        <v>N/A</v>
        <stp/>
        <stp>ASK</stp>
        <stp>.FVD201120C35</stp>
        <tr r="I186" s="1"/>
      </tp>
      <tp t="s">
        <v>N/A</v>
        <stp/>
        <stp>RHO</stp>
        <stp>.IWM201120C174</stp>
        <tr r="Q356" s="1"/>
      </tp>
      <tp t="s">
        <v>N/A</v>
        <stp/>
        <stp>RHO</stp>
        <stp>.IWM201120P174</stp>
        <tr r="Q357" s="1"/>
      </tp>
      <tp t="s">
        <v>N/A</v>
        <stp/>
        <stp>RHO</stp>
        <stp>.IWM201120C175</stp>
        <tr r="Q358" s="1"/>
      </tp>
      <tp t="s">
        <v>N/A</v>
        <stp/>
        <stp>RHO</stp>
        <stp>.IWM201120P175</stp>
        <tr r="Q359" s="1"/>
      </tp>
      <tp t="s">
        <v>N/A</v>
        <stp/>
        <stp>RHO</stp>
        <stp>.IWM201120C172</stp>
        <tr r="Q350" s="1"/>
      </tp>
      <tp t="s">
        <v>N/A</v>
        <stp/>
        <stp>RHO</stp>
        <stp>.IWM201120P172</stp>
        <tr r="Q351" s="1"/>
      </tp>
      <tp t="s">
        <v>N/A</v>
        <stp/>
        <stp>RHO</stp>
        <stp>.IWM201120C173</stp>
        <tr r="Q354" s="1"/>
      </tp>
      <tp t="s">
        <v>N/A</v>
        <stp/>
        <stp>RHO</stp>
        <stp>.IWM201120P173</stp>
        <tr r="Q355" s="1"/>
      </tp>
      <tp t="s">
        <v>N/A</v>
        <stp/>
        <stp>RHO</stp>
        <stp>.IWM201120C170</stp>
        <tr r="Q346" s="1"/>
      </tp>
      <tp t="s">
        <v>N/A</v>
        <stp/>
        <stp>RHO</stp>
        <stp>.IWM201120P170</stp>
        <tr r="Q347" s="1"/>
      </tp>
      <tp t="s">
        <v>N/A</v>
        <stp/>
        <stp>RHO</stp>
        <stp>.IWM201120C171</stp>
        <tr r="Q348" s="1"/>
      </tp>
      <tp t="s">
        <v>N/A</v>
        <stp/>
        <stp>RHO</stp>
        <stp>.IWM201120P171</stp>
        <tr r="Q349" s="1"/>
      </tp>
      <tp t="s">
        <v>N/A</v>
        <stp/>
        <stp>STRIKE</stp>
        <stp>JETS</stp>
        <tr r="W375" s="1"/>
      </tp>
      <tp t="s">
        <v>N/A</v>
        <stp/>
        <stp>DESCRIPTION</stp>
        <stp>.QQQ201120C287</stp>
        <tr r="B478" s="1"/>
      </tp>
      <tp t="s">
        <v>N/A</v>
        <stp/>
        <stp>DESCRIPTION</stp>
        <stp>.QQQ201120P287</stp>
        <tr r="B479" s="1"/>
      </tp>
      <tp t="s">
        <v>N/A</v>
        <stp/>
        <stp>DESCRIPTION</stp>
        <stp>.QQQ201120C286</stp>
        <tr r="B476" s="1"/>
      </tp>
      <tp t="s">
        <v>N/A</v>
        <stp/>
        <stp>DESCRIPTION</stp>
        <stp>.QQQ201120P286</stp>
        <tr r="B477" s="1"/>
      </tp>
      <tp t="s">
        <v>N/A</v>
        <stp/>
        <stp>DESCRIPTION</stp>
        <stp>.QQQ201120C289</stp>
        <tr r="B484" s="1"/>
      </tp>
      <tp t="s">
        <v>N/A</v>
        <stp/>
        <stp>DESCRIPTION</stp>
        <stp>.QQQ201120P289</stp>
        <tr r="B485" s="1"/>
      </tp>
      <tp t="s">
        <v>N/A</v>
        <stp/>
        <stp>DESCRIPTION</stp>
        <stp>.QQQ201120C288</stp>
        <tr r="B482" s="1"/>
      </tp>
      <tp t="s">
        <v>N/A</v>
        <stp/>
        <stp>DESCRIPTION</stp>
        <stp>.QQQ201120P288</stp>
        <tr r="B483" s="1"/>
      </tp>
      <tp t="s">
        <v>N/A</v>
        <stp/>
        <stp>DESCRIPTION</stp>
        <stp>.QQQ201120C294</stp>
        <tr r="B496" s="1"/>
      </tp>
      <tp t="s">
        <v>N/A</v>
        <stp/>
        <stp>DESCRIPTION</stp>
        <stp>.QQQ201120P294</stp>
        <tr r="B497" s="1"/>
      </tp>
      <tp t="s">
        <v>N/A</v>
        <stp/>
        <stp>DESCRIPTION</stp>
        <stp>.QQQ201120C291</stp>
        <tr r="B488" s="1"/>
      </tp>
      <tp t="s">
        <v>N/A</v>
        <stp/>
        <stp>DESCRIPTION</stp>
        <stp>.QQQ201120P291</stp>
        <tr r="B489" s="1"/>
      </tp>
      <tp t="s">
        <v>N/A</v>
        <stp/>
        <stp>DESCRIPTION</stp>
        <stp>.QQQ201120C290</stp>
        <tr r="B486" s="1"/>
      </tp>
      <tp t="s">
        <v>N/A</v>
        <stp/>
        <stp>DESCRIPTION</stp>
        <stp>.QQQ201120P290</stp>
        <tr r="B487" s="1"/>
      </tp>
      <tp t="s">
        <v>N/A</v>
        <stp/>
        <stp>DESCRIPTION</stp>
        <stp>.QQQ201120C293</stp>
        <tr r="B494" s="1"/>
      </tp>
      <tp t="s">
        <v>N/A</v>
        <stp/>
        <stp>DESCRIPTION</stp>
        <stp>.QQQ201120P293</stp>
        <tr r="B495" s="1"/>
      </tp>
      <tp t="s">
        <v>N/A</v>
        <stp/>
        <stp>DESCRIPTION</stp>
        <stp>.QQQ201120C292</stp>
        <tr r="B490" s="1"/>
      </tp>
      <tp t="s">
        <v>N/A</v>
        <stp/>
        <stp>DESCRIPTION</stp>
        <stp>.QQQ201120P292</stp>
        <tr r="B491" s="1"/>
      </tp>
      <tp t="s">
        <v>N/A</v>
        <stp/>
        <stp>BID</stp>
        <stp>.IYR201120C85</stp>
        <tr r="H371" s="1"/>
      </tp>
      <tp t="s">
        <v>N/A</v>
        <stp/>
        <stp>BID</stp>
        <stp>.IYR201120C84</stp>
        <tr r="H367" s="1"/>
      </tp>
      <tp>
        <v>1.55</v>
        <stp/>
        <stp>BID</stp>
        <stp>.IJR201120P80</stp>
        <tr r="H276" s="1"/>
      </tp>
      <tp t="s">
        <v>N/A</v>
        <stp/>
        <stp>LOW</stp>
        <stp>.IJR201120C80</stp>
        <tr r="K275" s="1"/>
      </tp>
      <tp>
        <v>1.23</v>
        <stp/>
        <stp>LOW</stp>
        <stp>.IYR201120P85</stp>
        <tr r="K372" s="1"/>
      </tp>
      <tp t="s">
        <v>N/A</v>
        <stp/>
        <stp>LOW</stp>
        <stp>.IYR201120P84</stp>
        <tr r="K368" s="1"/>
      </tp>
      <tp t="s">
        <v>N/A</v>
        <stp/>
        <stp>RHO</stp>
        <stp>.VOO201120P330</stp>
        <tr r="Q733" s="1"/>
      </tp>
      <tp t="s">
        <v>N/A</v>
        <stp/>
        <stp>RHO</stp>
        <stp>.VOO201120C330</stp>
        <tr r="Q732" s="1"/>
      </tp>
      <tp t="s">
        <v>N/A</v>
        <stp/>
        <stp>RHO</stp>
        <stp>.VOO201120P325</stp>
        <tr r="Q731" s="1"/>
      </tp>
      <tp t="s">
        <v>N/A</v>
        <stp/>
        <stp>RHO</stp>
        <stp>.VOO201120C325</stp>
        <tr r="Q730" s="1"/>
      </tp>
      <tp>
        <v>1.2</v>
        <stp/>
        <stp>ASK</stp>
        <stp>.FEZ201120P40</stp>
        <tr r="I184" s="1"/>
      </tp>
      <tp>
        <v>4291719</v>
        <stp/>
        <stp>VOLUME</stp>
        <stp>DFEN</stp>
        <tr r="F54" s="1"/>
      </tp>
      <tp t="s">
        <v>N/A</v>
        <stp/>
        <stp>RHO</stp>
        <stp>.XRT201120C55</stp>
        <tr r="Q907" s="1"/>
      </tp>
      <tp t="s">
        <v>N/A</v>
        <stp/>
        <stp>RHO</stp>
        <stp>.XRT201120C54</stp>
        <tr r="Q903" s="1"/>
      </tp>
      <tp t="s">
        <v>N/A</v>
        <stp/>
        <stp>ASK</stp>
        <stp>.VEU201120P55</stp>
        <tr r="I712" s="1"/>
      </tp>
      <tp t="s">
        <v>N/A</v>
        <stp/>
        <stp>ASK</stp>
        <stp>.DVY201120C91</stp>
        <tr r="I85" s="1"/>
      </tp>
      <tp t="s">
        <v>N/A</v>
        <stp/>
        <stp>ASK</stp>
        <stp>.DVY201120C92</stp>
        <tr r="I87" s="1"/>
      </tp>
      <tp t="s">
        <v>N/A</v>
        <stp/>
        <stp>ASK</stp>
        <stp>.DVY201120C93</stp>
        <tr r="I89" s="1"/>
      </tp>
      <tp t="s">
        <v>N/A</v>
        <stp/>
        <stp>PROB_OTM</stp>
        <stp>LQD</stp>
        <tr r="U404" s="1"/>
      </tp>
      <tp t="s">
        <v>N/A</v>
        <stp/>
        <stp>PROB_OTM</stp>
        <stp>.GDXJ201120P53.5</stp>
        <tr r="U210" s="1"/>
      </tp>
      <tp t="s">
        <v>N/A</v>
        <stp/>
        <stp>PROB_OTM</stp>
        <stp>.GDXJ201120C53.5</stp>
        <tr r="U209" s="1"/>
      </tp>
      <tp t="s">
        <v>N/A</v>
        <stp/>
        <stp>PROB_OF_TOUCHING</stp>
        <stp>JNK</stp>
        <tr r="V380" s="1"/>
      </tp>
      <tp t="s">
        <v>12.07%</v>
        <stp/>
        <stp>IMPL_VOL</stp>
        <stp>JNK</stp>
        <tr r="D380" s="1"/>
      </tp>
      <tp>
        <v>0</v>
        <stp/>
        <stp>OPEN_INT</stp>
        <stp>HYG</stp>
        <tr r="G220" s="1"/>
      </tp>
      <tp t="s">
        <v>N/A</v>
        <stp/>
        <stp>IMPL_VOL</stp>
        <stp>.IBB201120P138.5</stp>
        <tr r="D232" s="1"/>
      </tp>
      <tp>
        <v>1</v>
        <stp/>
        <stp>HIGH</stp>
        <stp>.EEM201120C47.5</stp>
        <tr r="J95" s="1"/>
      </tp>
      <tp>
        <v>0.55000000000000004</v>
        <stp/>
        <stp>HIGH</stp>
        <stp>.EEM201120P47.5</stp>
        <tr r="J96" s="1"/>
      </tp>
      <tp>
        <v>0</v>
        <stp/>
        <stp>OPEN_INT</stp>
        <stp>.SMH201120C196.5</stp>
        <tr r="G568" s="1"/>
      </tp>
      <tp>
        <v>0.85</v>
        <stp/>
        <stp>HIGH</stp>
        <stp>.FXI201120P47.5</stp>
        <tr r="J192" s="1"/>
      </tp>
      <tp>
        <v>0.71</v>
        <stp/>
        <stp>HIGH</stp>
        <stp>.FXI201120C47.5</stp>
        <tr r="J191" s="1"/>
      </tp>
      <tp>
        <v>1.18</v>
        <stp/>
        <stp>HIGH</stp>
        <stp>.GDX201120C37.5</stp>
        <tr r="J200" s="1"/>
      </tp>
      <tp>
        <v>0.95</v>
        <stp/>
        <stp>HIGH</stp>
        <stp>.GDX201120P37.5</stp>
        <tr r="J201" s="1"/>
      </tp>
      <tp t="s">
        <v>N/A</v>
        <stp/>
        <stp>PROB_OF_EXPIRING</stp>
        <stp>.LQD201120C135.5</stp>
        <tr r="T409" s="1"/>
      </tp>
      <tp t="s">
        <v>N/A</v>
        <stp/>
        <stp>PROB_OF_EXPIRING</stp>
        <stp>.IBB201120P140.5</stp>
        <tr r="T240" s="1"/>
      </tp>
      <tp>
        <v>2.61</v>
        <stp/>
        <stp>HIGH</stp>
        <stp>.KRE201120P47.5</stp>
        <tr r="J396" s="1"/>
      </tp>
      <tp>
        <v>0.68</v>
        <stp/>
        <stp>HIGH</stp>
        <stp>.KRE201120C47.5</stp>
        <tr r="J395" s="1"/>
      </tp>
      <tp t="s">
        <v>N/A</v>
        <stp/>
        <stp>PROB_OF_TOUCHING</stp>
        <stp>.JNK201120P106.5</stp>
        <tr r="V382" s="1"/>
      </tp>
      <tp t="s">
        <v>N/A</v>
        <stp/>
        <stp>INTRINSIC</stp>
        <stp>ASHR</stp>
        <tr r="R43" s="1"/>
      </tp>
      <tp t="s">
        <v>N/A</v>
        <stp/>
        <stp>IMPL_VOL</stp>
        <stp>.IWD201120C129</stp>
        <tr r="D336" s="1"/>
      </tp>
      <tp t="s">
        <v>N/A</v>
        <stp/>
        <stp>IMPL_VOL</stp>
        <stp>.IWD201120P129</stp>
        <tr r="D337" s="1"/>
      </tp>
      <tp t="s">
        <v>N/A</v>
        <stp/>
        <stp>IMPL_VOL</stp>
        <stp>.IWD201120C128</stp>
        <tr r="D334" s="1"/>
      </tp>
      <tp t="s">
        <v>N/A</v>
        <stp/>
        <stp>IMPL_VOL</stp>
        <stp>.IWD201120P128</stp>
        <tr r="D335" s="1"/>
      </tp>
      <tp t="s">
        <v>N/A</v>
        <stp/>
        <stp>IMPL_VOL</stp>
        <stp>.IBB201120C138.5</stp>
        <tr r="D231" s="1"/>
      </tp>
      <tp t="s">
        <v>N/A</v>
        <stp/>
        <stp>IMPL_VOL</stp>
        <stp>.IWD201120C130</stp>
        <tr r="D338" s="1"/>
      </tp>
      <tp t="s">
        <v>N/A</v>
        <stp/>
        <stp>IMPL_VOL</stp>
        <stp>.LQD201120C135</stp>
        <tr r="D407" s="1"/>
      </tp>
      <tp t="s">
        <v>N/A</v>
        <stp/>
        <stp>IMPL_VOL</stp>
        <stp>.IWD201120P130</stp>
        <tr r="D339" s="1"/>
      </tp>
      <tp t="s">
        <v>N/A</v>
        <stp/>
        <stp>IMPL_VOL</stp>
        <stp>.LQD201120P135</stp>
        <tr r="D408" s="1"/>
      </tp>
      <tp>
        <v>8785</v>
        <stp/>
        <stp>OPEN_INT</stp>
        <stp>.EMB201120C114</stp>
        <tr r="G112" s="1"/>
      </tp>
      <tp t="s">
        <v>N/A</v>
        <stp/>
        <stp>OPEN_INT</stp>
        <stp>.EMB201120P114</stp>
        <tr r="G113" s="1"/>
      </tp>
      <tp t="s">
        <v>N/A</v>
        <stp/>
        <stp>OPEN_INT</stp>
        <stp>.MUB201120P116</stp>
        <tr r="G437" s="1"/>
      </tp>
      <tp t="s">
        <v>N/A</v>
        <stp/>
        <stp>OPEN_INT</stp>
        <stp>.MUB201120C116</stp>
        <tr r="G436" s="1"/>
      </tp>
      <tp t="s">
        <v>N/A</v>
        <stp/>
        <stp>IMPL_VOL</stp>
        <stp>.QLD201120P101</stp>
        <tr r="D474" s="1"/>
      </tp>
      <tp t="s">
        <v>N/A</v>
        <stp/>
        <stp>IMPL_VOL</stp>
        <stp>.QLD201120C101</stp>
        <tr r="D473" s="1"/>
      </tp>
      <tp t="s">
        <v>N/A</v>
        <stp/>
        <stp>IMPL_VOL</stp>
        <stp>.QLD201120P100</stp>
        <tr r="D472" s="1"/>
      </tp>
      <tp t="s">
        <v>N/A</v>
        <stp/>
        <stp>IMPL_VOL</stp>
        <stp>.QLD201120C100</stp>
        <tr r="D471" s="1"/>
      </tp>
      <tp>
        <v>943</v>
        <stp/>
        <stp>OPEN_INT</stp>
        <stp>.IBB201120C139</stp>
        <tr r="G233" s="1"/>
      </tp>
      <tp t="s">
        <v>N/A</v>
        <stp/>
        <stp>OPEN_INT</stp>
        <stp>.IBB201120P139</stp>
        <tr r="G234" s="1"/>
      </tp>
      <tp t="s">
        <v>N/A</v>
        <stp/>
        <stp>OPEN_INT</stp>
        <stp>.IBB201120C138</stp>
        <tr r="G229" s="1"/>
      </tp>
      <tp t="s">
        <v>N/A</v>
        <stp/>
        <stp>OPEN_INT</stp>
        <stp>.IBB201120P138</stp>
        <tr r="G230" s="1"/>
      </tp>
      <tp t="s">
        <v>N/A</v>
        <stp/>
        <stp>OPEN_INT</stp>
        <stp>.IBB201120C141</stp>
        <tr r="G241" s="1"/>
      </tp>
      <tp>
        <v>200</v>
        <stp/>
        <stp>OPEN_INT</stp>
        <stp>.IBB201120P141</stp>
        <tr r="G242" s="1"/>
      </tp>
      <tp t="s">
        <v>N/A</v>
        <stp/>
        <stp>OPEN_INT</stp>
        <stp>.IBB201120C140</stp>
        <tr r="G237" s="1"/>
      </tp>
      <tp t="s">
        <v>N/A</v>
        <stp/>
        <stp>OPEN_INT</stp>
        <stp>.IBB201120P140</stp>
        <tr r="G238" s="1"/>
      </tp>
      <tp t="s">
        <v>N/A</v>
        <stp/>
        <stp>INTRINSIC</stp>
        <stp>USMV</stp>
        <tr r="R698" s="1"/>
      </tp>
      <tp>
        <v>0</v>
        <stp/>
        <stp>OPEN_INT</stp>
        <stp>.SMH201120P196.5</stp>
        <tr r="G569" s="1"/>
      </tp>
      <tp>
        <v>1.79</v>
        <stp/>
        <stp>HIGH</stp>
        <stp>.XOP201120C47.5</stp>
        <tr r="J892" s="1"/>
      </tp>
      <tp>
        <v>2.33</v>
        <stp/>
        <stp>HIGH</stp>
        <stp>.XOP201120P47.5</stp>
        <tr r="J893" s="1"/>
      </tp>
      <tp>
        <v>359</v>
        <stp/>
        <stp>OPEN_INT</stp>
        <stp>.DIA201120C296</stp>
        <tr r="G75" s="1"/>
      </tp>
      <tp>
        <v>244</v>
        <stp/>
        <stp>OPEN_INT</stp>
        <stp>.DIA201120P296</stp>
        <tr r="G76" s="1"/>
      </tp>
      <tp>
        <v>287</v>
        <stp/>
        <stp>OPEN_INT</stp>
        <stp>.DIA201120C297</stp>
        <tr r="G77" s="1"/>
      </tp>
      <tp>
        <v>257</v>
        <stp/>
        <stp>OPEN_INT</stp>
        <stp>.DIA201120P297</stp>
        <tr r="G78" s="1"/>
      </tp>
      <tp>
        <v>262</v>
        <stp/>
        <stp>OPEN_INT</stp>
        <stp>.DIA201120C294</stp>
        <tr r="G71" s="1"/>
      </tp>
      <tp>
        <v>787</v>
        <stp/>
        <stp>OPEN_INT</stp>
        <stp>.DIA201120P294</stp>
        <tr r="G72" s="1"/>
      </tp>
      <tp>
        <v>836</v>
        <stp/>
        <stp>OPEN_INT</stp>
        <stp>.DIA201120C295</stp>
        <tr r="G73" s="1"/>
      </tp>
      <tp>
        <v>448</v>
        <stp/>
        <stp>OPEN_INT</stp>
        <stp>.DIA201120P295</stp>
        <tr r="G74" s="1"/>
      </tp>
      <tp t="s">
        <v>N/A</v>
        <stp/>
        <stp>EXTRINSIC</stp>
        <stp>USMV</stp>
        <tr r="S698" s="1"/>
      </tp>
      <tp>
        <v>350</v>
        <stp/>
        <stp>OPEN_INT</stp>
        <stp>.DIA201120C292</stp>
        <tr r="G65" s="1"/>
      </tp>
      <tp>
        <v>164</v>
        <stp/>
        <stp>OPEN_INT</stp>
        <stp>.DIA201120P292</stp>
        <tr r="G66" s="1"/>
      </tp>
      <tp>
        <v>523</v>
        <stp/>
        <stp>OPEN_INT</stp>
        <stp>.DIA201120C293</stp>
        <tr r="G69" s="1"/>
      </tp>
      <tp>
        <v>302</v>
        <stp/>
        <stp>OPEN_INT</stp>
        <stp>.DIA201120P293</stp>
        <tr r="G70" s="1"/>
      </tp>
      <tp>
        <v>663</v>
        <stp/>
        <stp>OPEN_INT</stp>
        <stp>.DIA201120C291</stp>
        <tr r="G63" s="1"/>
      </tp>
      <tp>
        <v>364</v>
        <stp/>
        <stp>OPEN_INT</stp>
        <stp>.DIA201120P291</stp>
        <tr r="G64" s="1"/>
      </tp>
      <tp t="s">
        <v>N/A</v>
        <stp/>
        <stp>PROB_OF_EXPIRING</stp>
        <stp>.LQD201120P135.5</stp>
        <tr r="T410" s="1"/>
      </tp>
      <tp t="s">
        <v>N/A</v>
        <stp/>
        <stp>PROB_OF_EXPIRING</stp>
        <stp>.IBB201120C140.5</stp>
        <tr r="T239" s="1"/>
      </tp>
      <tp t="s">
        <v>N/A</v>
        <stp/>
        <stp>EXTRINSIC</stp>
        <stp>ASHR</stp>
        <tr r="S43" s="1"/>
      </tp>
      <tp t="s">
        <v>N/A</v>
        <stp/>
        <stp>PROB_OF_TOUCHING</stp>
        <stp>.JNK201120C106.5</stp>
        <tr r="V381" s="1"/>
      </tp>
      <tp t="s">
        <v>N/A</v>
        <stp/>
        <stp>PUT_CALL_RATIO</stp>
        <stp>.ARKK201120C99</stp>
        <tr r="C30" s="1"/>
      </tp>
      <tp t="s">
        <v>N/A</v>
        <stp/>
        <stp>PUT_CALL_RATIO</stp>
        <stp>.ARKK201120C98</stp>
        <tr r="C28" s="1"/>
      </tp>
      <tp t="s">
        <v>N/A</v>
        <stp/>
        <stp>PUT_CALL_RATIO</stp>
        <stp>.ARKK201120C97</stp>
        <tr r="C26" s="1"/>
      </tp>
      <tp t="s">
        <v>N/A</v>
        <stp/>
        <stp>PUT_CALL_RATIO</stp>
        <stp>.AAXJ201120P84</stp>
        <tr r="C6" s="1"/>
      </tp>
      <tp t="s">
        <v>N/A</v>
        <stp/>
        <stp>PUT_CALL_RATIO</stp>
        <stp>.AAXJ201120P83</stp>
        <tr r="C4" s="1"/>
      </tp>
      <tp>
        <v>0</v>
        <stp/>
        <stp>VOLUME</stp>
        <stp>.USMV201120P67</stp>
        <tr r="F700" s="1"/>
      </tp>
      <tp t="s">
        <v>N/A</v>
        <stp/>
        <stp>STRIKE</stp>
        <stp>.GUSH201120P26</stp>
        <tr r="W215" s="1"/>
      </tp>
      <tp t="s">
        <v>N/A</v>
        <stp/>
        <stp>STRIKE</stp>
        <stp>.GUSH201120P27</stp>
        <tr r="W217" s="1"/>
      </tp>
      <tp t="s">
        <v>N/A</v>
        <stp/>
        <stp>STRIKE</stp>
        <stp>.GUSH201120P28</stp>
        <tr r="W219" s="1"/>
      </tp>
      <tp t="s">
        <v>N/A</v>
        <stp/>
        <stp>ASK</stp>
        <stp>.EWJ201120P63.5</stp>
        <tr r="I139" s="1"/>
      </tp>
      <tp t="s">
        <v>N/A</v>
        <stp/>
        <stp>ASK</stp>
        <stp>.EWY201120P73.5</stp>
        <tr r="I171" s="1"/>
      </tp>
      <tp t="s">
        <v>N/A</v>
        <stp/>
        <stp>PUT_CALL_RATIO</stp>
        <stp>.GDXJ201120P53</stp>
        <tr r="C208" s="1"/>
      </tp>
      <tp t="s">
        <v>N/A</v>
        <stp/>
        <stp>PUT_CALL_RATIO</stp>
        <stp>.GDXJ201120P52</stp>
        <tr r="C204" s="1"/>
      </tp>
      <tp t="s">
        <v>N/A</v>
        <stp/>
        <stp>PUT_CALL_RATIO</stp>
        <stp>.GDXJ201120P54</stp>
        <tr r="C212" s="1"/>
      </tp>
      <tp>
        <v>0.32</v>
        <stp/>
        <stp>ASK</stp>
        <stp>.EWJ201120C63.5</stp>
        <tr r="I138" s="1"/>
      </tp>
      <tp t="s">
        <v>N/A</v>
        <stp/>
        <stp>ASK</stp>
        <stp>.EWY201120C73.5</stp>
        <tr r="I170" s="1"/>
      </tp>
      <tp>
        <v>0.56000000000000005</v>
        <stp/>
        <stp>ASK</stp>
        <stp>.XLE201120C33.5</stp>
        <tr r="I804" s="1"/>
      </tp>
      <tp t="s">
        <v>N/A</v>
        <stp/>
        <stp>ASK</stp>
        <stp>.XLC201120C63.5</stp>
        <tr r="I799" s="1"/>
      </tp>
      <tp>
        <v>1.38</v>
        <stp/>
        <stp>ASK</stp>
        <stp>.XLE201120P33.5</stp>
        <tr r="I805" s="1"/>
      </tp>
      <tp>
        <v>5</v>
        <stp/>
        <stp>ASK</stp>
        <stp>.XLC201120P63.5</stp>
        <tr r="I800" s="1"/>
      </tp>
      <tp>
        <v>0</v>
        <stp/>
        <stp>VOLUME</stp>
        <stp>.IEMG201120P58</stp>
        <tr r="F260" s="1"/>
      </tp>
      <tp>
        <v>0</v>
        <stp/>
        <stp>VOLUME</stp>
        <stp>.IEMG201120P57</stp>
        <tr r="F258" s="1"/>
      </tp>
      <tp t="s">
        <v>N/A</v>
        <stp/>
        <stp>ASK</stp>
        <stp>.SDS201120C13.5</stp>
        <tr r="I538" s="1"/>
      </tp>
      <tp t="s">
        <v>N/A</v>
        <stp/>
        <stp>ASK</stp>
        <stp>.SSO201120P83.5</stp>
        <tr r="I654" s="1"/>
      </tp>
      <tp t="s">
        <v>N/A</v>
        <stp/>
        <stp>EXTRINSIC</stp>
        <stp>.SMH201120C197</stp>
        <tr r="S570" s="1"/>
      </tp>
      <tp t="s">
        <v>N/A</v>
        <stp/>
        <stp>EXTRINSIC</stp>
        <stp>.SMH201120P197</stp>
        <tr r="S571" s="1"/>
      </tp>
      <tp t="s">
        <v>N/A</v>
        <stp/>
        <stp>EXTRINSIC</stp>
        <stp>.SMH201120C196</stp>
        <tr r="S566" s="1"/>
      </tp>
      <tp t="s">
        <v>N/A</v>
        <stp/>
        <stp>EXTRINSIC</stp>
        <stp>.SMH201120P196</stp>
        <tr r="S567" s="1"/>
      </tp>
      <tp t="s">
        <v>N/A</v>
        <stp/>
        <stp>ASK</stp>
        <stp>.SDS201120P13.5</stp>
        <tr r="I539" s="1"/>
      </tp>
      <tp t="s">
        <v>N/A</v>
        <stp/>
        <stp>EXTRINSIC</stp>
        <stp>.SMH201120C195</stp>
        <tr r="S562" s="1"/>
      </tp>
      <tp t="s">
        <v>N/A</v>
        <stp/>
        <stp>EXTRINSIC</stp>
        <stp>.SMH201120P195</stp>
        <tr r="S563" s="1"/>
      </tp>
      <tp t="s">
        <v>N/A</v>
        <stp/>
        <stp>EXTRINSIC</stp>
        <stp>.SMH201120C194</stp>
        <tr r="S558" s="1"/>
      </tp>
      <tp t="s">
        <v>N/A</v>
        <stp/>
        <stp>EXTRINSIC</stp>
        <stp>.SMH201120P194</stp>
        <tr r="S559" s="1"/>
      </tp>
      <tp t="s">
        <v>N/A</v>
        <stp/>
        <stp>EXTRINSIC</stp>
        <stp>.SMH201120C193</stp>
        <tr r="S554" s="1"/>
      </tp>
      <tp t="s">
        <v>N/A</v>
        <stp/>
        <stp>EXTRINSIC</stp>
        <stp>.SMH201120P193</stp>
        <tr r="S555" s="1"/>
      </tp>
      <tp t="s">
        <v>N/A</v>
        <stp/>
        <stp>ASK</stp>
        <stp>.SSO201120C83.5</stp>
        <tr r="I653" s="1"/>
      </tp>
      <tp t="s">
        <v>N/A</v>
        <stp/>
        <stp>EXTRINSIC</stp>
        <stp>.SMH201120C198</stp>
        <tr r="S574" s="1"/>
      </tp>
      <tp t="s">
        <v>N/A</v>
        <stp/>
        <stp>EXTRINSIC</stp>
        <stp>.SMH201120P198</stp>
        <tr r="S575" s="1"/>
      </tp>
      <tp t="s">
        <v>N/A</v>
        <stp/>
        <stp>ASK</stp>
        <stp>.TAN201120C73.5</stp>
        <tr r="I664" s="1"/>
      </tp>
      <tp t="s">
        <v>N/A</v>
        <stp/>
        <stp>ASK</stp>
        <stp>.TAN201120P73.5</stp>
        <tr r="I665" s="1"/>
      </tp>
      <tp>
        <v>0</v>
        <stp/>
        <stp>LOW</stp>
        <stp>.PXH201120P19</stp>
        <tr r="K459" s="1"/>
      </tp>
      <tp t="s">
        <v>N/A</v>
        <stp/>
        <stp>BID</stp>
        <stp>.PXH201120C19</stp>
        <tr r="H458" s="1"/>
      </tp>
      <tp t="s">
        <v>N/A</v>
        <stp/>
        <stp>ASK</stp>
        <stp>.EWL201120C43</stp>
        <tr r="I143" s="1"/>
      </tp>
      <tp>
        <v>0.35</v>
        <stp/>
        <stp>ASK</stp>
        <stp>.EWI201120C27</stp>
        <tr r="I133" s="1"/>
      </tp>
      <tp t="s">
        <v>N/A</v>
        <stp/>
        <stp>ASK</stp>
        <stp>.VWO201120C47</stp>
        <tr r="I751" s="1"/>
      </tp>
      <tp t="s">
        <v>N/A</v>
        <stp/>
        <stp>ASK</stp>
        <stp>.EWH201120C24</stp>
        <tr r="I130" s="1"/>
      </tp>
      <tp t="s">
        <v>N/A</v>
        <stp/>
        <stp>BID</stp>
        <stp>.PXH201120C20</stp>
        <tr r="H460" s="1"/>
      </tp>
      <tp t="s">
        <v>N/A</v>
        <stp/>
        <stp>LOW</stp>
        <stp>.PXH201120P20</stp>
        <tr r="K461" s="1"/>
      </tp>
      <tp t="s">
        <v>N/A</v>
        <stp/>
        <stp>DESCRIPTION</stp>
        <stp>.TBT201120P17</stp>
        <tr r="B685" s="1"/>
      </tp>
      <tp t="s">
        <v>N/A</v>
        <stp/>
        <stp>STRIKE</stp>
        <stp>PDBC</stp>
        <tr r="W451" s="1"/>
      </tp>
      <tp>
        <v>0.64</v>
        <stp/>
        <stp>BID</stp>
        <stp>.FXI201120C47</stp>
        <tr r="H189" s="1"/>
      </tp>
      <tp>
        <v>0.85</v>
        <stp/>
        <stp>LOW</stp>
        <stp>.FXI201120P48</stp>
        <tr r="K194" s="1"/>
      </tp>
      <tp>
        <v>0.4</v>
        <stp/>
        <stp>LOW</stp>
        <stp>.FXI201120P47</stp>
        <tr r="K190" s="1"/>
      </tp>
      <tp>
        <v>0.26</v>
        <stp/>
        <stp>BID</stp>
        <stp>.FXI201120C48</stp>
        <tr r="H193" s="1"/>
      </tp>
      <tp>
        <v>0.2</v>
        <stp/>
        <stp>ASK</stp>
        <stp>.EWJ201120C64</stp>
        <tr r="I140" s="1"/>
      </tp>
      <tp>
        <v>0.47</v>
        <stp/>
        <stp>ASK</stp>
        <stp>.EWJ201120C63</stp>
        <tr r="I136" s="1"/>
      </tp>
      <tp>
        <v>0.95</v>
        <stp/>
        <stp>ASK</stp>
        <stp>.RWM201120C29</stp>
        <tr r="I518" s="1"/>
      </tp>
      <tp t="s">
        <v>N/A</v>
        <stp/>
        <stp>ASK</stp>
        <stp>.EWC201120C29</stp>
        <tr r="I124" s="1"/>
      </tp>
      <tp t="s">
        <v>N/A</v>
        <stp/>
        <stp>ASK</stp>
        <stp>.EWA201120C22</stp>
        <tr r="I121" s="1"/>
      </tp>
      <tp>
        <v>0.35</v>
        <stp/>
        <stp>BID</stp>
        <stp>.DXD201120C14</stp>
        <tr r="H92" s="1"/>
      </tp>
      <tp>
        <v>0.3</v>
        <stp/>
        <stp>LOW</stp>
        <stp>.DXD201120P14</stp>
        <tr r="K93" s="1"/>
      </tp>
      <tp>
        <v>0.25</v>
        <stp/>
        <stp>ASK</stp>
        <stp>.EWG201120C30</stp>
        <tr r="I127" s="1"/>
      </tp>
      <tp t="s">
        <v>N/A</v>
        <stp/>
        <stp>RHO</stp>
        <stp>.SSO201120C84</stp>
        <tr r="Q655" s="1"/>
      </tp>
      <tp t="s">
        <v>N/A</v>
        <stp/>
        <stp>RHO</stp>
        <stp>.SSO201120C83</stp>
        <tr r="Q651" s="1"/>
      </tp>
      <tp t="s">
        <v>N/A</v>
        <stp/>
        <stp>RHO</stp>
        <stp>.SSO201120C82</stp>
        <tr r="Q647" s="1"/>
      </tp>
      <tp t="s">
        <v>N/A</v>
        <stp/>
        <stp>RHO</stp>
        <stp>.SSO201120C81</stp>
        <tr r="Q643" s="1"/>
      </tp>
      <tp>
        <v>1351671</v>
        <stp/>
        <stp>VOLUME</stp>
        <stp>DGRO</stp>
        <tr r="F59" s="1"/>
      </tp>
      <tp>
        <v>0.28000000000000003</v>
        <stp/>
        <stp>ASK</stp>
        <stp>.EWZ201120C32</stp>
        <tr r="I175" s="1"/>
      </tp>
      <tp t="s">
        <v>N/A</v>
        <stp/>
        <stp>DESCRIPTION</stp>
        <stp>.KBE201120P38</stp>
        <tr r="B387" s="1"/>
      </tp>
      <tp t="s">
        <v>N/A</v>
        <stp/>
        <stp>DESCRIPTION</stp>
        <stp>.TBF201120P16</stp>
        <tr r="B682" s="1"/>
      </tp>
      <tp>
        <v>41</v>
        <stp/>
        <stp>PUT_CALL_RATIO</stp>
        <stp>HYLB</stp>
        <tr r="C225" s="1"/>
      </tp>
      <tp>
        <v>0.72</v>
        <stp/>
        <stp>ASK</stp>
        <stp>.GDX201120P37</stp>
        <tr r="I199" s="1"/>
      </tp>
      <tp t="s">
        <v>N/A</v>
        <stp/>
        <stp>RHO</stp>
        <stp>.RSX201120C22</stp>
        <tr r="Q513" s="1"/>
      </tp>
      <tp>
        <v>1796797</v>
        <stp/>
        <stp>VOLUME</stp>
        <stp>IGIB</stp>
        <tr r="F261" s="1"/>
      </tp>
      <tp>
        <v>1041503</v>
        <stp/>
        <stp>VOLUME</stp>
        <stp>VGIT</stp>
        <tr r="F718" s="1"/>
      </tp>
      <tp t="s">
        <v>N/A</v>
        <stp/>
        <stp>ASK</stp>
        <stp>.EWY201120C72</stp>
        <tr r="I164" s="1"/>
      </tp>
      <tp t="s">
        <v>N/A</v>
        <stp/>
        <stp>ASK</stp>
        <stp>.EWY201120C73</stp>
        <tr r="I168" s="1"/>
      </tp>
      <tp t="s">
        <v>N/A</v>
        <stp/>
        <stp>ASK</stp>
        <stp>.EWT201120C48</stp>
        <tr r="I149" s="1"/>
      </tp>
      <tp t="s">
        <v>N/A</v>
        <stp/>
        <stp>ASK</stp>
        <stp>.SDS201120P14</stp>
        <tr r="I541" s="1"/>
      </tp>
      <tp t="s">
        <v>N/A</v>
        <stp/>
        <stp>ASK</stp>
        <stp>.EWP201120C26</stp>
        <tr r="I146" s="1"/>
      </tp>
      <tp>
        <v>0.38</v>
        <stp/>
        <stp>ASK</stp>
        <stp>.EWW201120C39</stp>
        <tr r="I157" s="1"/>
      </tp>
      <tp t="s">
        <v>N/A</v>
        <stp/>
        <stp>STRIKE</stp>
        <stp>GDXJ</stp>
        <tr r="W202" s="1"/>
      </tp>
      <tp>
        <v>0</v>
        <stp/>
        <stp>OPEN_INT</stp>
        <stp>IBB</stp>
        <tr r="G228" s="1"/>
      </tp>
      <tp t="s">
        <v>46.41%</v>
        <stp/>
        <stp>IMPL_VOL</stp>
        <stp>KRE</stp>
        <tr r="D388" s="1"/>
      </tp>
      <tp>
        <v>0</v>
        <stp/>
        <stp>OPEN_INT</stp>
        <stp>IGV</stp>
        <tr r="G264" s="1"/>
      </tp>
      <tp t="s">
        <v>N/A</v>
        <stp/>
        <stp>PROB_OTM</stp>
        <stp>MUB</stp>
        <tr r="U435" s="1"/>
      </tp>
      <tp>
        <v>0</v>
        <stp/>
        <stp>OPEN_INT</stp>
        <stp>IEF</stp>
        <tr r="G248" s="1"/>
      </tp>
      <tp>
        <v>0</v>
        <stp/>
        <stp>OPEN_INT</stp>
        <stp>IJR</stp>
        <tr r="G274" s="1"/>
      </tp>
      <tp>
        <v>0</v>
        <stp/>
        <stp>OPEN_INT</stp>
        <stp>IJH</stp>
        <tr r="G271" s="1"/>
      </tp>
      <tp t="s">
        <v>N/A</v>
        <stp/>
        <stp>PROB_OF_TOUCHING</stp>
        <stp>KRE</stp>
        <tr r="V388" s="1"/>
      </tp>
      <tp t="s">
        <v>N/A</v>
        <stp/>
        <stp>PROB_OTM</stp>
        <stp>.GDXJ201120P52.5</stp>
        <tr r="U206" s="1"/>
      </tp>
      <tp t="s">
        <v>N/A</v>
        <stp/>
        <stp>PROB_OTM</stp>
        <stp>.GDXJ201120C52.5</stp>
        <tr r="U205" s="1"/>
      </tp>
      <tp>
        <v>0</v>
        <stp/>
        <stp>OPEN_INT</stp>
        <stp>ILF</stp>
        <tr r="G277" s="1"/>
      </tp>
      <tp>
        <v>0</v>
        <stp/>
        <stp>OPEN_INT</stp>
        <stp>IVV</stp>
        <tr r="G309" s="1"/>
      </tp>
      <tp>
        <v>0</v>
        <stp/>
        <stp>OPEN_INT</stp>
        <stp>IVW</stp>
        <tr r="G330" s="1"/>
      </tp>
      <tp t="s">
        <v>40.43%</v>
        <stp/>
        <stp>IMPL_VOL</stp>
        <stp>KBE</stp>
        <tr r="D385" s="1"/>
      </tp>
      <tp>
        <v>0</v>
        <stp/>
        <stp>OPEN_INT</stp>
        <stp>IVE</stp>
        <tr r="G302" s="1"/>
      </tp>
      <tp>
        <v>0</v>
        <stp/>
        <stp>OPEN_INT</stp>
        <stp>IWD</stp>
        <tr r="G333" s="1"/>
      </tp>
      <tp>
        <v>0</v>
        <stp/>
        <stp>OPEN_INT</stp>
        <stp>IWF</stp>
        <tr r="G340" s="1"/>
      </tp>
      <tp>
        <v>0</v>
        <stp/>
        <stp>OPEN_INT</stp>
        <stp>IWM</stp>
        <tr r="G345" s="1"/>
      </tp>
      <tp>
        <v>0</v>
        <stp/>
        <stp>OPEN_INT</stp>
        <stp>ITB</stp>
        <tr r="G288" s="1"/>
      </tp>
      <tp t="s">
        <v>N/A</v>
        <stp/>
        <stp>PROB_OTM</stp>
        <stp>MDY</stp>
        <tr r="U414" s="1"/>
      </tp>
      <tp t="s">
        <v>N/A</v>
        <stp/>
        <stp>PROB_OF_TOUCHING</stp>
        <stp>KBE</stp>
        <tr r="V385" s="1"/>
      </tp>
      <tp>
        <v>0</v>
        <stp/>
        <stp>OPEN_INT</stp>
        <stp>IYR</stp>
        <tr r="G366" s="1"/>
      </tp>
      <tp>
        <v>0</v>
        <stp/>
        <stp>OPEN_INT</stp>
        <stp>IYE</stp>
        <tr r="G363" s="1"/>
      </tp>
      <tp t="s">
        <v>N/A</v>
        <stp/>
        <stp>PROB_OF_EXPIRING</stp>
        <stp>.DIA201120P292.5</stp>
        <tr r="T68" s="1"/>
      </tp>
      <tp>
        <v>101</v>
        <stp/>
        <stp>OPEN_INT</stp>
        <stp>.XLK201120C122.5</stp>
        <tr r="G837" s="1"/>
      </tp>
      <tp t="s">
        <v>N/A</v>
        <stp/>
        <stp>OPEN_INT</stp>
        <stp>.XLY201120C152.5</stp>
        <tr r="G872" s="1"/>
      </tp>
      <tp t="s">
        <v>N/A</v>
        <stp/>
        <stp>IMPL_VOL</stp>
        <stp>.IVV201120C357.5</stp>
        <tr r="D318" s="1"/>
      </tp>
      <tp>
        <v>0.37</v>
        <stp/>
        <stp>HIGH</stp>
        <stp>.EEM201120C48.5</stp>
        <tr r="J99" s="1"/>
      </tp>
      <tp t="s">
        <v>N/A</v>
        <stp/>
        <stp>HIGH</stp>
        <stp>.EWW201120P38.5</stp>
        <tr r="J156" s="1"/>
      </tp>
      <tp t="s">
        <v>N/A</v>
        <stp/>
        <stp>HIGH</stp>
        <stp>.EWU201120P28.5</stp>
        <tr r="J153" s="1"/>
      </tp>
      <tp t="s">
        <v>N/A</v>
        <stp/>
        <stp>HIGH</stp>
        <stp>.EWW201120C38.5</stp>
        <tr r="J155" s="1"/>
      </tp>
      <tp t="s">
        <v>N/A</v>
        <stp/>
        <stp>HIGH</stp>
        <stp>.EWU201120C28.5</stp>
        <tr r="J152" s="1"/>
      </tp>
      <tp>
        <v>0.88</v>
        <stp/>
        <stp>HIGH</stp>
        <stp>.EEM201120P48.5</stp>
        <tr r="J100" s="1"/>
      </tp>
      <tp t="s">
        <v>N/A</v>
        <stp/>
        <stp>IMPL_VOL</stp>
        <stp>.IWF201120C227.5</stp>
        <tr r="D343" s="1"/>
      </tp>
      <tp t="s">
        <v>N/A</v>
        <stp/>
        <stp>PROB_OF_EXPIRING</stp>
        <stp>.IWF201120C225</stp>
        <tr r="T341" s="1"/>
      </tp>
      <tp t="s">
        <v>N/A</v>
        <stp/>
        <stp>PROB_OF_EXPIRING</stp>
        <stp>.IWF201120P225</stp>
        <tr r="T342" s="1"/>
      </tp>
      <tp t="s">
        <v>N/A</v>
        <stp/>
        <stp>PROB_OF_EXPIRING</stp>
        <stp>.IVE201120C123</stp>
        <tr r="T307" s="1"/>
      </tp>
      <tp t="s">
        <v>N/A</v>
        <stp/>
        <stp>PROB_OF_EXPIRING</stp>
        <stp>.IVE201120P123</stp>
        <tr r="T308" s="1"/>
      </tp>
      <tp t="s">
        <v>N/A</v>
        <stp/>
        <stp>PROB_OF_EXPIRING</stp>
        <stp>.IVE201120C122</stp>
        <tr r="T305" s="1"/>
      </tp>
      <tp t="s">
        <v>N/A</v>
        <stp/>
        <stp>PROB_OF_EXPIRING</stp>
        <stp>.IVE201120P122</stp>
        <tr r="T306" s="1"/>
      </tp>
      <tp t="s">
        <v>N/A</v>
        <stp/>
        <stp>PROB_OF_EXPIRING</stp>
        <stp>.IVE201120C121</stp>
        <tr r="T303" s="1"/>
      </tp>
      <tp t="s">
        <v>N/A</v>
        <stp/>
        <stp>PROB_OF_EXPIRING</stp>
        <stp>.IVE201120P121</stp>
        <tr r="T304" s="1"/>
      </tp>
      <tp t="s">
        <v>N/A</v>
        <stp/>
        <stp>VEGA</stp>
        <stp>.ITB201120P54.5</stp>
        <tr r="P290" s="1"/>
      </tp>
      <tp t="s">
        <v>N/A</v>
        <stp/>
        <stp>VEGA</stp>
        <stp>.IYR201120P84.5</stp>
        <tr r="P370" s="1"/>
      </tp>
      <tp t="s">
        <v>N/A</v>
        <stp/>
        <stp>VEGA</stp>
        <stp>.ITB201120C54.5</stp>
        <tr r="P289" s="1"/>
      </tp>
      <tp t="s">
        <v>N/A</v>
        <stp/>
        <stp>VEGA</stp>
        <stp>.IYR201120C84.5</stp>
        <tr r="P369" s="1"/>
      </tp>
      <tp t="s">
        <v>N/A</v>
        <stp/>
        <stp>PROB_OF_TOUCHING</stp>
        <stp>.DIA201120P297.5</stp>
        <tr r="V80" s="1"/>
      </tp>
      <tp>
        <v>82</v>
        <stp/>
        <stp>OPEN_INT</stp>
        <stp>.XBI201120C122.5</stp>
        <tr r="G766" s="1"/>
      </tp>
      <tp t="s">
        <v>N/A</v>
        <stp/>
        <stp>PROB_OTM</stp>
        <stp>.MDY201120P387.5</stp>
        <tr r="U422" s="1"/>
      </tp>
      <tp t="s">
        <v>N/A</v>
        <stp/>
        <stp>IMPL_VOL</stp>
        <stp>.XLK201120P122</stp>
        <tr r="D836" s="1"/>
      </tp>
      <tp t="s">
        <v>N/A</v>
        <stp/>
        <stp>IMPL_VOL</stp>
        <stp>.XLK201120C122</stp>
        <tr r="D835" s="1"/>
      </tp>
      <tp t="s">
        <v>N/A</v>
        <stp/>
        <stp>IMPL_VOL</stp>
        <stp>.XLK201120P123</stp>
        <tr r="D840" s="1"/>
      </tp>
      <tp t="s">
        <v>N/A</v>
        <stp/>
        <stp>IMPL_VOL</stp>
        <stp>.XLK201120C123</stp>
        <tr r="D839" s="1"/>
      </tp>
      <tp t="s">
        <v>N/A</v>
        <stp/>
        <stp>IMPL_VOL</stp>
        <stp>.XLK201120P120</stp>
        <tr r="D828" s="1"/>
      </tp>
      <tp t="s">
        <v>N/A</v>
        <stp/>
        <stp>IMPL_VOL</stp>
        <stp>.XLK201120C120</stp>
        <tr r="D827" s="1"/>
      </tp>
      <tp t="s">
        <v>N/A</v>
        <stp/>
        <stp>IMPL_VOL</stp>
        <stp>.XLK201120P121</stp>
        <tr r="D832" s="1"/>
      </tp>
      <tp t="s">
        <v>N/A</v>
        <stp/>
        <stp>IMPL_VOL</stp>
        <stp>.XLK201120C121</stp>
        <tr r="D831" s="1"/>
      </tp>
      <tp t="s">
        <v>N/A</v>
        <stp/>
        <stp>PROB_OF_EXPIRING</stp>
        <stp>.DIA201120C292.5</stp>
        <tr r="T67" s="1"/>
      </tp>
      <tp t="s">
        <v>N/A</v>
        <stp/>
        <stp>OPEN</stp>
        <stp>.VT201120C86</stp>
        <tr r="L735" s="1"/>
      </tp>
      <tp>
        <v>0</v>
        <stp/>
        <stp>OPEN</stp>
        <stp>.VT201120C87</stp>
        <tr r="L737" s="1"/>
      </tp>
      <tp>
        <v>299</v>
        <stp/>
        <stp>OPEN_INT</stp>
        <stp>.VOO201120C325</stp>
        <tr r="G730" s="1"/>
      </tp>
      <tp t="s">
        <v>N/A</v>
        <stp/>
        <stp>OPEN_INT</stp>
        <stp>.VOO201120P325</stp>
        <tr r="G731" s="1"/>
      </tp>
      <tp t="s">
        <v>N/A</v>
        <stp/>
        <stp>IMPL_VOL</stp>
        <stp>.JNK201120P107</stp>
        <tr r="D384" s="1"/>
      </tp>
      <tp t="s">
        <v>N/A</v>
        <stp/>
        <stp>IMPL_VOL</stp>
        <stp>.JNK201120C107</stp>
        <tr r="D383" s="1"/>
      </tp>
      <tp t="s">
        <v>N/A</v>
        <stp/>
        <stp>VEGA</stp>
        <stp>.SSO201120P84.5</stp>
        <tr r="P658" s="1"/>
      </tp>
      <tp>
        <v>911</v>
        <stp/>
        <stp>OPEN_INT</stp>
        <stp>.VOO201120C330</stp>
        <tr r="G732" s="1"/>
      </tp>
      <tp t="s">
        <v>N/A</v>
        <stp/>
        <stp>OPEN_INT</stp>
        <stp>.VOO201120P330</stp>
        <tr r="G733" s="1"/>
      </tp>
      <tp t="s">
        <v>N/A</v>
        <stp/>
        <stp>IMPL_VOL</stp>
        <stp>.IJH201120P210</stp>
        <tr r="D273" s="1"/>
      </tp>
      <tp t="s">
        <v>N/A</v>
        <stp/>
        <stp>IMPL_VOL</stp>
        <stp>.IJH201120C210</stp>
        <tr r="D272" s="1"/>
      </tp>
      <tp t="s">
        <v>N/A</v>
        <stp/>
        <stp>VEGA</stp>
        <stp>.SSO201120C84.5</stp>
        <tr r="P657" s="1"/>
      </tp>
      <tp t="s">
        <v>N/A</v>
        <stp/>
        <stp>VEGA</stp>
        <stp>.TAN201120C74.5</stp>
        <tr r="P668" s="1"/>
      </tp>
      <tp t="s">
        <v>N/A</v>
        <stp/>
        <stp>VEGA</stp>
        <stp>.TAN201120P74.5</stp>
        <tr r="P669" s="1"/>
      </tp>
      <tp t="s">
        <v>N/A</v>
        <stp/>
        <stp>IMPL_VOL</stp>
        <stp>.IWF201120P227.5</stp>
        <tr r="D344" s="1"/>
      </tp>
      <tp>
        <v>1244</v>
        <stp/>
        <stp>OPEN_INT</stp>
        <stp>.IWM201120P173</stp>
        <tr r="G355" s="1"/>
      </tp>
      <tp>
        <v>9523</v>
        <stp/>
        <stp>OPEN_INT</stp>
        <stp>.IWM201120C173</stp>
        <tr r="G354" s="1"/>
      </tp>
      <tp>
        <v>903</v>
        <stp/>
        <stp>OPEN_INT</stp>
        <stp>.IWM201120P172</stp>
        <tr r="G351" s="1"/>
      </tp>
      <tp>
        <v>5678</v>
        <stp/>
        <stp>OPEN_INT</stp>
        <stp>.IWM201120C172</stp>
        <tr r="G350" s="1"/>
      </tp>
      <tp>
        <v>2020</v>
        <stp/>
        <stp>OPEN_INT</stp>
        <stp>.IWM201120P171</stp>
        <tr r="G349" s="1"/>
      </tp>
      <tp>
        <v>5980</v>
        <stp/>
        <stp>OPEN_INT</stp>
        <stp>.IWM201120C171</stp>
        <tr r="G348" s="1"/>
      </tp>
      <tp>
        <v>19373</v>
        <stp/>
        <stp>OPEN_INT</stp>
        <stp>.IWM201120P170</stp>
        <tr r="G347" s="1"/>
      </tp>
      <tp>
        <v>43763</v>
        <stp/>
        <stp>OPEN_INT</stp>
        <stp>.IWM201120C170</stp>
        <tr r="G346" s="1"/>
      </tp>
      <tp>
        <v>2853</v>
        <stp/>
        <stp>OPEN_INT</stp>
        <stp>.IWM201120P175</stp>
        <tr r="G359" s="1"/>
      </tp>
      <tp>
        <v>31990</v>
        <stp/>
        <stp>OPEN_INT</stp>
        <stp>.IWM201120C175</stp>
        <tr r="G358" s="1"/>
      </tp>
      <tp>
        <v>904</v>
        <stp/>
        <stp>OPEN_INT</stp>
        <stp>.IWM201120P174</stp>
        <tr r="G357" s="1"/>
      </tp>
      <tp>
        <v>1121</v>
        <stp/>
        <stp>OPEN_INT</stp>
        <stp>.IWM201120C174</stp>
        <tr r="G356" s="1"/>
      </tp>
      <tp>
        <v>435</v>
        <stp/>
        <stp>OPEN_INT</stp>
        <stp>.XLK201120P122.5</stp>
        <tr r="G838" s="1"/>
      </tp>
      <tp t="s">
        <v>N/A</v>
        <stp/>
        <stp>OPEN_INT</stp>
        <stp>.XLY201120P152.5</stp>
        <tr r="G873" s="1"/>
      </tp>
      <tp t="s">
        <v>N/A</v>
        <stp/>
        <stp>IMPL_VOL</stp>
        <stp>.IVV201120P357.5</stp>
        <tr r="D319" s="1"/>
      </tp>
      <tp>
        <v>0.66</v>
        <stp/>
        <stp>HIGH</stp>
        <stp>.XLB201120C68.5</stp>
        <tr r="J788" s="1"/>
      </tp>
      <tp>
        <v>0.93</v>
        <stp/>
        <stp>HIGH</stp>
        <stp>.XOP201120C48.5</stp>
        <tr r="J896" s="1"/>
      </tp>
      <tp t="s">
        <v>N/A</v>
        <stp/>
        <stp>VEGA</stp>
        <stp>.XRT201120P54.5</stp>
        <tr r="P906" s="1"/>
      </tp>
      <tp t="s">
        <v>N/A</v>
        <stp/>
        <stp>VEGA</stp>
        <stp>.XLI201120C84.5</stp>
        <tr r="P816" s="1"/>
      </tp>
      <tp t="s">
        <v>N/A</v>
        <stp/>
        <stp>VEGA</stp>
        <stp>.XLE201120C34.5</stp>
        <tr r="P808" s="1"/>
      </tp>
      <tp>
        <v>0</v>
        <stp/>
        <stp>HIGH</stp>
        <stp>.XOP201120P48.5</stp>
        <tr r="J897" s="1"/>
      </tp>
      <tp t="s">
        <v>N/A</v>
        <stp/>
        <stp>HIGH</stp>
        <stp>.XLB201120P68.5</stp>
        <tr r="J789" s="1"/>
      </tp>
      <tp t="s">
        <v>N/A</v>
        <stp/>
        <stp>VEGA</stp>
        <stp>.XRT201120C54.5</stp>
        <tr r="P905" s="1"/>
      </tp>
      <tp t="s">
        <v>N/A</v>
        <stp/>
        <stp>VEGA</stp>
        <stp>.XLI201120P84.5</stp>
        <tr r="P817" s="1"/>
      </tp>
      <tp t="s">
        <v>N/A</v>
        <stp/>
        <stp>VEGA</stp>
        <stp>.XLE201120P34.5</stp>
        <tr r="P809" s="1"/>
      </tp>
      <tp>
        <v>108</v>
        <stp/>
        <stp>OPEN_INT</stp>
        <stp>.XBI201120P122.5</stp>
        <tr r="G767" s="1"/>
      </tp>
      <tp t="s">
        <v>N/A</v>
        <stp/>
        <stp>PROB_OTM</stp>
        <stp>.MDY201120C387.5</stp>
        <tr r="U421" s="1"/>
      </tp>
      <tp t="s">
        <v>N/A</v>
        <stp/>
        <stp>PROB_OF_TOUCHING</stp>
        <stp>.DIA201120C297.5</stp>
        <tr r="V79" s="1"/>
      </tp>
      <tp t="s">
        <v>N/A</v>
        <stp/>
        <stp>PROB_OTM</stp>
        <stp>.QQQ201120C287</stp>
        <tr r="U478" s="1"/>
      </tp>
      <tp t="s">
        <v>N/A</v>
        <stp/>
        <stp>PROB_OTM</stp>
        <stp>.QQQ201120P287</stp>
        <tr r="U479" s="1"/>
      </tp>
      <tp t="s">
        <v>N/A</v>
        <stp/>
        <stp>PROB_OTM</stp>
        <stp>.QQQ201120C286</stp>
        <tr r="U476" s="1"/>
      </tp>
      <tp t="s">
        <v>N/A</v>
        <stp/>
        <stp>PROB_OTM</stp>
        <stp>.QQQ201120P286</stp>
        <tr r="U477" s="1"/>
      </tp>
      <tp t="s">
        <v>N/A</v>
        <stp/>
        <stp>PROB_OTM</stp>
        <stp>.QQQ201120C289</stp>
        <tr r="U484" s="1"/>
      </tp>
      <tp t="s">
        <v>N/A</v>
        <stp/>
        <stp>PROB_OTM</stp>
        <stp>.QQQ201120P289</stp>
        <tr r="U485" s="1"/>
      </tp>
      <tp t="s">
        <v>N/A</v>
        <stp/>
        <stp>PROB_OTM</stp>
        <stp>.QQQ201120C288</stp>
        <tr r="U482" s="1"/>
      </tp>
      <tp t="s">
        <v>N/A</v>
        <stp/>
        <stp>PROB_OTM</stp>
        <stp>.QQQ201120P288</stp>
        <tr r="U483" s="1"/>
      </tp>
      <tp t="s">
        <v>N/A</v>
        <stp/>
        <stp>PROB_OTM</stp>
        <stp>.QQQ201120C293</stp>
        <tr r="U494" s="1"/>
      </tp>
      <tp t="s">
        <v>N/A</v>
        <stp/>
        <stp>PROB_OTM</stp>
        <stp>.QQQ201120P293</stp>
        <tr r="U495" s="1"/>
      </tp>
      <tp t="s">
        <v>N/A</v>
        <stp/>
        <stp>PROB_OTM</stp>
        <stp>.QQQ201120C292</stp>
        <tr r="U490" s="1"/>
      </tp>
      <tp t="s">
        <v>N/A</v>
        <stp/>
        <stp>PROB_OTM</stp>
        <stp>.QQQ201120P292</stp>
        <tr r="U491" s="1"/>
      </tp>
      <tp t="s">
        <v>N/A</v>
        <stp/>
        <stp>PROB_OTM</stp>
        <stp>.QQQ201120C291</stp>
        <tr r="U488" s="1"/>
      </tp>
      <tp t="s">
        <v>N/A</v>
        <stp/>
        <stp>PROB_OTM</stp>
        <stp>.QQQ201120P291</stp>
        <tr r="U489" s="1"/>
      </tp>
      <tp t="s">
        <v>N/A</v>
        <stp/>
        <stp>PROB_OTM</stp>
        <stp>.QQQ201120C290</stp>
        <tr r="U486" s="1"/>
      </tp>
      <tp t="s">
        <v>N/A</v>
        <stp/>
        <stp>PROB_OTM</stp>
        <stp>.QQQ201120P290</stp>
        <tr r="U487" s="1"/>
      </tp>
      <tp t="s">
        <v>N/A</v>
        <stp/>
        <stp>PROB_OTM</stp>
        <stp>.QQQ201120C294</stp>
        <tr r="U496" s="1"/>
      </tp>
      <tp t="s">
        <v>N/A</v>
        <stp/>
        <stp>PROB_OTM</stp>
        <stp>.QQQ201120P294</stp>
        <tr r="U497" s="1"/>
      </tp>
      <tp t="s">
        <v>N/A</v>
        <stp/>
        <stp>LAST</stp>
        <stp>.SH201120P19</stp>
        <tr r="E544" s="1"/>
      </tp>
      <tp t="s">
        <v>N/A</v>
        <stp/>
        <stp>PUT_CALL_RATIO</stp>
        <stp>.ACWI201120P86</stp>
        <tr r="C11" s="1"/>
      </tp>
      <tp t="s">
        <v>N/A</v>
        <stp/>
        <stp>PUT_CALL_RATIO</stp>
        <stp>.ACWI201120P85</stp>
        <tr r="C9" s="1"/>
      </tp>
      <tp t="s">
        <v>N/A</v>
        <stp/>
        <stp>PUT_CALL_RATIO</stp>
        <stp>.INDA201120C36</stp>
        <tr r="C281" s="1"/>
      </tp>
      <tp t="s">
        <v>N/A</v>
        <stp/>
        <stp>LOW</stp>
        <stp>.SSO201120C81.5</stp>
        <tr r="K645" s="1"/>
      </tp>
      <tp t="s">
        <v>N/A</v>
        <stp/>
        <stp>LOW</stp>
        <stp>.SSO201120P81.5</stp>
        <tr r="K646" s="1"/>
      </tp>
      <tp t="s">
        <v>N/A</v>
        <stp/>
        <stp>EXTRINSIC</stp>
        <stp>.AGG201120C117</stp>
        <tr r="S16" s="1"/>
      </tp>
      <tp t="s">
        <v>N/A</v>
        <stp/>
        <stp>EXTRINSIC</stp>
        <stp>.AGG201120P117</stp>
        <tr r="S17" s="1"/>
      </tp>
      <tp>
        <v>0.33</v>
        <stp/>
        <stp>LOW</stp>
        <stp>.EWZ201120C31.5</stp>
        <tr r="K173" s="1"/>
      </tp>
      <tp t="s">
        <v>N/A</v>
        <stp/>
        <stp>LOW</stp>
        <stp>.EWY201120C71.5</stp>
        <tr r="K162" s="1"/>
      </tp>
      <tp>
        <v>0.7</v>
        <stp/>
        <stp>LOW</stp>
        <stp>.EWZ201120P31.5</stp>
        <tr r="K174" s="1"/>
      </tp>
      <tp>
        <v>0.66</v>
        <stp/>
        <stp>LOW</stp>
        <stp>.EWY201120P71.5</stp>
        <tr r="K163" s="1"/>
      </tp>
      <tp t="s">
        <v>N/A</v>
        <stp/>
        <stp>PUT_CALL_RATIO</stp>
        <stp>.SPDW201120C32</stp>
        <tr r="C579" s="1"/>
      </tp>
      <tp>
        <v>0</v>
        <stp/>
        <stp>VOLUME</stp>
        <stp>.PDBC201120P14</stp>
        <tr r="F453" s="1"/>
      </tp>
      <tp t="s">
        <v>N/A</v>
        <stp/>
        <stp>PUT_CALL_RATIO</stp>
        <stp>.INDY201120C38</stp>
        <tr r="C286" s="1"/>
      </tp>
      <tp t="s">
        <v>N/A</v>
        <stp/>
        <stp>STRIKE</stp>
        <stp>.ITOT201120C80</stp>
        <tr r="W298" s="1"/>
      </tp>
      <tp t="s">
        <v>N/A</v>
        <stp/>
        <stp>STRIKE</stp>
        <stp>.ITOT201120C81</stp>
        <tr r="W300" s="1"/>
      </tp>
      <tp t="s">
        <v>N/A</v>
        <stp/>
        <stp>PUT_CALL_RATIO</stp>
        <stp>.ACWX201120P50</stp>
        <tr r="C14" s="1"/>
      </tp>
      <tp t="s">
        <v>N/A</v>
        <stp/>
        <stp>ASK</stp>
        <stp>.PXH201120C19</stp>
        <tr r="I458" s="1"/>
      </tp>
      <tp t="s">
        <v>N/A</v>
        <stp/>
        <stp>BID</stp>
        <stp>.EWL201120C43</stp>
        <tr r="H143" s="1"/>
      </tp>
      <tp t="s">
        <v>N/A</v>
        <stp/>
        <stp>LOW</stp>
        <stp>.EWL201120P43</stp>
        <tr r="K144" s="1"/>
      </tp>
      <tp t="s">
        <v>N/A</v>
        <stp/>
        <stp>BID</stp>
        <stp>.VWO201120C47</stp>
        <tr r="H751" s="1"/>
      </tp>
      <tp>
        <v>0.2</v>
        <stp/>
        <stp>BID</stp>
        <stp>.EWI201120C27</stp>
        <tr r="H133" s="1"/>
      </tp>
      <tp t="s">
        <v>N/A</v>
        <stp/>
        <stp>LOW</stp>
        <stp>.VWO201120P47</stp>
        <tr r="K752" s="1"/>
      </tp>
      <tp>
        <v>0</v>
        <stp/>
        <stp>LOW</stp>
        <stp>.EWI201120P27</stp>
        <tr r="K134" s="1"/>
      </tp>
      <tp t="s">
        <v>N/A</v>
        <stp/>
        <stp>BID</stp>
        <stp>.EWH201120C24</stp>
        <tr r="H130" s="1"/>
      </tp>
      <tp t="s">
        <v>N/A</v>
        <stp/>
        <stp>ASK</stp>
        <stp>.PXH201120C20</stp>
        <tr r="I460" s="1"/>
      </tp>
      <tp t="s">
        <v>N/A</v>
        <stp/>
        <stp>LOW</stp>
        <stp>.EWH201120P24</stp>
        <tr r="K131" s="1"/>
      </tp>
      <tp>
        <v>1714483</v>
        <stp/>
        <stp>VOLUME</stp>
        <stp>SHYG</stp>
        <tr r="F548" s="1"/>
      </tp>
      <tp>
        <v>0.68</v>
        <stp/>
        <stp>ASK</stp>
        <stp>.FXI201120C47</stp>
        <tr r="I189" s="1"/>
      </tp>
      <tp>
        <v>0.28999999999999998</v>
        <stp/>
        <stp>ASK</stp>
        <stp>.FXI201120C48</stp>
        <tr r="I193" s="1"/>
      </tp>
      <tp>
        <v>0.17</v>
        <stp/>
        <stp>BID</stp>
        <stp>.EWJ201120C64</stp>
        <tr r="H140" s="1"/>
      </tp>
      <tp>
        <v>0.43</v>
        <stp/>
        <stp>BID</stp>
        <stp>.EWJ201120C63</stp>
        <tr r="H136" s="1"/>
      </tp>
      <tp t="s">
        <v>N/A</v>
        <stp/>
        <stp>LOW</stp>
        <stp>.EWJ201120P63</stp>
        <tr r="K137" s="1"/>
      </tp>
      <tp t="s">
        <v>N/A</v>
        <stp/>
        <stp>LOW</stp>
        <stp>.EWJ201120P64</stp>
        <tr r="K141" s="1"/>
      </tp>
      <tp>
        <v>0</v>
        <stp/>
        <stp>LOW</stp>
        <stp>.RWM201120P29</stp>
        <tr r="K519" s="1"/>
      </tp>
      <tp>
        <v>0.85</v>
        <stp/>
        <stp>BID</stp>
        <stp>.RWM201120C29</stp>
        <tr r="H518" s="1"/>
      </tp>
      <tp t="s">
        <v>N/A</v>
        <stp/>
        <stp>LOW</stp>
        <stp>.EWC201120P29</stp>
        <tr r="K125" s="1"/>
      </tp>
      <tp t="s">
        <v>N/A</v>
        <stp/>
        <stp>BID</stp>
        <stp>.EWC201120C29</stp>
        <tr r="H124" s="1"/>
      </tp>
      <tp t="s">
        <v>N/A</v>
        <stp/>
        <stp>STRIKE</stp>
        <stp>BKLN</stp>
        <tr r="W48" s="1"/>
      </tp>
      <tp t="s">
        <v>N/A</v>
        <stp/>
        <stp>BID</stp>
        <stp>.EWA201120C22</stp>
        <tr r="H121" s="1"/>
      </tp>
      <tp t="s">
        <v>N/A</v>
        <stp/>
        <stp>LOW</stp>
        <stp>.EWA201120P22</stp>
        <tr r="K122" s="1"/>
      </tp>
      <tp>
        <v>0.4</v>
        <stp/>
        <stp>ASK</stp>
        <stp>.DXD201120C14</stp>
        <tr r="I92" s="1"/>
      </tp>
      <tp>
        <v>0.15</v>
        <stp/>
        <stp>BID</stp>
        <stp>.EWG201120C30</stp>
        <tr r="H127" s="1"/>
      </tp>
      <tp t="s">
        <v>N/A</v>
        <stp/>
        <stp>LOW</stp>
        <stp>.EWG201120P30</stp>
        <tr r="K128" s="1"/>
      </tp>
      <tp>
        <v>0.24</v>
        <stp/>
        <stp>BID</stp>
        <stp>.EWZ201120C32</stp>
        <tr r="H175" s="1"/>
      </tp>
      <tp>
        <v>1.05</v>
        <stp/>
        <stp>LOW</stp>
        <stp>.EWZ201120P32</stp>
        <tr r="K176" s="1"/>
      </tp>
      <tp t="s">
        <v>N/A</v>
        <stp/>
        <stp>DESCRIPTION</stp>
        <stp>.XME201120P27</stp>
        <tr r="B888" s="1"/>
      </tp>
      <tp>
        <v>0.62</v>
        <stp/>
        <stp>BID</stp>
        <stp>.GDX201120P37</stp>
        <tr r="H199" s="1"/>
      </tp>
      <tp>
        <v>1.1000000000000001</v>
        <stp/>
        <stp>LOW</stp>
        <stp>.GDX201120C37</stp>
        <tr r="K198" s="1"/>
      </tp>
      <tp t="s">
        <v>N/A</v>
        <stp/>
        <stp>BID</stp>
        <stp>.EWY201120C73</stp>
        <tr r="H168" s="1"/>
      </tp>
      <tp t="s">
        <v>N/A</v>
        <stp/>
        <stp>BID</stp>
        <stp>.EWY201120C72</stp>
        <tr r="H164" s="1"/>
      </tp>
      <tp t="s">
        <v>N/A</v>
        <stp/>
        <stp>LOW</stp>
        <stp>.EWY201120P73</stp>
        <tr r="K169" s="1"/>
      </tp>
      <tp t="s">
        <v>N/A</v>
        <stp/>
        <stp>LOW</stp>
        <stp>.EWY201120P72</stp>
        <tr r="K165" s="1"/>
      </tp>
      <tp>
        <v>0</v>
        <stp/>
        <stp>LOW</stp>
        <stp>.EWT201120P48</stp>
        <tr r="K150" s="1"/>
      </tp>
      <tp t="s">
        <v>N/A</v>
        <stp/>
        <stp>BID</stp>
        <stp>.EWT201120C48</stp>
        <tr r="H149" s="1"/>
      </tp>
      <tp t="s">
        <v>N/A</v>
        <stp/>
        <stp>BID</stp>
        <stp>.EWP201120C26</stp>
        <tr r="H146" s="1"/>
      </tp>
      <tp t="s">
        <v>N/A</v>
        <stp/>
        <stp>BID</stp>
        <stp>.SDS201120P14</stp>
        <tr r="H541" s="1"/>
      </tp>
      <tp>
        <v>0.26</v>
        <stp/>
        <stp>LOW</stp>
        <stp>.SDS201120C14</stp>
        <tr r="K540" s="1"/>
      </tp>
      <tp t="s">
        <v>N/A</v>
        <stp/>
        <stp>LOW</stp>
        <stp>.EWP201120P26</stp>
        <tr r="K147" s="1"/>
      </tp>
      <tp>
        <v>0.71</v>
        <stp/>
        <stp>LOW</stp>
        <stp>.EWW201120P39</stp>
        <tr r="K158" s="1"/>
      </tp>
      <tp>
        <v>0.34</v>
        <stp/>
        <stp>BID</stp>
        <stp>.EWW201120C39</stp>
        <tr r="H157" s="1"/>
      </tp>
      <tp t="s">
        <v>N/A</v>
        <stp/>
        <stp>RHO</stp>
        <stp>.XOP201120P47</stp>
        <tr r="Q891" s="1"/>
      </tp>
      <tp t="s">
        <v>N/A</v>
        <stp/>
        <stp>RHO</stp>
        <stp>.XOP201120P49</stp>
        <tr r="Q899" s="1"/>
      </tp>
      <tp t="s">
        <v>N/A</v>
        <stp/>
        <stp>RHO</stp>
        <stp>.XOP201120P48</stp>
        <tr r="Q895" s="1"/>
      </tp>
      <tp t="s">
        <v>26.25%</v>
        <stp/>
        <stp>IMPL_VOL</stp>
        <stp>DVY</stp>
        <tr r="D84" s="1"/>
      </tp>
      <tp t="s">
        <v>N/A</v>
        <stp/>
        <stp>PROB_OF_TOUCHING</stp>
        <stp>DXD</stp>
        <tr r="V91" s="1"/>
      </tp>
      <tp t="s">
        <v>N/A</v>
        <stp/>
        <stp>PROB_OF_TOUCHING</stp>
        <stp>.JETS201120C19.5</stp>
        <tr r="V376" s="1"/>
      </tp>
      <tp t="s">
        <v>N/A</v>
        <stp/>
        <stp>PROB_OF_TOUCHING</stp>
        <stp>.JETS201120P19.5</stp>
        <tr r="V377" s="1"/>
      </tp>
      <tp>
        <v>0</v>
        <stp/>
        <stp>OPEN_INT</stp>
        <stp>FEZ</stp>
        <tr r="G180" s="1"/>
      </tp>
      <tp t="s">
        <v>N/A</v>
        <stp/>
        <stp>PROB_OTM</stp>
        <stp>BZQ</stp>
        <tr r="U51" s="1"/>
      </tp>
      <tp>
        <v>10</v>
        <stp/>
        <stp>VOLUME</stp>
        <stp>.EWJ201120C63.5</stp>
        <tr r="F138" s="1"/>
      </tp>
      <tp t="s">
        <v>N/A</v>
        <stp/>
        <stp>VOLUME</stp>
        <stp>.EWY201120C73.5</stp>
        <tr r="F170" s="1"/>
      </tp>
      <tp t="s">
        <v>N/A</v>
        <stp/>
        <stp>VOLUME</stp>
        <stp>.EWJ201120P63.5</stp>
        <tr r="F139" s="1"/>
      </tp>
      <tp t="s">
        <v>N/A</v>
        <stp/>
        <stp>VOLUME</stp>
        <stp>.EWY201120P73.5</stp>
        <tr r="F171" s="1"/>
      </tp>
      <tp t="s">
        <v>N/A</v>
        <stp/>
        <stp>PROB_OF_EXPIRING</stp>
        <stp>SSO</stp>
        <tr r="T642" s="1"/>
      </tp>
      <tp t="s">
        <v>N/A</v>
        <stp/>
        <stp>PROB_OF_TOUCHING</stp>
        <stp>DVY</stp>
        <tr r="V84" s="1"/>
      </tp>
      <tp t="s">
        <v>62.10%</v>
        <stp/>
        <stp>IMPL_VOL</stp>
        <stp>DXD</stp>
        <tr r="D91" s="1"/>
      </tp>
      <tp t="s">
        <v>N/A</v>
        <stp/>
        <stp>PROB_OF_EXPIRING</stp>
        <stp>SPY</stp>
        <tr r="T590" s="1"/>
      </tp>
      <tp t="s">
        <v>N/A</v>
        <stp/>
        <stp>PROB_OF_TOUCHING</stp>
        <stp>DIA</stp>
        <tr r="V62" s="1"/>
      </tp>
      <tp t="s">
        <v>N/A</v>
        <stp/>
        <stp>PROB_OF_EXPIRING</stp>
        <stp>SMH</stp>
        <tr r="T551" s="1"/>
      </tp>
      <tp>
        <v>0</v>
        <stp/>
        <stp>OPEN_INT</stp>
        <stp>FVD</stp>
        <tr r="G185" s="1"/>
      </tp>
      <tp>
        <v>705</v>
        <stp/>
        <stp>VOLUME</stp>
        <stp>.XLE201120P33.5</stp>
        <tr r="F805" s="1"/>
      </tp>
      <tp>
        <v>12</v>
        <stp/>
        <stp>VOLUME</stp>
        <stp>.XLC201120P63.5</stp>
        <tr r="F800" s="1"/>
      </tp>
      <tp>
        <v>320</v>
        <stp/>
        <stp>VOLUME</stp>
        <stp>.XLE201120C33.5</stp>
        <tr r="F804" s="1"/>
      </tp>
      <tp t="s">
        <v>N/A</v>
        <stp/>
        <stp>VOLUME</stp>
        <stp>.XLC201120C63.5</stp>
        <tr r="F799" s="1"/>
      </tp>
      <tp t="s">
        <v>N/A</v>
        <stp/>
        <stp>PROB_OF_EXPIRING</stp>
        <stp>SHY</stp>
        <tr r="T545" s="1"/>
      </tp>
      <tp t="s">
        <v>N/A</v>
        <stp/>
        <stp>PROB_OF_EXPIRING</stp>
        <stp>.ASHR201120P37.5</stp>
        <tr r="T45" s="1"/>
      </tp>
      <tp t="s">
        <v>N/A</v>
        <stp/>
        <stp>PROB_OF_EXPIRING</stp>
        <stp>.ASHR201120C37.5</stp>
        <tr r="T44" s="1"/>
      </tp>
      <tp t="s">
        <v>N/A</v>
        <stp/>
        <stp>VOLUME</stp>
        <stp>.TAN201120P73.5</stp>
        <tr r="F665" s="1"/>
      </tp>
      <tp t="s">
        <v>N/A</v>
        <stp/>
        <stp>VOLUME</stp>
        <stp>.TAN201120C73.5</stp>
        <tr r="F664" s="1"/>
      </tp>
      <tp t="s">
        <v>N/A</v>
        <stp/>
        <stp>PROB_OF_EXPIRING</stp>
        <stp>SDS</stp>
        <tr r="T537" s="1"/>
      </tp>
      <tp>
        <v>0</v>
        <stp/>
        <stp>OPEN_INT</stp>
        <stp>FXI</stp>
        <tr r="G188" s="1"/>
      </tp>
      <tp t="s">
        <v>N/A</v>
        <stp/>
        <stp>VOLUME</stp>
        <stp>.SSO201120C83.5</stp>
        <tr r="F653" s="1"/>
      </tp>
      <tp t="s">
        <v>N/A</v>
        <stp/>
        <stp>VOLUME</stp>
        <stp>.SDS201120P13.5</stp>
        <tr r="F539" s="1"/>
      </tp>
      <tp t="s">
        <v>N/A</v>
        <stp/>
        <stp>VOLUME</stp>
        <stp>.SSO201120P83.5</stp>
        <tr r="F654" s="1"/>
      </tp>
      <tp t="s">
        <v>N/A</v>
        <stp/>
        <stp>VOLUME</stp>
        <stp>.SDS201120C13.5</stp>
        <tr r="F538" s="1"/>
      </tp>
      <tp t="s">
        <v>N/A</v>
        <stp/>
        <stp>PROB_OF_EXPIRING</stp>
        <stp>SCZ</stp>
        <tr r="T534" s="1"/>
      </tp>
      <tp t="s">
        <v>25.89%</v>
        <stp/>
        <stp>IMPL_VOL</stp>
        <stp>DIA</stp>
        <tr r="D62" s="1"/>
      </tp>
      <tp t="s">
        <v>N/A</v>
        <stp/>
        <stp>OPEN_INT</stp>
        <stp>.XLY201120C153.5</stp>
        <tr r="G876" s="1"/>
      </tp>
      <tp t="s">
        <v>N/A</v>
        <stp/>
        <stp>HIGH</stp>
        <stp>.EWW201120P39.5</stp>
        <tr r="J160" s="1"/>
      </tp>
      <tp t="s">
        <v>N/A</v>
        <stp/>
        <stp>HIGH</stp>
        <stp>.EFA201120C69.5</stp>
        <tr r="J104" s="1"/>
      </tp>
      <tp t="s">
        <v>N/A</v>
        <stp/>
        <stp>HIGH</stp>
        <stp>.EFA201120P69.5</stp>
        <tr r="J105" s="1"/>
      </tp>
      <tp t="s">
        <v>N/A</v>
        <stp/>
        <stp>HIGH</stp>
        <stp>.EWW201120C39.5</stp>
        <tr r="J159" s="1"/>
      </tp>
      <tp t="s">
        <v>N/A</v>
        <stp/>
        <stp>PROB_OF_EXPIRING</stp>
        <stp>.QLD201120P101</stp>
        <tr r="T474" s="1"/>
      </tp>
      <tp t="s">
        <v>N/A</v>
        <stp/>
        <stp>PROB_OF_EXPIRING</stp>
        <stp>.QLD201120C101</stp>
        <tr r="T473" s="1"/>
      </tp>
      <tp t="s">
        <v>N/A</v>
        <stp/>
        <stp>PROB_OF_EXPIRING</stp>
        <stp>.QLD201120P100</stp>
        <tr r="T472" s="1"/>
      </tp>
      <tp t="s">
        <v>N/A</v>
        <stp/>
        <stp>PROB_OF_EXPIRING</stp>
        <stp>.QLD201120C100</stp>
        <tr r="T471" s="1"/>
      </tp>
      <tp>
        <v>0</v>
        <stp/>
        <stp>OPEN_INT</stp>
        <stp>.SMH201120C198.5</stp>
        <tr r="G576" s="1"/>
      </tp>
      <tp t="s">
        <v>N/A</v>
        <stp/>
        <stp>IMPL_VOL</stp>
        <stp>.MDY201120P382.5</stp>
        <tr r="D418" s="1"/>
      </tp>
      <tp t="s">
        <v>N/A</v>
        <stp/>
        <stp>PROB_OF_EXPIRING</stp>
        <stp>.IWD201120C130</stp>
        <tr r="T338" s="1"/>
      </tp>
      <tp t="s">
        <v>N/A</v>
        <stp/>
        <stp>PROB_OF_EXPIRING</stp>
        <stp>.LQD201120C135</stp>
        <tr r="T407" s="1"/>
      </tp>
      <tp t="s">
        <v>N/A</v>
        <stp/>
        <stp>PROB_OF_EXPIRING</stp>
        <stp>.IWD201120P130</stp>
        <tr r="T339" s="1"/>
      </tp>
      <tp t="s">
        <v>N/A</v>
        <stp/>
        <stp>PROB_OF_EXPIRING</stp>
        <stp>.LQD201120P135</stp>
        <tr r="T408" s="1"/>
      </tp>
      <tp t="s">
        <v>N/A</v>
        <stp/>
        <stp>HIGH</stp>
        <stp>.FEZ201120C39.5</stp>
        <tr r="J181" s="1"/>
      </tp>
      <tp>
        <v>0</v>
        <stp/>
        <stp>HIGH</stp>
        <stp>.FEZ201120P39.5</stp>
        <tr r="J182" s="1"/>
      </tp>
      <tp t="s">
        <v>N/A</v>
        <stp/>
        <stp>LAST</stp>
        <stp>.SSO201120C81.5</stp>
        <tr r="E645" s="1"/>
      </tp>
      <tp t="s">
        <v>N/A</v>
        <stp/>
        <stp>PROB_OF_EXPIRING</stp>
        <stp>.IWD201120C129</stp>
        <tr r="T336" s="1"/>
      </tp>
      <tp t="s">
        <v>N/A</v>
        <stp/>
        <stp>PROB_OF_EXPIRING</stp>
        <stp>.IWD201120P129</stp>
        <tr r="T337" s="1"/>
      </tp>
      <tp t="s">
        <v>N/A</v>
        <stp/>
        <stp>PROB_OF_EXPIRING</stp>
        <stp>.IWD201120C128</stp>
        <tr r="T334" s="1"/>
      </tp>
      <tp t="s">
        <v>N/A</v>
        <stp/>
        <stp>PROB_OF_EXPIRING</stp>
        <stp>.IWD201120P128</stp>
        <tr r="T335" s="1"/>
      </tp>
      <tp t="s">
        <v>N/A</v>
        <stp/>
        <stp>LAST</stp>
        <stp>.SSO201120P81.5</stp>
        <tr r="E646" s="1"/>
      </tp>
      <tp t="s">
        <v>N/A</v>
        <stp/>
        <stp>VEGA</stp>
        <stp>.HYG201120P85.5</stp>
        <tr r="P222" s="1"/>
      </tp>
      <tp t="s">
        <v>N/A</v>
        <stp/>
        <stp>VEGA</stp>
        <stp>.HYG201120C85.5</stp>
        <tr r="P221" s="1"/>
      </tp>
      <tp t="s">
        <v>N/A</v>
        <stp/>
        <stp>VEGA</stp>
        <stp>.ITB201120P55.5</stp>
        <tr r="P294" s="1"/>
      </tp>
      <tp t="s">
        <v>N/A</v>
        <stp/>
        <stp>VEGA</stp>
        <stp>.IYR201120P85.5</stp>
        <tr r="P374" s="1"/>
      </tp>
      <tp t="s">
        <v>N/A</v>
        <stp/>
        <stp>VEGA</stp>
        <stp>.ITB201120C55.5</stp>
        <tr r="P293" s="1"/>
      </tp>
      <tp t="s">
        <v>N/A</v>
        <stp/>
        <stp>VEGA</stp>
        <stp>.IYR201120C85.5</stp>
        <tr r="P373" s="1"/>
      </tp>
      <tp>
        <v>580</v>
        <stp/>
        <stp>OPEN_INT</stp>
        <stp>.XBI201120C123.5</stp>
        <tr r="G770" s="1"/>
      </tp>
      <tp t="s">
        <v>N/A</v>
        <stp/>
        <stp>PROB_OTM</stp>
        <stp>.IWM201120C172.5</stp>
        <tr r="U352" s="1"/>
      </tp>
      <tp>
        <v>0.37</v>
        <stp/>
        <stp>LAST</stp>
        <stp>.EWZ201120C31.5</stp>
        <tr r="E173" s="1"/>
      </tp>
      <tp t="s">
        <v>N/A</v>
        <stp/>
        <stp>LAST</stp>
        <stp>.EWY201120C71.5</stp>
        <tr r="E162" s="1"/>
      </tp>
      <tp>
        <v>1.1000000000000001</v>
        <stp/>
        <stp>LAST</stp>
        <stp>.EWZ201120P31.5</stp>
        <tr r="E174" s="1"/>
      </tp>
      <tp>
        <v>0.92</v>
        <stp/>
        <stp>LAST</stp>
        <stp>.EWY201120P71.5</stp>
        <tr r="E163" s="1"/>
      </tp>
      <tp t="s">
        <v>N/A</v>
        <stp/>
        <stp>VEGA</stp>
        <stp>.TAN201120C75.5</stp>
        <tr r="P672" s="1"/>
      </tp>
      <tp t="s">
        <v>N/A</v>
        <stp/>
        <stp>VEGA</stp>
        <stp>.TAN201120P75.5</stp>
        <tr r="P673" s="1"/>
      </tp>
      <tp>
        <v>0</v>
        <stp/>
        <stp>OPEN_INT</stp>
        <stp>.SMH201120P198.5</stp>
        <tr r="G577" s="1"/>
      </tp>
      <tp t="s">
        <v>N/A</v>
        <stp/>
        <stp>IMPL_VOL</stp>
        <stp>.MDY201120C382.5</stp>
        <tr r="D417" s="1"/>
      </tp>
      <tp t="s">
        <v>N/A</v>
        <stp/>
        <stp>OPEN_INT</stp>
        <stp>.XLY201120P153.5</stp>
        <tr r="G877" s="1"/>
      </tp>
      <tp>
        <v>0</v>
        <stp/>
        <stp>HIGH</stp>
        <stp>.XLB201120C69.5</stp>
        <tr r="J792" s="1"/>
      </tp>
      <tp t="s">
        <v>N/A</v>
        <stp/>
        <stp>HIGH</stp>
        <stp>.XOP201120C49.5</stp>
        <tr r="J900" s="1"/>
      </tp>
      <tp t="s">
        <v>N/A</v>
        <stp/>
        <stp>VEGA</stp>
        <stp>.XRT201120P55.5</stp>
        <tr r="P910" s="1"/>
      </tp>
      <tp t="s">
        <v>N/A</v>
        <stp/>
        <stp>VEGA</stp>
        <stp>.XLI201120C85.5</stp>
        <tr r="P820" s="1"/>
      </tp>
      <tp t="s">
        <v>N/A</v>
        <stp/>
        <stp>VEGA</stp>
        <stp>.XHB201120C55.5</stp>
        <tr r="P783" s="1"/>
      </tp>
      <tp>
        <v>3.44</v>
        <stp/>
        <stp>HIGH</stp>
        <stp>.XOP201120P49.5</stp>
        <tr r="J901" s="1"/>
      </tp>
      <tp t="s">
        <v>N/A</v>
        <stp/>
        <stp>HIGH</stp>
        <stp>.XLB201120P69.5</stp>
        <tr r="J793" s="1"/>
      </tp>
      <tp t="s">
        <v>N/A</v>
        <stp/>
        <stp>VEGA</stp>
        <stp>.XRT201120C55.5</stp>
        <tr r="P909" s="1"/>
      </tp>
      <tp t="s">
        <v>N/A</v>
        <stp/>
        <stp>VEGA</stp>
        <stp>.XLI201120P85.5</stp>
        <tr r="P821" s="1"/>
      </tp>
      <tp t="s">
        <v>N/A</v>
        <stp/>
        <stp>VEGA</stp>
        <stp>.XHB201120P55.5</stp>
        <tr r="P784" s="1"/>
      </tp>
      <tp>
        <v>15</v>
        <stp/>
        <stp>OPEN_INT</stp>
        <stp>.XBI201120P123.5</stp>
        <tr r="G771" s="1"/>
      </tp>
      <tp t="s">
        <v>N/A</v>
        <stp/>
        <stp>PROB_OTM</stp>
        <stp>.IWM201120P172.5</stp>
        <tr r="U353" s="1"/>
      </tp>
      <tp t="s">
        <v>N/A</v>
        <stp/>
        <stp>PUT_CALL_RATIO</stp>
        <stp>.KWEB201120C74</stp>
        <tr r="C402" s="1"/>
      </tp>
      <tp t="s">
        <v>N/A</v>
        <stp/>
        <stp>PUT_CALL_RATIO</stp>
        <stp>.KWEB201120C73</stp>
        <tr r="C400" s="1"/>
      </tp>
      <tp t="s">
        <v>N/A</v>
        <stp/>
        <stp>PUT_CALL_RATIO</stp>
        <stp>.KWEB201120C72</stp>
        <tr r="C398" s="1"/>
      </tp>
      <tp t="s">
        <v>N/A</v>
        <stp/>
        <stp>PUT_CALL_RATIO</stp>
        <stp>.DFEN201120C13</stp>
        <tr r="C55" s="1"/>
      </tp>
      <tp t="s">
        <v>N/A</v>
        <stp/>
        <stp>PUT_CALL_RATIO</stp>
        <stp>.DFEN201120C14</stp>
        <tr r="C57" s="1"/>
      </tp>
      <tp t="s">
        <v>N/A</v>
        <stp/>
        <stp>PUT_CALL_RATIO</stp>
        <stp>.SRVR201120P35</stp>
        <tr r="C639" s="1"/>
      </tp>
      <tp t="s">
        <v>N/A</v>
        <stp/>
        <stp>PUT_CALL_RATIO</stp>
        <stp>.SRVR201120P36</stp>
        <tr r="C641" s="1"/>
      </tp>
      <tp t="s">
        <v>N/A</v>
        <stp/>
        <stp>INTRINSIC</stp>
        <stp>.RSP201120P118</stp>
        <tr r="R507" s="1"/>
      </tp>
      <tp t="s">
        <v>N/A</v>
        <stp/>
        <stp>INTRINSIC</stp>
        <stp>.RSP201120C118</stp>
        <tr r="R506" s="1"/>
      </tp>
      <tp t="s">
        <v>N/A</v>
        <stp/>
        <stp>INTRINSIC</stp>
        <stp>.RSP201120P119</stp>
        <tr r="R509" s="1"/>
      </tp>
      <tp t="s">
        <v>N/A</v>
        <stp/>
        <stp>INTRINSIC</stp>
        <stp>.RSP201120C119</stp>
        <tr r="R508" s="1"/>
      </tp>
      <tp t="s">
        <v>N/A</v>
        <stp/>
        <stp>INTRINSIC</stp>
        <stp>.TIP201120C125</stp>
        <tr r="R687" s="1"/>
      </tp>
      <tp t="s">
        <v>N/A</v>
        <stp/>
        <stp>INTRINSIC</stp>
        <stp>.TIP201120P125</stp>
        <tr r="R688" s="1"/>
      </tp>
      <tp t="s">
        <v>N/A</v>
        <stp/>
        <stp>INTRINSIC</stp>
        <stp>.RSP201120P120</stp>
        <tr r="R511" s="1"/>
      </tp>
      <tp t="s">
        <v>N/A</v>
        <stp/>
        <stp>INTRINSIC</stp>
        <stp>.RSP201120C120</stp>
        <tr r="R510" s="1"/>
      </tp>
      <tp>
        <v>1.87</v>
        <stp/>
        <stp>LOW</stp>
        <stp>.DIA201120C294</stp>
        <tr r="K71" s="1"/>
      </tp>
      <tp>
        <v>4.22</v>
        <stp/>
        <stp>LOW</stp>
        <stp>.DIA201120P294</stp>
        <tr r="K72" s="1"/>
      </tp>
      <tp>
        <v>1.5</v>
        <stp/>
        <stp>LOW</stp>
        <stp>.DIA201120C295</stp>
        <tr r="K73" s="1"/>
      </tp>
      <tp>
        <v>4.7</v>
        <stp/>
        <stp>LOW</stp>
        <stp>.DIA201120P295</stp>
        <tr r="K74" s="1"/>
      </tp>
      <tp>
        <v>1.24</v>
        <stp/>
        <stp>LOW</stp>
        <stp>.DIA201120C296</stp>
        <tr r="K75" s="1"/>
      </tp>
      <tp>
        <v>5.45</v>
        <stp/>
        <stp>LOW</stp>
        <stp>.DIA201120P296</stp>
        <tr r="K76" s="1"/>
      </tp>
      <tp>
        <v>1</v>
        <stp/>
        <stp>LOW</stp>
        <stp>.DIA201120C297</stp>
        <tr r="K77" s="1"/>
      </tp>
      <tp>
        <v>6.15</v>
        <stp/>
        <stp>LOW</stp>
        <stp>.DIA201120P297</stp>
        <tr r="K78" s="1"/>
      </tp>
      <tp>
        <v>3.1</v>
        <stp/>
        <stp>LOW</stp>
        <stp>.DIA201120C291</stp>
        <tr r="K63" s="1"/>
      </tp>
      <tp>
        <v>2.94</v>
        <stp/>
        <stp>LOW</stp>
        <stp>.DIA201120P291</stp>
        <tr r="K64" s="1"/>
      </tp>
      <tp>
        <v>2.66</v>
        <stp/>
        <stp>LOW</stp>
        <stp>.DIA201120C292</stp>
        <tr r="K65" s="1"/>
      </tp>
      <tp>
        <v>3.3</v>
        <stp/>
        <stp>LOW</stp>
        <stp>.DIA201120P292</stp>
        <tr r="K66" s="1"/>
      </tp>
      <tp>
        <v>2.2000000000000002</v>
        <stp/>
        <stp>LOW</stp>
        <stp>.DIA201120C293</stp>
        <tr r="K69" s="1"/>
      </tp>
      <tp>
        <v>3.75</v>
        <stp/>
        <stp>LOW</stp>
        <stp>.DIA201120P293</stp>
        <tr r="K70" s="1"/>
      </tp>
      <tp>
        <v>3.4</v>
        <stp/>
        <stp>ASK</stp>
        <stp>.IBB201120P141</stp>
        <tr r="I242" s="1"/>
      </tp>
      <tp t="s">
        <v>N/A</v>
        <stp/>
        <stp>ASK</stp>
        <stp>.IBB201120C141</stp>
        <tr r="I241" s="1"/>
      </tp>
      <tp t="s">
        <v>N/A</v>
        <stp/>
        <stp>ASK</stp>
        <stp>.IBB201120P140</stp>
        <tr r="I238" s="1"/>
      </tp>
      <tp t="s">
        <v>N/A</v>
        <stp/>
        <stp>ASK</stp>
        <stp>.IBB201120C140</stp>
        <tr r="I237" s="1"/>
      </tp>
      <tp>
        <v>0.36</v>
        <stp/>
        <stp>LOW</stp>
        <stp>.EEM201120C48</stp>
        <tr r="K97" s="1"/>
      </tp>
      <tp>
        <v>0.69</v>
        <stp/>
        <stp>BID</stp>
        <stp>.EEM201120P48</stp>
        <tr r="H98" s="1"/>
      </tp>
      <tp t="s">
        <v>N/A</v>
        <stp/>
        <stp>DESCRIPTION</stp>
        <stp>.XLP201120P67</stp>
        <tr r="B845" s="1"/>
      </tp>
      <tp>
        <v>2.88</v>
        <stp/>
        <stp>BID</stp>
        <stp>.IBB201120P141</stp>
        <tr r="H242" s="1"/>
      </tp>
      <tp t="s">
        <v>N/A</v>
        <stp/>
        <stp>BID</stp>
        <stp>.IBB201120C141</stp>
        <tr r="H241" s="1"/>
      </tp>
      <tp t="s">
        <v>N/A</v>
        <stp/>
        <stp>BID</stp>
        <stp>.IBB201120P140</stp>
        <tr r="H238" s="1"/>
      </tp>
      <tp t="s">
        <v>N/A</v>
        <stp/>
        <stp>BID</stp>
        <stp>.IBB201120C140</stp>
        <tr r="H237" s="1"/>
      </tp>
      <tp t="s">
        <v>N/A</v>
        <stp/>
        <stp>BID</stp>
        <stp>.IBB201120P139</stp>
        <tr r="H234" s="1"/>
      </tp>
      <tp>
        <v>2.1800000000000002</v>
        <stp/>
        <stp>BID</stp>
        <stp>.IBB201120C139</stp>
        <tr r="H233" s="1"/>
      </tp>
      <tp>
        <v>1.48</v>
        <stp/>
        <stp>BID</stp>
        <stp>.IBB201120P138</stp>
        <tr r="H230" s="1"/>
      </tp>
      <tp t="s">
        <v>N/A</v>
        <stp/>
        <stp>BID</stp>
        <stp>.IBB201120C138</stp>
        <tr r="H229" s="1"/>
      </tp>
      <tp t="s">
        <v>N/A</v>
        <stp/>
        <stp>ASK</stp>
        <stp>.EMB201120P114</stp>
        <tr r="I113" s="1"/>
      </tp>
      <tp>
        <v>0.28000000000000003</v>
        <stp/>
        <stp>ASK</stp>
        <stp>.EMB201120C114</stp>
        <tr r="I112" s="1"/>
      </tp>
      <tp t="s">
        <v>N/A</v>
        <stp/>
        <stp>ASK</stp>
        <stp>.MUB201120C116</stp>
        <tr r="I436" s="1"/>
      </tp>
      <tp t="s">
        <v>N/A</v>
        <stp/>
        <stp>ASK</stp>
        <stp>.MUB201120P116</stp>
        <tr r="I437" s="1"/>
      </tp>
      <tp t="s">
        <v>N/A</v>
        <stp/>
        <stp>DESCRIPTION</stp>
        <stp>.XLU201120P66</stp>
        <tr r="B851" s="1"/>
      </tp>
      <tp t="s">
        <v>N/A</v>
        <stp/>
        <stp>DESCRIPTION</stp>
        <stp>.XLU201120P67</stp>
        <tr r="B855" s="1"/>
      </tp>
      <tp t="s">
        <v>N/A</v>
        <stp/>
        <stp>BID</stp>
        <stp>.MUB201120C116</stp>
        <tr r="H436" s="1"/>
      </tp>
      <tp t="s">
        <v>N/A</v>
        <stp/>
        <stp>BID</stp>
        <stp>.MUB201120P116</stp>
        <tr r="H437" s="1"/>
      </tp>
      <tp t="s">
        <v>N/A</v>
        <stp/>
        <stp>BID</stp>
        <stp>.EMB201120P114</stp>
        <tr r="H113" s="1"/>
      </tp>
      <tp>
        <v>0.2</v>
        <stp/>
        <stp>BID</stp>
        <stp>.EMB201120C114</stp>
        <tr r="H112" s="1"/>
      </tp>
      <tp>
        <v>0.22</v>
        <stp/>
        <stp>ASK</stp>
        <stp>.HYG201120C86</stp>
        <tr r="I223" s="1"/>
      </tp>
      <tp t="s">
        <v>N/A</v>
        <stp/>
        <stp>ASK</stp>
        <stp>.IBB201120P139</stp>
        <tr r="I234" s="1"/>
      </tp>
      <tp>
        <v>2.5</v>
        <stp/>
        <stp>ASK</stp>
        <stp>.IBB201120C139</stp>
        <tr r="I233" s="1"/>
      </tp>
      <tp>
        <v>1.83</v>
        <stp/>
        <stp>ASK</stp>
        <stp>.IBB201120P138</stp>
        <tr r="I230" s="1"/>
      </tp>
      <tp t="s">
        <v>N/A</v>
        <stp/>
        <stp>ASK</stp>
        <stp>.IBB201120C138</stp>
        <tr r="I229" s="1"/>
      </tp>
      <tp t="s">
        <v>N/A</v>
        <stp/>
        <stp>LOW</stp>
        <stp>.MUB201120P116</stp>
        <tr r="K437" s="1"/>
      </tp>
      <tp t="s">
        <v>N/A</v>
        <stp/>
        <stp>LOW</stp>
        <stp>.MUB201120C116</stp>
        <tr r="K436" s="1"/>
      </tp>
      <tp>
        <v>0.35</v>
        <stp/>
        <stp>LOW</stp>
        <stp>.EMB201120C114</stp>
        <tr r="K112" s="1"/>
      </tp>
      <tp t="s">
        <v>N/A</v>
        <stp/>
        <stp>LOW</stp>
        <stp>.EMB201120P114</stp>
        <tr r="K113" s="1"/>
      </tp>
      <tp>
        <v>2.46</v>
        <stp/>
        <stp>LOW</stp>
        <stp>.IBB201120C139</stp>
        <tr r="K233" s="1"/>
      </tp>
      <tp t="s">
        <v>N/A</v>
        <stp/>
        <stp>LOW</stp>
        <stp>.IBB201120P139</stp>
        <tr r="K234" s="1"/>
      </tp>
      <tp t="s">
        <v>N/A</v>
        <stp/>
        <stp>LOW</stp>
        <stp>.IBB201120C138</stp>
        <tr r="K229" s="1"/>
      </tp>
      <tp t="s">
        <v>N/A</v>
        <stp/>
        <stp>LOW</stp>
        <stp>.IBB201120P138</stp>
        <tr r="K230" s="1"/>
      </tp>
      <tp t="s">
        <v>N/A</v>
        <stp/>
        <stp>BID</stp>
        <stp>.VEA201120P44</stp>
        <tr r="H709" s="1"/>
      </tp>
      <tp t="s">
        <v>N/A</v>
        <stp/>
        <stp>ASK</stp>
        <stp>.VYM201120C87</stp>
        <tr r="I759" s="1"/>
      </tp>
      <tp t="s">
        <v>N/A</v>
        <stp/>
        <stp>ASK</stp>
        <stp>.VYM201120C88</stp>
        <tr r="I761" s="1"/>
      </tp>
      <tp>
        <v>0.4</v>
        <stp/>
        <stp>LOW</stp>
        <stp>.VEA201120C44</stp>
        <tr r="K708" s="1"/>
      </tp>
      <tp t="s">
        <v>N/A</v>
        <stp/>
        <stp>LOW</stp>
        <stp>.IBB201120C141</stp>
        <tr r="K241" s="1"/>
      </tp>
      <tp>
        <v>0</v>
        <stp/>
        <stp>LOW</stp>
        <stp>.IBB201120P141</stp>
        <tr r="K242" s="1"/>
      </tp>
      <tp t="s">
        <v>N/A</v>
        <stp/>
        <stp>LOW</stp>
        <stp>.IBB201120C140</stp>
        <tr r="K237" s="1"/>
      </tp>
      <tp t="s">
        <v>N/A</v>
        <stp/>
        <stp>LOW</stp>
        <stp>.IBB201120P140</stp>
        <tr r="K238" s="1"/>
      </tp>
      <tp>
        <v>3.95</v>
        <stp/>
        <stp>ASK</stp>
        <stp>.DIA201120P291</stp>
        <tr r="I64" s="1"/>
      </tp>
      <tp>
        <v>4.2</v>
        <stp/>
        <stp>ASK</stp>
        <stp>.DIA201120C291</stp>
        <tr r="I63" s="1"/>
      </tp>
      <tp>
        <v>4.4000000000000004</v>
        <stp/>
        <stp>ASK</stp>
        <stp>.DIA201120P292</stp>
        <tr r="I66" s="1"/>
      </tp>
      <tp>
        <v>3.6</v>
        <stp/>
        <stp>ASK</stp>
        <stp>.DIA201120C292</stp>
        <tr r="I65" s="1"/>
      </tp>
      <tp>
        <v>4.9000000000000004</v>
        <stp/>
        <stp>ASK</stp>
        <stp>.DIA201120P293</stp>
        <tr r="I70" s="1"/>
      </tp>
      <tp>
        <v>3.05</v>
        <stp/>
        <stp>ASK</stp>
        <stp>.DIA201120C293</stp>
        <tr r="I69" s="1"/>
      </tp>
      <tp>
        <v>5.5</v>
        <stp/>
        <stp>ASK</stp>
        <stp>.DIA201120P294</stp>
        <tr r="I72" s="1"/>
      </tp>
      <tp>
        <v>2.57</v>
        <stp/>
        <stp>ASK</stp>
        <stp>.DIA201120C294</stp>
        <tr r="I71" s="1"/>
      </tp>
      <tp>
        <v>6.1</v>
        <stp/>
        <stp>ASK</stp>
        <stp>.DIA201120P295</stp>
        <tr r="I74" s="1"/>
      </tp>
      <tp>
        <v>2.1800000000000002</v>
        <stp/>
        <stp>ASK</stp>
        <stp>.DIA201120C295</stp>
        <tr r="I73" s="1"/>
      </tp>
      <tp>
        <v>6.8</v>
        <stp/>
        <stp>ASK</stp>
        <stp>.DIA201120P296</stp>
        <tr r="I76" s="1"/>
      </tp>
      <tp>
        <v>1.81</v>
        <stp/>
        <stp>ASK</stp>
        <stp>.DIA201120C296</stp>
        <tr r="I75" s="1"/>
      </tp>
      <tp>
        <v>7.55</v>
        <stp/>
        <stp>ASK</stp>
        <stp>.DIA201120P297</stp>
        <tr r="I78" s="1"/>
      </tp>
      <tp>
        <v>1.49</v>
        <stp/>
        <stp>ASK</stp>
        <stp>.DIA201120C297</stp>
        <tr r="I77" s="1"/>
      </tp>
      <tp>
        <v>0.3</v>
        <stp/>
        <stp>ASK</stp>
        <stp>.IYE201120C18</stp>
        <tr r="I364" s="1"/>
      </tp>
      <tp>
        <v>4</v>
        <stp/>
        <stp>BID</stp>
        <stp>.DIA201120P292</stp>
        <tr r="H66" s="1"/>
      </tp>
      <tp>
        <v>3.25</v>
        <stp/>
        <stp>BID</stp>
        <stp>.DIA201120C292</stp>
        <tr r="H65" s="1"/>
      </tp>
      <tp>
        <v>4.5</v>
        <stp/>
        <stp>BID</stp>
        <stp>.DIA201120P293</stp>
        <tr r="H70" s="1"/>
      </tp>
      <tp>
        <v>2.75</v>
        <stp/>
        <stp>BID</stp>
        <stp>.DIA201120C293</stp>
        <tr r="H69" s="1"/>
      </tp>
      <tp>
        <v>3.55</v>
        <stp/>
        <stp>BID</stp>
        <stp>.DIA201120P291</stp>
        <tr r="H64" s="1"/>
      </tp>
      <tp>
        <v>3.8</v>
        <stp/>
        <stp>BID</stp>
        <stp>.DIA201120C291</stp>
        <tr r="H63" s="1"/>
      </tp>
      <tp>
        <v>6.25</v>
        <stp/>
        <stp>BID</stp>
        <stp>.DIA201120P296</stp>
        <tr r="H76" s="1"/>
      </tp>
      <tp>
        <v>1.64</v>
        <stp/>
        <stp>BID</stp>
        <stp>.DIA201120C296</stp>
        <tr r="H75" s="1"/>
      </tp>
      <tp>
        <v>6.95</v>
        <stp/>
        <stp>BID</stp>
        <stp>.DIA201120P297</stp>
        <tr r="H78" s="1"/>
      </tp>
      <tp>
        <v>1.34</v>
        <stp/>
        <stp>BID</stp>
        <stp>.DIA201120C297</stp>
        <tr r="H77" s="1"/>
      </tp>
      <tp>
        <v>5.05</v>
        <stp/>
        <stp>BID</stp>
        <stp>.DIA201120P294</stp>
        <tr r="H72" s="1"/>
      </tp>
      <tp>
        <v>2.4</v>
        <stp/>
        <stp>BID</stp>
        <stp>.DIA201120C294</stp>
        <tr r="H71" s="1"/>
      </tp>
      <tp>
        <v>5.55</v>
        <stp/>
        <stp>BID</stp>
        <stp>.DIA201120P295</stp>
        <tr r="H74" s="1"/>
      </tp>
      <tp>
        <v>1.9</v>
        <stp/>
        <stp>BID</stp>
        <stp>.DIA201120C295</stp>
        <tr r="H73" s="1"/>
      </tp>
      <tp t="s">
        <v>N/A</v>
        <stp/>
        <stp>BID</stp>
        <stp>.FVD201120C35</stp>
        <tr r="H186" s="1"/>
      </tp>
      <tp t="s">
        <v>N/A</v>
        <stp/>
        <stp>LOW</stp>
        <stp>.FVD201120P35</stp>
        <tr r="K187" s="1"/>
      </tp>
      <tp t="s">
        <v>N/A</v>
        <stp/>
        <stp>RHO</stp>
        <stp>.VNQ201120P85</stp>
        <tr r="Q728" s="1"/>
      </tp>
      <tp t="s">
        <v>N/A</v>
        <stp/>
        <stp>RHO</stp>
        <stp>.VNQ201120P84</stp>
        <tr r="Q726" s="1"/>
      </tp>
      <tp t="s">
        <v>N/A</v>
        <stp/>
        <stp>DESCRIPTION</stp>
        <stp>.XLE201120P34</stp>
        <tr r="B807" s="1"/>
      </tp>
      <tp t="s">
        <v>N/A</v>
        <stp/>
        <stp>DESCRIPTION</stp>
        <stp>.XLB201120P69</stp>
        <tr r="B791" s="1"/>
      </tp>
      <tp t="s">
        <v>N/A</v>
        <stp/>
        <stp>DESCRIPTION</stp>
        <stp>.XLF201120P27</stp>
        <tr r="B812" s="1"/>
      </tp>
      <tp t="s">
        <v>N/A</v>
        <stp/>
        <stp>DESCRIPTION</stp>
        <stp>.ILF201120P25</stp>
        <tr r="B279" s="1"/>
      </tp>
      <tp t="s">
        <v>N/A</v>
        <stp/>
        <stp>RHO</stp>
        <stp>.IBB201120P140</stp>
        <tr r="Q238" s="1"/>
      </tp>
      <tp t="s">
        <v>N/A</v>
        <stp/>
        <stp>RHO</stp>
        <stp>.IBB201120C140</stp>
        <tr r="Q237" s="1"/>
      </tp>
      <tp t="s">
        <v>N/A</v>
        <stp/>
        <stp>RHO</stp>
        <stp>.IBB201120P141</stp>
        <tr r="Q242" s="1"/>
      </tp>
      <tp t="s">
        <v>N/A</v>
        <stp/>
        <stp>RHO</stp>
        <stp>.IBB201120C141</stp>
        <tr r="Q241" s="1"/>
      </tp>
      <tp t="s">
        <v>N/A</v>
        <stp/>
        <stp>ASK</stp>
        <stp>.IYR201120C84</stp>
        <tr r="I367" s="1"/>
      </tp>
      <tp t="s">
        <v>N/A</v>
        <stp/>
        <stp>ASK</stp>
        <stp>.IYR201120C85</stp>
        <tr r="I371" s="1"/>
      </tp>
      <tp>
        <v>1.75</v>
        <stp/>
        <stp>ASK</stp>
        <stp>.IJR201120P80</stp>
        <tr r="I276" s="1"/>
      </tp>
      <tp t="s">
        <v>N/A</v>
        <stp/>
        <stp>DESCRIPTION</stp>
        <stp>.XLC201120P63</stp>
        <tr r="B798" s="1"/>
      </tp>
      <tp t="s">
        <v>N/A</v>
        <stp/>
        <stp>DESCRIPTION</stp>
        <stp>.XLB201120P70</stp>
        <tr r="B795" s="1"/>
      </tp>
      <tp t="s">
        <v>N/A</v>
        <stp/>
        <stp>DESCRIPTION</stp>
        <stp>.XLC201120P64</stp>
        <tr r="B802" s="1"/>
      </tp>
      <tp t="s">
        <v>N/A</v>
        <stp/>
        <stp>RHO</stp>
        <stp>.IBB201120P138</stp>
        <tr r="Q230" s="1"/>
      </tp>
      <tp t="s">
        <v>N/A</v>
        <stp/>
        <stp>RHO</stp>
        <stp>.IBB201120C138</stp>
        <tr r="Q229" s="1"/>
      </tp>
      <tp t="s">
        <v>N/A</v>
        <stp/>
        <stp>RHO</stp>
        <stp>.IBB201120P139</stp>
        <tr r="Q234" s="1"/>
      </tp>
      <tp t="s">
        <v>N/A</v>
        <stp/>
        <stp>RHO</stp>
        <stp>.IBB201120C139</stp>
        <tr r="Q233" s="1"/>
      </tp>
      <tp t="s">
        <v>N/A</v>
        <stp/>
        <stp>RHO</stp>
        <stp>.MUB201120C116</stp>
        <tr r="Q436" s="1"/>
      </tp>
      <tp t="s">
        <v>N/A</v>
        <stp/>
        <stp>RHO</stp>
        <stp>.MUB201120P116</stp>
        <tr r="Q437" s="1"/>
      </tp>
      <tp t="s">
        <v>N/A</v>
        <stp/>
        <stp>RHO</stp>
        <stp>.EMB201120P114</stp>
        <tr r="Q113" s="1"/>
      </tp>
      <tp t="s">
        <v>N/A</v>
        <stp/>
        <stp>RHO</stp>
        <stp>.EMB201120C114</stp>
        <tr r="Q112" s="1"/>
      </tp>
      <tp>
        <v>1.05</v>
        <stp/>
        <stp>BID</stp>
        <stp>.FEZ201120P40</stp>
        <tr r="H184" s="1"/>
      </tp>
      <tp t="s">
        <v>N/A</v>
        <stp/>
        <stp>LOW</stp>
        <stp>.FEZ201120C40</stp>
        <tr r="K183" s="1"/>
      </tp>
      <tp t="s">
        <v>N/A</v>
        <stp/>
        <stp>DESCRIPTION</stp>
        <stp>.XLI201120P86</stp>
        <tr r="B823" s="1"/>
      </tp>
      <tp t="s">
        <v>N/A</v>
        <stp/>
        <stp>DESCRIPTION</stp>
        <stp>.XLI201120P84</stp>
        <tr r="B815" s="1"/>
      </tp>
      <tp t="s">
        <v>N/A</v>
        <stp/>
        <stp>DESCRIPTION</stp>
        <stp>.XLI201120P85</stp>
        <tr r="B819" s="1"/>
      </tp>
      <tp t="s">
        <v>N/A</v>
        <stp/>
        <stp>BID</stp>
        <stp>.VEU201120P55</stp>
        <tr r="H712" s="1"/>
      </tp>
      <tp t="s">
        <v>N/A</v>
        <stp/>
        <stp>BID</stp>
        <stp>.DVY201120C93</stp>
        <tr r="H89" s="1"/>
      </tp>
      <tp t="s">
        <v>N/A</v>
        <stp/>
        <stp>BID</stp>
        <stp>.DVY201120C92</stp>
        <tr r="H87" s="1"/>
      </tp>
      <tp t="s">
        <v>N/A</v>
        <stp/>
        <stp>BID</stp>
        <stp>.DVY201120C91</stp>
        <tr r="H85" s="1"/>
      </tp>
      <tp t="s">
        <v>N/A</v>
        <stp/>
        <stp>LOW</stp>
        <stp>.DVY201120P91</stp>
        <tr r="K86" s="1"/>
      </tp>
      <tp>
        <v>0</v>
        <stp/>
        <stp>LOW</stp>
        <stp>.DVY201120P93</stp>
        <tr r="K90" s="1"/>
      </tp>
      <tp t="s">
        <v>N/A</v>
        <stp/>
        <stp>LOW</stp>
        <stp>.DVY201120P92</stp>
        <tr r="K88" s="1"/>
      </tp>
      <tp>
        <v>0</v>
        <stp/>
        <stp>LOW</stp>
        <stp>.VEU201120C55</stp>
        <tr r="K711" s="1"/>
      </tp>
      <tp>
        <v>0.74399999999999999</v>
        <stp/>
        <stp>PUT_CALL_RATIO</stp>
        <stp>KWEB</stp>
        <tr r="C397" s="1"/>
      </tp>
      <tp t="s">
        <v>N/A</v>
        <stp/>
        <stp>DESCRIPTION</stp>
        <stp>.QLD201120P98</stp>
        <tr r="B468" s="1"/>
      </tp>
      <tp t="s">
        <v>N/A</v>
        <stp/>
        <stp>DESCRIPTION</stp>
        <stp>.QLD201120P99</stp>
        <tr r="B470" s="1"/>
      </tp>
      <tp t="s">
        <v>N/A</v>
        <stp/>
        <stp>DESCRIPTION</stp>
        <stp>.QLD201120P96</stp>
        <tr r="B464" s="1"/>
      </tp>
      <tp t="s">
        <v>N/A</v>
        <stp/>
        <stp>DESCRIPTION</stp>
        <stp>.QLD201120P97</stp>
        <tr r="B466" s="1"/>
      </tp>
      <tp t="s">
        <v>N/A</v>
        <stp/>
        <stp>RHO</stp>
        <stp>.DIA201120P293</stp>
        <tr r="Q70" s="1"/>
      </tp>
      <tp t="s">
        <v>N/A</v>
        <stp/>
        <stp>RHO</stp>
        <stp>.DIA201120C293</stp>
        <tr r="Q69" s="1"/>
      </tp>
      <tp t="s">
        <v>N/A</v>
        <stp/>
        <stp>RHO</stp>
        <stp>.DIA201120P292</stp>
        <tr r="Q66" s="1"/>
      </tp>
      <tp t="s">
        <v>N/A</v>
        <stp/>
        <stp>RHO</stp>
        <stp>.DIA201120C292</stp>
        <tr r="Q65" s="1"/>
      </tp>
      <tp t="s">
        <v>N/A</v>
        <stp/>
        <stp>RHO</stp>
        <stp>.DIA201120P291</stp>
        <tr r="Q64" s="1"/>
      </tp>
      <tp t="s">
        <v>N/A</v>
        <stp/>
        <stp>RHO</stp>
        <stp>.DIA201120C291</stp>
        <tr r="Q63" s="1"/>
      </tp>
      <tp t="s">
        <v>N/A</v>
        <stp/>
        <stp>RHO</stp>
        <stp>.DIA201120P297</stp>
        <tr r="Q78" s="1"/>
      </tp>
      <tp t="s">
        <v>N/A</v>
        <stp/>
        <stp>RHO</stp>
        <stp>.DIA201120C297</stp>
        <tr r="Q77" s="1"/>
      </tp>
      <tp t="s">
        <v>N/A</v>
        <stp/>
        <stp>RHO</stp>
        <stp>.DIA201120P296</stp>
        <tr r="Q76" s="1"/>
      </tp>
      <tp t="s">
        <v>N/A</v>
        <stp/>
        <stp>RHO</stp>
        <stp>.DIA201120C296</stp>
        <tr r="Q75" s="1"/>
      </tp>
      <tp t="s">
        <v>N/A</v>
        <stp/>
        <stp>RHO</stp>
        <stp>.DIA201120P295</stp>
        <tr r="Q74" s="1"/>
      </tp>
      <tp t="s">
        <v>N/A</v>
        <stp/>
        <stp>RHO</stp>
        <stp>.DIA201120C295</stp>
        <tr r="Q73" s="1"/>
      </tp>
      <tp t="s">
        <v>N/A</v>
        <stp/>
        <stp>RHO</stp>
        <stp>.DIA201120P294</stp>
        <tr r="Q72" s="1"/>
      </tp>
      <tp t="s">
        <v>N/A</v>
        <stp/>
        <stp>RHO</stp>
        <stp>.DIA201120C294</stp>
        <tr r="Q71" s="1"/>
      </tp>
      <tp t="s">
        <v>21.42%</v>
        <stp/>
        <stp>IMPL_VOL</stp>
        <stp>EWL</stp>
        <tr r="D142" s="1"/>
      </tp>
      <tp t="s">
        <v>21.38%</v>
        <stp/>
        <stp>IMPL_VOL</stp>
        <stp>EWJ</stp>
        <tr r="D135" s="1"/>
      </tp>
      <tp t="s">
        <v>23.23%</v>
        <stp/>
        <stp>IMPL_VOL</stp>
        <stp>EWH</stp>
        <tr r="D129" s="1"/>
      </tp>
      <tp t="s">
        <v>31.70%</v>
        <stp/>
        <stp>IMPL_VOL</stp>
        <stp>EWI</stp>
        <tr r="D132" s="1"/>
      </tp>
      <tp t="s">
        <v>28.48%</v>
        <stp/>
        <stp>IMPL_VOL</stp>
        <stp>EWG</stp>
        <tr r="D126" s="1"/>
      </tp>
      <tp t="s">
        <v>28.45%</v>
        <stp/>
        <stp>IMPL_VOL</stp>
        <stp>EWC</stp>
        <tr r="D123" s="1"/>
      </tp>
      <tp t="s">
        <v>24.25%</v>
        <stp/>
        <stp>IMPL_VOL</stp>
        <stp>EWA</stp>
        <tr r="D120" s="1"/>
      </tp>
      <tp t="s">
        <v>45.84%</v>
        <stp/>
        <stp>IMPL_VOL</stp>
        <stp>EWZ</stp>
        <tr r="D172" s="1"/>
      </tp>
      <tp t="s">
        <v>26.57%</v>
        <stp/>
        <stp>IMPL_VOL</stp>
        <stp>EWY</stp>
        <tr r="D161" s="1"/>
      </tp>
      <tp t="s">
        <v>33.67%</v>
        <stp/>
        <stp>IMPL_VOL</stp>
        <stp>EWW</stp>
        <tr r="D154" s="1"/>
      </tp>
      <tp t="s">
        <v>N/A</v>
        <stp/>
        <stp>PROB_OF_TOUCHING</stp>
        <stp>EZU</stp>
        <tr r="V177" s="1"/>
      </tp>
      <tp t="s">
        <v>21.99%</v>
        <stp/>
        <stp>IMPL_VOL</stp>
        <stp>EWT</stp>
        <tr r="D148" s="1"/>
      </tp>
      <tp t="s">
        <v>25.68%</v>
        <stp/>
        <stp>IMPL_VOL</stp>
        <stp>EWU</stp>
        <tr r="D151" s="1"/>
      </tp>
      <tp t="s">
        <v>30.12%</v>
        <stp/>
        <stp>IMPL_VOL</stp>
        <stp>EWP</stp>
        <tr r="D145" s="1"/>
      </tp>
      <tp>
        <v>0</v>
        <stp/>
        <stp>OPEN_INT</stp>
        <stp>GDX</stp>
        <tr r="G195" s="1"/>
      </tp>
      <tp t="s">
        <v>N/A</v>
        <stp/>
        <stp>PROB_OF_EXPIRING</stp>
        <stp>RWM</stp>
        <tr r="T517" s="1"/>
      </tp>
      <tp t="s">
        <v>N/A</v>
        <stp/>
        <stp>VOLUME</stp>
        <stp>.EWY201120C72.5</stp>
        <tr r="F166" s="1"/>
      </tp>
      <tp t="s">
        <v>N/A</v>
        <stp/>
        <stp>VOLUME</stp>
        <stp>.EWY201120P72.5</stp>
        <tr r="F167" s="1"/>
      </tp>
      <tp t="s">
        <v>N/A</v>
        <stp/>
        <stp>PROB_OF_TOUCHING</stp>
        <stp>.AMLP201120P23.5</stp>
        <tr r="V22" s="1"/>
      </tp>
      <tp t="s">
        <v>N/A</v>
        <stp/>
        <stp>PROB_OF_TOUCHING</stp>
        <stp>.AMLP201120C23.5</stp>
        <tr r="V21" s="1"/>
      </tp>
      <tp t="s">
        <v>N/A</v>
        <stp/>
        <stp>PROB_OF_TOUCHING</stp>
        <stp>EWL</stp>
        <tr r="V142" s="1"/>
      </tp>
      <tp t="s">
        <v>N/A</v>
        <stp/>
        <stp>PROB_OF_TOUCHING</stp>
        <stp>EWJ</stp>
        <tr r="V135" s="1"/>
      </tp>
      <tp t="s">
        <v>N/A</v>
        <stp/>
        <stp>PROB_OF_TOUCHING</stp>
        <stp>EWI</stp>
        <tr r="V132" s="1"/>
      </tp>
      <tp t="s">
        <v>N/A</v>
        <stp/>
        <stp>PROB_OF_TOUCHING</stp>
        <stp>EWH</stp>
        <tr r="V129" s="1"/>
      </tp>
      <tp t="s">
        <v>N/A</v>
        <stp/>
        <stp>PROB_OF_TOUCHING</stp>
        <stp>EWG</stp>
        <tr r="V126" s="1"/>
      </tp>
      <tp t="s">
        <v>N/A</v>
        <stp/>
        <stp>PROB_OF_TOUCHING</stp>
        <stp>EWC</stp>
        <tr r="V123" s="1"/>
      </tp>
      <tp t="s">
        <v>N/A</v>
        <stp/>
        <stp>PROB_OF_TOUCHING</stp>
        <stp>EWA</stp>
        <tr r="V120" s="1"/>
      </tp>
      <tp t="s">
        <v>N/A</v>
        <stp/>
        <stp>PROB_OF_TOUCHING</stp>
        <stp>EWZ</stp>
        <tr r="V172" s="1"/>
      </tp>
      <tp t="s">
        <v>N/A</v>
        <stp/>
        <stp>PROB_OF_TOUCHING</stp>
        <stp>EWY</stp>
        <tr r="V161" s="1"/>
      </tp>
      <tp t="s">
        <v>N/A</v>
        <stp/>
        <stp>PROB_OF_TOUCHING</stp>
        <stp>EWW</stp>
        <tr r="V154" s="1"/>
      </tp>
      <tp t="s">
        <v>N/A</v>
        <stp/>
        <stp>PROB_OF_TOUCHING</stp>
        <stp>EWU</stp>
        <tr r="V151" s="1"/>
      </tp>
      <tp t="s">
        <v>N/A</v>
        <stp/>
        <stp>PROB_OF_TOUCHING</stp>
        <stp>EWT</stp>
        <tr r="V148" s="1"/>
      </tp>
      <tp t="s">
        <v>27.60%</v>
        <stp/>
        <stp>IMPL_VOL</stp>
        <stp>EZU</stp>
        <tr r="D177" s="1"/>
      </tp>
      <tp t="s">
        <v>N/A</v>
        <stp/>
        <stp>PROB_OF_TOUCHING</stp>
        <stp>EWP</stp>
        <tr r="V145" s="1"/>
      </tp>
      <tp t="s">
        <v>N/A</v>
        <stp/>
        <stp>PROB_OF_EXPIRING</stp>
        <stp>RSP</stp>
        <tr r="T505" s="1"/>
      </tp>
      <tp t="s">
        <v>N/A</v>
        <stp/>
        <stp>PROB_OF_EXPIRING</stp>
        <stp>RSX</stp>
        <tr r="T512" s="1"/>
      </tp>
      <tp t="s">
        <v>N/A</v>
        <stp/>
        <stp>IMPL_VOL</stp>
        <stp>.INDA201120P36.5</stp>
        <tr r="D284" s="1"/>
      </tp>
      <tp t="s">
        <v>N/A</v>
        <stp/>
        <stp>IMPL_VOL</stp>
        <stp>.INDA201120C36.5</stp>
        <tr r="D283" s="1"/>
      </tp>
      <tp t="s">
        <v>22.60%</v>
        <stp/>
        <stp>IMPL_VOL</stp>
        <stp>EFA</stp>
        <tr r="D101" s="1"/>
      </tp>
      <tp t="s">
        <v>21.34%</v>
        <stp/>
        <stp>IMPL_VOL</stp>
        <stp>EFV</stp>
        <tr r="D108" s="1"/>
      </tp>
      <tp t="s">
        <v>23.62%</v>
        <stp/>
        <stp>IMPL_VOL</stp>
        <stp>EEM</stp>
        <tr r="D94" s="1"/>
      </tp>
      <tp t="s">
        <v>N/A</v>
        <stp/>
        <stp>PROB_OF_TOUCHING</stp>
        <stp>EMB</stp>
        <tr r="V111" s="1"/>
      </tp>
      <tp t="s">
        <v>N/A</v>
        <stp/>
        <stp>VOLUME</stp>
        <stp>.TAN201120P72.5</stp>
        <tr r="F661" s="1"/>
      </tp>
      <tp>
        <v>4</v>
        <stp/>
        <stp>VOLUME</stp>
        <stp>.TAN201120C72.5</stp>
        <tr r="F660" s="1"/>
      </tp>
      <tp t="s">
        <v>9.79%</v>
        <stp/>
        <stp>IMPL_VOL</stp>
        <stp>EMB</stp>
        <tr r="D111" s="1"/>
      </tp>
      <tp t="s">
        <v>N/A</v>
        <stp/>
        <stp>VOLUME</stp>
        <stp>.RSX201120C22.5</stp>
        <tr r="F515" s="1"/>
      </tp>
      <tp t="s">
        <v>N/A</v>
        <stp/>
        <stp>VOLUME</stp>
        <stp>.RSX201120P22.5</stp>
        <tr r="F516" s="1"/>
      </tp>
      <tp t="s">
        <v>N/A</v>
        <stp/>
        <stp>VOLUME</stp>
        <stp>.SSO201120C82.5</stp>
        <tr r="F649" s="1"/>
      </tp>
      <tp t="s">
        <v>N/A</v>
        <stp/>
        <stp>VOLUME</stp>
        <stp>.SSO201120P82.5</stp>
        <tr r="F650" s="1"/>
      </tp>
      <tp t="s">
        <v>N/A</v>
        <stp/>
        <stp>PROB_OF_TOUCHING</stp>
        <stp>EFA</stp>
        <tr r="V101" s="1"/>
      </tp>
      <tp t="s">
        <v>N/A</v>
        <stp/>
        <stp>PROB_OF_TOUCHING</stp>
        <stp>EFV</stp>
        <tr r="V108" s="1"/>
      </tp>
      <tp t="s">
        <v>N/A</v>
        <stp/>
        <stp>PROB_OF_TOUCHING</stp>
        <stp>EEM</stp>
        <tr r="V94" s="1"/>
      </tp>
      <tp t="s">
        <v>N/A</v>
        <stp/>
        <stp>LAST</stp>
        <stp>.TAN201120P72.5</stp>
        <tr r="E661" s="1"/>
      </tp>
      <tp>
        <v>2.82</v>
        <stp/>
        <stp>LAST</stp>
        <stp>.TAN201120C72.5</stp>
        <tr r="E660" s="1"/>
      </tp>
      <tp t="s">
        <v>N/A</v>
        <stp/>
        <stp>PROB_OF_TOUCHING</stp>
        <stp>.IBB201120P138.5</stp>
        <tr r="V232" s="1"/>
      </tp>
      <tp t="s">
        <v>N/A</v>
        <stp/>
        <stp>PROB_OF_EXPIRING</stp>
        <stp>.AGG201120P117</stp>
        <tr r="T17" s="1"/>
      </tp>
      <tp t="s">
        <v>N/A</v>
        <stp/>
        <stp>PROB_OF_EXPIRING</stp>
        <stp>.AGG201120C117</stp>
        <tr r="T16" s="1"/>
      </tp>
      <tp>
        <v>841</v>
        <stp/>
        <stp>OPEN_INT</stp>
        <stp>.XLK201120C120.5</stp>
        <tr r="G829" s="1"/>
      </tp>
      <tp>
        <v>79</v>
        <stp/>
        <stp>OPEN_INT</stp>
        <stp>.XLV201120C110.5</stp>
        <tr r="G859" s="1"/>
      </tp>
      <tp t="s">
        <v>N/A</v>
        <stp/>
        <stp>LAST</stp>
        <stp>.RSX201120C22.5</stp>
        <tr r="E515" s="1"/>
      </tp>
      <tp t="s">
        <v>N/A</v>
        <stp/>
        <stp>LAST</stp>
        <stp>.RSX201120P22.5</stp>
        <tr r="E516" s="1"/>
      </tp>
      <tp t="s">
        <v>N/A</v>
        <stp/>
        <stp>VEGA</stp>
        <stp>.GDX201120C36.5</stp>
        <tr r="P196" s="1"/>
      </tp>
      <tp t="s">
        <v>N/A</v>
        <stp/>
        <stp>LAST</stp>
        <stp>.SSO201120C82.5</stp>
        <tr r="E649" s="1"/>
      </tp>
      <tp t="s">
        <v>N/A</v>
        <stp/>
        <stp>LAST</stp>
        <stp>.SSO201120P82.5</stp>
        <tr r="E650" s="1"/>
      </tp>
      <tp t="s">
        <v>N/A</v>
        <stp/>
        <stp>VEGA</stp>
        <stp>.GDX201120P36.5</stp>
        <tr r="P197" s="1"/>
      </tp>
      <tp t="s">
        <v>N/A</v>
        <stp/>
        <stp>VEGA</stp>
        <stp>.KRE201120P46.5</stp>
        <tr r="P392" s="1"/>
      </tp>
      <tp t="s">
        <v>N/A</v>
        <stp/>
        <stp>VEGA</stp>
        <stp>.KRE201120C46.5</stp>
        <tr r="P391" s="1"/>
      </tp>
      <tp t="s">
        <v>N/A</v>
        <stp/>
        <stp>PROB_OTM</stp>
        <stp>.IBB201120P141.5</stp>
        <tr r="U244" s="1"/>
      </tp>
      <tp t="s">
        <v>N/A</v>
        <stp/>
        <stp>PROB_OTM</stp>
        <stp>.LQD201120C134.5</stp>
        <tr r="U405" s="1"/>
      </tp>
      <tp t="s">
        <v>N/A</v>
        <stp/>
        <stp>IMPL_VOL</stp>
        <stp>.JNK201120P106.5</stp>
        <tr r="D382" s="1"/>
      </tp>
      <tp t="s">
        <v>N/A</v>
        <stp/>
        <stp>IMPL_VOL</stp>
        <stp>.XBI201120P124</stp>
        <tr r="D773" s="1"/>
      </tp>
      <tp t="s">
        <v>N/A</v>
        <stp/>
        <stp>IMPL_VOL</stp>
        <stp>.XBI201120C124</stp>
        <tr r="D772" s="1"/>
      </tp>
      <tp t="s">
        <v>N/A</v>
        <stp/>
        <stp>IMPL_VOL</stp>
        <stp>.XBI201120P125</stp>
        <tr r="D777" s="1"/>
      </tp>
      <tp t="s">
        <v>N/A</v>
        <stp/>
        <stp>IMPL_VOL</stp>
        <stp>.XBI201120C125</stp>
        <tr r="D776" s="1"/>
      </tp>
      <tp t="s">
        <v>N/A</v>
        <stp/>
        <stp>IMPL_VOL</stp>
        <stp>.XBI201120P122</stp>
        <tr r="D765" s="1"/>
      </tp>
      <tp t="s">
        <v>N/A</v>
        <stp/>
        <stp>IMPL_VOL</stp>
        <stp>.XBI201120C122</stp>
        <tr r="D764" s="1"/>
      </tp>
      <tp t="s">
        <v>N/A</v>
        <stp/>
        <stp>IMPL_VOL</stp>
        <stp>.XBI201120P123</stp>
        <tr r="D769" s="1"/>
      </tp>
      <tp t="s">
        <v>N/A</v>
        <stp/>
        <stp>IMPL_VOL</stp>
        <stp>.XBI201120C123</stp>
        <tr r="D768" s="1"/>
      </tp>
      <tp t="s">
        <v>N/A</v>
        <stp/>
        <stp>LAST</stp>
        <stp>.EWY201120C72.5</stp>
        <tr r="E166" s="1"/>
      </tp>
      <tp t="s">
        <v>N/A</v>
        <stp/>
        <stp>LAST</stp>
        <stp>.EWY201120P72.5</stp>
        <tr r="E167" s="1"/>
      </tp>
      <tp t="s">
        <v>N/A</v>
        <stp/>
        <stp>PROB_OF_TOUCHING</stp>
        <stp>.IBB201120C138.5</stp>
        <tr r="V231" s="1"/>
      </tp>
      <tp t="s">
        <v>N/A</v>
        <stp/>
        <stp>VEGA</stp>
        <stp>.SHY201120C86.5</stp>
        <tr r="P546" s="1"/>
      </tp>
      <tp t="s">
        <v>N/A</v>
        <stp/>
        <stp>VEGA</stp>
        <stp>.SHY201120P86.5</stp>
        <tr r="P547" s="1"/>
      </tp>
      <tp t="s">
        <v>N/A</v>
        <stp/>
        <stp>VEGA</stp>
        <stp>.TAN201120C76.5</stp>
        <tr r="P676" s="1"/>
      </tp>
      <tp t="s">
        <v>N/A</v>
        <stp/>
        <stp>VEGA</stp>
        <stp>.TAN201120P76.5</stp>
        <tr r="P677" s="1"/>
      </tp>
      <tp t="s">
        <v>N/A</v>
        <stp/>
        <stp>PROB_OTM</stp>
        <stp>.RSP201120C118</stp>
        <tr r="U506" s="1"/>
      </tp>
      <tp t="s">
        <v>N/A</v>
        <stp/>
        <stp>PROB_OTM</stp>
        <stp>.RSP201120P118</stp>
        <tr r="U507" s="1"/>
      </tp>
      <tp t="s">
        <v>N/A</v>
        <stp/>
        <stp>PROB_OTM</stp>
        <stp>.RSP201120C119</stp>
        <tr r="U508" s="1"/>
      </tp>
      <tp t="s">
        <v>N/A</v>
        <stp/>
        <stp>PROB_OTM</stp>
        <stp>.RSP201120P119</stp>
        <tr r="U509" s="1"/>
      </tp>
      <tp t="s">
        <v>N/A</v>
        <stp/>
        <stp>VEGA</stp>
        <stp>.VWO201120P46.5</stp>
        <tr r="P750" s="1"/>
      </tp>
      <tp t="s">
        <v>N/A</v>
        <stp/>
        <stp>PROB_OTM</stp>
        <stp>.RSP201120C120</stp>
        <tr r="U510" s="1"/>
      </tp>
      <tp t="s">
        <v>N/A</v>
        <stp/>
        <stp>PROB_OTM</stp>
        <stp>.RSP201120P120</stp>
        <tr r="U511" s="1"/>
      </tp>
      <tp t="s">
        <v>N/A</v>
        <stp/>
        <stp>VEGA</stp>
        <stp>.VWO201120C46.5</stp>
        <tr r="P749" s="1"/>
      </tp>
      <tp t="s">
        <v>N/A</v>
        <stp/>
        <stp>PROB_OTM</stp>
        <stp>.TIP201120P125</stp>
        <tr r="U688" s="1"/>
      </tp>
      <tp t="s">
        <v>N/A</v>
        <stp/>
        <stp>PROB_OTM</stp>
        <stp>.TIP201120C125</stp>
        <tr r="U687" s="1"/>
      </tp>
      <tp>
        <v>271</v>
        <stp/>
        <stp>OPEN_INT</stp>
        <stp>.XLK201120P120.5</stp>
        <tr r="G830" s="1"/>
      </tp>
      <tp>
        <v>0</v>
        <stp/>
        <stp>HIGH</stp>
        <stp>.VT201120C87</stp>
        <tr r="J737" s="1"/>
      </tp>
      <tp t="s">
        <v>N/A</v>
        <stp/>
        <stp>HIGH</stp>
        <stp>.VT201120C86</stp>
        <tr r="J735" s="1"/>
      </tp>
      <tp>
        <v>1030</v>
        <stp/>
        <stp>OPEN_INT</stp>
        <stp>.XLV201120P110.5</stp>
        <tr r="G860" s="1"/>
      </tp>
      <tp t="s">
        <v>N/A</v>
        <stp/>
        <stp>VEGA</stp>
        <stp>.XLU201120C66.5</stp>
        <tr r="P852" s="1"/>
      </tp>
      <tp t="s">
        <v>N/A</v>
        <stp/>
        <stp>VEGA</stp>
        <stp>.XLP201120C66.5</stp>
        <tr r="P842" s="1"/>
      </tp>
      <tp t="s">
        <v>N/A</v>
        <stp/>
        <stp>VEGA</stp>
        <stp>.XME201120C26.5</stp>
        <tr r="P885" s="1"/>
      </tp>
      <tp t="s">
        <v>N/A</v>
        <stp/>
        <stp>VEGA</stp>
        <stp>.XME201120P26.5</stp>
        <tr r="P886" s="1"/>
      </tp>
      <tp t="s">
        <v>N/A</v>
        <stp/>
        <stp>VEGA</stp>
        <stp>.XLU201120P66.5</stp>
        <tr r="P853" s="1"/>
      </tp>
      <tp t="s">
        <v>N/A</v>
        <stp/>
        <stp>VEGA</stp>
        <stp>.XLP201120P66.5</stp>
        <tr r="P843" s="1"/>
      </tp>
      <tp t="s">
        <v>N/A</v>
        <stp/>
        <stp>IMPL_VOL</stp>
        <stp>.VTI201120C181</stp>
        <tr r="D740" s="1"/>
      </tp>
      <tp t="s">
        <v>N/A</v>
        <stp/>
        <stp>IMPL_VOL</stp>
        <stp>.VTI201120P181</stp>
        <tr r="D741" s="1"/>
      </tp>
      <tp t="s">
        <v>N/A</v>
        <stp/>
        <stp>IMPL_VOL</stp>
        <stp>.VTI201120C182</stp>
        <tr r="D742" s="1"/>
      </tp>
      <tp t="s">
        <v>N/A</v>
        <stp/>
        <stp>IMPL_VOL</stp>
        <stp>.VTI201120P182</stp>
        <tr r="D743" s="1"/>
      </tp>
      <tp t="s">
        <v>N/A</v>
        <stp/>
        <stp>IMPL_VOL</stp>
        <stp>.VTI201120C183</stp>
        <tr r="D744" s="1"/>
      </tp>
      <tp t="s">
        <v>N/A</v>
        <stp/>
        <stp>IMPL_VOL</stp>
        <stp>.VTI201120P183</stp>
        <tr r="D745" s="1"/>
      </tp>
      <tp t="s">
        <v>N/A</v>
        <stp/>
        <stp>IMPL_VOL</stp>
        <stp>.VTI201120C184</stp>
        <tr r="D746" s="1"/>
      </tp>
      <tp t="s">
        <v>N/A</v>
        <stp/>
        <stp>IMPL_VOL</stp>
        <stp>.VTI201120P184</stp>
        <tr r="D747" s="1"/>
      </tp>
      <tp t="s">
        <v>N/A</v>
        <stp/>
        <stp>IMPL_VOL</stp>
        <stp>.JNK201120C106.5</stp>
        <tr r="D381" s="1"/>
      </tp>
      <tp t="s">
        <v>N/A</v>
        <stp/>
        <stp>VEGA</stp>
        <stp>.VT201120C87</stp>
        <tr r="P737" s="1"/>
      </tp>
      <tp t="s">
        <v>N/A</v>
        <stp/>
        <stp>VEGA</stp>
        <stp>.VT201120C86</stp>
        <tr r="P735" s="1"/>
      </tp>
      <tp t="s">
        <v>N/A</v>
        <stp/>
        <stp>PROB_OTM</stp>
        <stp>.IBB201120C141.5</stp>
        <tr r="U243" s="1"/>
      </tp>
      <tp t="s">
        <v>N/A</v>
        <stp/>
        <stp>PROB_OTM</stp>
        <stp>.LQD201120P134.5</stp>
        <tr r="U406" s="1"/>
      </tp>
      <tp t="s">
        <v>N/A</v>
        <stp/>
        <stp>LOW</stp>
        <stp>.TAN201120P73.5</stp>
        <tr r="K665" s="1"/>
      </tp>
      <tp t="s">
        <v>N/A</v>
        <stp/>
        <stp>LOW</stp>
        <stp>.TAN201120C73.5</stp>
        <tr r="K664" s="1"/>
      </tp>
      <tp t="s">
        <v>N/A</v>
        <stp/>
        <stp>STRIKE</stp>
        <stp>.IEMG201120C58</stp>
        <tr r="W259" s="1"/>
      </tp>
      <tp t="s">
        <v>N/A</v>
        <stp/>
        <stp>STRIKE</stp>
        <stp>.IEMG201120C57</stp>
        <tr r="W257" s="1"/>
      </tp>
      <tp t="s">
        <v>N/A</v>
        <stp/>
        <stp>LOW</stp>
        <stp>.SSO201120C83.5</stp>
        <tr r="K653" s="1"/>
      </tp>
      <tp t="s">
        <v>N/A</v>
        <stp/>
        <stp>LOW</stp>
        <stp>.SDS201120P13.5</stp>
        <tr r="K539" s="1"/>
      </tp>
      <tp t="s">
        <v>N/A</v>
        <stp/>
        <stp>LOW</stp>
        <stp>.SSO201120P83.5</stp>
        <tr r="K654" s="1"/>
      </tp>
      <tp t="s">
        <v>N/A</v>
        <stp/>
        <stp>LOW</stp>
        <stp>.SDS201120C13.5</stp>
        <tr r="K538" s="1"/>
      </tp>
      <tp t="s">
        <v>N/A</v>
        <stp/>
        <stp>PUT_CALL_RATIO</stp>
        <stp>.IEFA201120C66</stp>
        <tr r="C254" s="1"/>
      </tp>
      <tp t="s">
        <v>N/A</v>
        <stp/>
        <stp>PUT_CALL_RATIO</stp>
        <stp>.IEFA201120C65</stp>
        <tr r="C252" s="1"/>
      </tp>
      <tp>
        <v>0.73</v>
        <stp/>
        <stp>LOW</stp>
        <stp>.XLE201120P33.5</stp>
        <tr r="K805" s="1"/>
      </tp>
      <tp>
        <v>0.8</v>
        <stp/>
        <stp>LOW</stp>
        <stp>.XLC201120P63.5</stp>
        <tr r="K800" s="1"/>
      </tp>
      <tp>
        <v>0.39</v>
        <stp/>
        <stp>LOW</stp>
        <stp>.XLE201120C33.5</stp>
        <tr r="K804" s="1"/>
      </tp>
      <tp t="s">
        <v>N/A</v>
        <stp/>
        <stp>LOW</stp>
        <stp>.XLC201120C63.5</stp>
        <tr r="K799" s="1"/>
      </tp>
      <tp t="s">
        <v>N/A</v>
        <stp/>
        <stp>PUT_CALL_RATIO</stp>
        <stp>.EUFN201120C16</stp>
        <tr r="C118" s="1"/>
      </tp>
      <tp>
        <v>263</v>
        <stp/>
        <stp>VOLUME</stp>
        <stp>.GUSH201120C27</stp>
        <tr r="F216" s="1"/>
      </tp>
      <tp>
        <v>692</v>
        <stp/>
        <stp>VOLUME</stp>
        <stp>.GUSH201120C26</stp>
        <tr r="F214" s="1"/>
      </tp>
      <tp>
        <v>233</v>
        <stp/>
        <stp>VOLUME</stp>
        <stp>.GUSH201120C28</stp>
        <tr r="F218" s="1"/>
      </tp>
      <tp t="s">
        <v>N/A</v>
        <stp/>
        <stp>EXTRINSIC</stp>
        <stp>.IWF201120P225</stp>
        <tr r="S342" s="1"/>
      </tp>
      <tp t="s">
        <v>N/A</v>
        <stp/>
        <stp>EXTRINSIC</stp>
        <stp>.IWF201120C225</stp>
        <tr r="S341" s="1"/>
      </tp>
      <tp t="s">
        <v>N/A</v>
        <stp/>
        <stp>EXTRINSIC</stp>
        <stp>.IVE201120P121</stp>
        <tr r="S304" s="1"/>
      </tp>
      <tp t="s">
        <v>N/A</v>
        <stp/>
        <stp>EXTRINSIC</stp>
        <stp>.IVE201120C121</stp>
        <tr r="S303" s="1"/>
      </tp>
      <tp t="s">
        <v>N/A</v>
        <stp/>
        <stp>EXTRINSIC</stp>
        <stp>.IVE201120P123</stp>
        <tr r="S308" s="1"/>
      </tp>
      <tp t="s">
        <v>N/A</v>
        <stp/>
        <stp>EXTRINSIC</stp>
        <stp>.IVE201120C123</stp>
        <tr r="S307" s="1"/>
      </tp>
      <tp t="s">
        <v>N/A</v>
        <stp/>
        <stp>EXTRINSIC</stp>
        <stp>.IVE201120P122</stp>
        <tr r="S306" s="1"/>
      </tp>
      <tp t="s">
        <v>N/A</v>
        <stp/>
        <stp>EXTRINSIC</stp>
        <stp>.IVE201120C122</stp>
        <tr r="S305" s="1"/>
      </tp>
      <tp>
        <v>0.28000000000000003</v>
        <stp/>
        <stp>LOW</stp>
        <stp>.EWJ201120C63.5</stp>
        <tr r="K138" s="1"/>
      </tp>
      <tp t="s">
        <v>N/A</v>
        <stp/>
        <stp>LOW</stp>
        <stp>.EWY201120C73.5</stp>
        <tr r="K170" s="1"/>
      </tp>
      <tp t="s">
        <v>N/A</v>
        <stp/>
        <stp>LOW</stp>
        <stp>.EWJ201120P63.5</stp>
        <tr r="K139" s="1"/>
      </tp>
      <tp t="s">
        <v>N/A</v>
        <stp/>
        <stp>LOW</stp>
        <stp>.EWY201120P73.5</stp>
        <tr r="K171" s="1"/>
      </tp>
      <tp t="s">
        <v>N/A</v>
        <stp/>
        <stp>PUT_CALL_RATIO</stp>
        <stp>.IXUS201120P63</stp>
        <tr r="C362" s="1"/>
      </tp>
      <tp t="s">
        <v>N/A</v>
        <stp/>
        <stp>STRIKE</stp>
        <stp>.USMV201120C67</stp>
        <tr r="W699" s="1"/>
      </tp>
      <tp t="s">
        <v>N/A</v>
        <stp/>
        <stp>PUT_CALL_RATIO</stp>
        <stp>.VXUS201120P56</stp>
        <tr r="C755" s="1"/>
      </tp>
      <tp t="s">
        <v>N/A</v>
        <stp/>
        <stp>PUT_CALL_RATIO</stp>
        <stp>.VXUS201120P57</stp>
        <tr r="C757" s="1"/>
      </tp>
      <tp t="s">
        <v>N/A</v>
        <stp/>
        <stp>DESCRIPTION</stp>
        <stp>.XOP201120P48</stp>
        <tr r="B895" s="1"/>
      </tp>
      <tp t="s">
        <v>N/A</v>
        <stp/>
        <stp>DESCRIPTION</stp>
        <stp>.XOP201120P49</stp>
        <tr r="B899" s="1"/>
      </tp>
      <tp t="s">
        <v>N/A</v>
        <stp/>
        <stp>DESCRIPTION</stp>
        <stp>.XOP201120P47</stp>
        <tr r="B891" s="1"/>
      </tp>
      <tp t="s">
        <v>N/A</v>
        <stp/>
        <stp>BID</stp>
        <stp>.VFH201120P67</stp>
        <tr r="H717" s="1"/>
      </tp>
      <tp t="s">
        <v>N/A</v>
        <stp/>
        <stp>BID</stp>
        <stp>.VFH201120P66</stp>
        <tr r="H715" s="1"/>
      </tp>
      <tp t="s">
        <v>N/A</v>
        <stp/>
        <stp>LOW</stp>
        <stp>.VFH201120C67</stp>
        <tr r="K716" s="1"/>
      </tp>
      <tp t="s">
        <v>N/A</v>
        <stp/>
        <stp>LOW</stp>
        <stp>.VFH201120C66</stp>
        <tr r="K714" s="1"/>
      </tp>
      <tp>
        <v>5.75</v>
        <stp/>
        <stp>PUT_CALL_RATIO</stp>
        <stp>MTUM</stp>
        <tr r="C426" s="1"/>
      </tp>
      <tp>
        <v>0.53</v>
        <stp/>
        <stp>LOW</stp>
        <stp>.EFA201120C69</stp>
        <tr r="K102" s="1"/>
      </tp>
      <tp>
        <v>1.07</v>
        <stp/>
        <stp>BID</stp>
        <stp>.EFA201120P69</stp>
        <tr r="H103" s="1"/>
      </tp>
      <tp t="s">
        <v>N/A</v>
        <stp/>
        <stp>RHO</stp>
        <stp>.XME201120P27</stp>
        <tr r="Q888" s="1"/>
      </tp>
      <tp t="s">
        <v>N/A</v>
        <stp/>
        <stp>BID</stp>
        <stp>.EFA201120P70</stp>
        <tr r="H107" s="1"/>
      </tp>
      <tp>
        <v>0.22</v>
        <stp/>
        <stp>LOW</stp>
        <stp>.EFA201120C70</stp>
        <tr r="K106" s="1"/>
      </tp>
      <tp>
        <v>0.54500000000000004</v>
        <stp/>
        <stp>PUT_CALL_RATIO</stp>
        <stp>ITOT</stp>
        <tr r="C297" s="1"/>
      </tp>
      <tp t="s">
        <v>N/A</v>
        <stp/>
        <stp>ASK</stp>
        <stp>.EZU201120C42</stp>
        <tr r="I178" s="1"/>
      </tp>
      <tp t="s">
        <v>N/A</v>
        <stp/>
        <stp>ASK</stp>
        <stp>.BZQ201120C12</stp>
        <tr r="I52" s="1"/>
      </tp>
      <tp t="s">
        <v>N/A</v>
        <stp/>
        <stp>BID</stp>
        <stp>.EFV201120P45</stp>
        <tr r="H110" s="1"/>
      </tp>
      <tp t="s">
        <v>N/A</v>
        <stp/>
        <stp>LOW</stp>
        <stp>.EFV201120C45</stp>
        <tr r="K109" s="1"/>
      </tp>
      <tp t="s">
        <v>29.29%</v>
        <stp/>
        <stp>IMPL_VOL</stp>
        <stp>FVD</stp>
        <tr r="D185" s="1"/>
      </tp>
      <tp t="s">
        <v>N/A</v>
        <stp/>
        <stp>PROB_OF_TOUCHING</stp>
        <stp>FXI</stp>
        <tr r="V188" s="1"/>
      </tp>
      <tp>
        <v>2989</v>
        <stp/>
        <stp>VOLUME</stp>
        <stp>.EWZ201120C31.5</stp>
        <tr r="F173" s="1"/>
      </tp>
      <tp t="s">
        <v>N/A</v>
        <stp/>
        <stp>VOLUME</stp>
        <stp>.EWY201120C71.5</stp>
        <tr r="F162" s="1"/>
      </tp>
      <tp>
        <v>155</v>
        <stp/>
        <stp>VOLUME</stp>
        <stp>.EWZ201120P31.5</stp>
        <tr r="F174" s="1"/>
      </tp>
      <tp>
        <v>5</v>
        <stp/>
        <stp>VOLUME</stp>
        <stp>.EWY201120P71.5</stp>
        <tr r="F163" s="1"/>
      </tp>
      <tp>
        <v>0</v>
        <stp/>
        <stp>OPEN_INT</stp>
        <stp>DIA</stp>
        <tr r="G62" s="1"/>
      </tp>
      <tp t="s">
        <v>N/A</v>
        <stp/>
        <stp>PROB_OF_TOUCHING</stp>
        <stp>FVD</stp>
        <tr r="V185" s="1"/>
      </tp>
      <tp t="s">
        <v>27.58%</v>
        <stp/>
        <stp>IMPL_VOL</stp>
        <stp>FXI</stp>
        <tr r="D188" s="1"/>
      </tp>
      <tp t="s">
        <v>N/A</v>
        <stp/>
        <stp>PROB_OF_EXPIRING</stp>
        <stp>.GDXJ201120C53.5</stp>
        <tr r="T209" s="1"/>
      </tp>
      <tp t="s">
        <v>N/A</v>
        <stp/>
        <stp>PROB_OF_EXPIRING</stp>
        <stp>.GDXJ201120P53.5</stp>
        <tr r="T210" s="1"/>
      </tp>
      <tp t="s">
        <v>N/A</v>
        <stp/>
        <stp>PROB_OF_EXPIRING</stp>
        <stp>QQQ</stp>
        <tr r="T475" s="1"/>
      </tp>
      <tp t="s">
        <v>N/A</v>
        <stp/>
        <stp>PROB_OF_EXPIRING</stp>
        <stp>QLD</stp>
        <tr r="T462" s="1"/>
      </tp>
      <tp t="s">
        <v>26.04%</v>
        <stp/>
        <stp>IMPL_VOL</stp>
        <stp>FEZ</stp>
        <tr r="D180" s="1"/>
      </tp>
      <tp>
        <v>0</v>
        <stp/>
        <stp>OPEN_INT</stp>
        <stp>DVY</stp>
        <tr r="G84" s="1"/>
      </tp>
      <tp>
        <v>0</v>
        <stp/>
        <stp>OPEN_INT</stp>
        <stp>DXD</stp>
        <tr r="G91" s="1"/>
      </tp>
      <tp t="s">
        <v>N/A</v>
        <stp/>
        <stp>VOLUME</stp>
        <stp>.SSO201120C81.5</stp>
        <tr r="F645" s="1"/>
      </tp>
      <tp t="s">
        <v>N/A</v>
        <stp/>
        <stp>VOLUME</stp>
        <stp>.SSO201120P81.5</stp>
        <tr r="F646" s="1"/>
      </tp>
      <tp t="s">
        <v>N/A</v>
        <stp/>
        <stp>PROB_OF_TOUCHING</stp>
        <stp>FEZ</stp>
        <tr r="V180" s="1"/>
      </tp>
      <tp t="s">
        <v>N/A</v>
        <stp/>
        <stp>LAST</stp>
        <stp>.TAN201120P73.5</stp>
        <tr r="E665" s="1"/>
      </tp>
      <tp t="s">
        <v>N/A</v>
        <stp/>
        <stp>LAST</stp>
        <stp>.TAN201120C73.5</stp>
        <tr r="E664" s="1"/>
      </tp>
      <tp t="s">
        <v>N/A</v>
        <stp/>
        <stp>PROB_OF_TOUCHING</stp>
        <stp>.IBB201120P139.5</stp>
        <tr r="V236" s="1"/>
      </tp>
      <tp>
        <v>333</v>
        <stp/>
        <stp>OPEN_INT</stp>
        <stp>.XLK201120C121.5</stp>
        <tr r="G833" s="1"/>
      </tp>
      <tp>
        <v>63</v>
        <stp/>
        <stp>OPEN_INT</stp>
        <stp>.XLY201120C151.5</stp>
        <tr r="G868" s="1"/>
      </tp>
      <tp>
        <v>97</v>
        <stp/>
        <stp>OPEN_INT</stp>
        <stp>.XLV201120C111.5</stp>
        <tr r="G863" s="1"/>
      </tp>
      <tp t="s">
        <v>N/A</v>
        <stp/>
        <stp>VEGA</stp>
        <stp>.EEM201120C47.5</stp>
        <tr r="P95" s="1"/>
      </tp>
      <tp t="s">
        <v>N/A</v>
        <stp/>
        <stp>VEGA</stp>
        <stp>.EEM201120P47.5</stp>
        <tr r="P96" s="1"/>
      </tp>
      <tp t="s">
        <v>N/A</v>
        <stp/>
        <stp>PROB_OF_TOUCHING</stp>
        <stp>.IEF201120P119.5</stp>
        <tr r="V250" s="1"/>
      </tp>
      <tp t="s">
        <v>N/A</v>
        <stp/>
        <stp>VEGA</stp>
        <stp>.FXI201120P47.5</stp>
        <tr r="P192" s="1"/>
      </tp>
      <tp t="s">
        <v>N/A</v>
        <stp/>
        <stp>VEGA</stp>
        <stp>.FXI201120C47.5</stp>
        <tr r="P191" s="1"/>
      </tp>
      <tp t="s">
        <v>N/A</v>
        <stp/>
        <stp>VEGA</stp>
        <stp>.GDX201120C37.5</stp>
        <tr r="P200" s="1"/>
      </tp>
      <tp t="s">
        <v>N/A</v>
        <stp/>
        <stp>LAST</stp>
        <stp>.SSO201120C83.5</stp>
        <tr r="E653" s="1"/>
      </tp>
      <tp t="s">
        <v>N/A</v>
        <stp/>
        <stp>LAST</stp>
        <stp>.SDS201120P13.5</stp>
        <tr r="E539" s="1"/>
      </tp>
      <tp t="s">
        <v>N/A</v>
        <stp/>
        <stp>LAST</stp>
        <stp>.SSO201120P83.5</stp>
        <tr r="E654" s="1"/>
      </tp>
      <tp t="s">
        <v>N/A</v>
        <stp/>
        <stp>VEGA</stp>
        <stp>.GDX201120P37.5</stp>
        <tr r="P201" s="1"/>
      </tp>
      <tp t="s">
        <v>N/A</v>
        <stp/>
        <stp>LAST</stp>
        <stp>.SDS201120C13.5</stp>
        <tr r="E538" s="1"/>
      </tp>
      <tp t="s">
        <v>N/A</v>
        <stp/>
        <stp>VEGA</stp>
        <stp>.KRE201120P47.5</stp>
        <tr r="P396" s="1"/>
      </tp>
      <tp t="s">
        <v>N/A</v>
        <stp/>
        <stp>VEGA</stp>
        <stp>.KRE201120C47.5</stp>
        <tr r="P395" s="1"/>
      </tp>
      <tp>
        <v>1.03</v>
        <stp/>
        <stp>LAST</stp>
        <stp>.XLC201120P63.5</stp>
        <tr r="E800" s="1"/>
      </tp>
      <tp>
        <v>1.38</v>
        <stp/>
        <stp>LAST</stp>
        <stp>.XLE201120P33.5</stp>
        <tr r="E805" s="1"/>
      </tp>
      <tp t="s">
        <v>N/A</v>
        <stp/>
        <stp>LAST</stp>
        <stp>.XLC201120C63.5</stp>
        <tr r="E799" s="1"/>
      </tp>
      <tp>
        <v>0.48</v>
        <stp/>
        <stp>LAST</stp>
        <stp>.XLE201120C33.5</stp>
        <tr r="E804" s="1"/>
      </tp>
      <tp t="s">
        <v>N/A</v>
        <stp/>
        <stp>PROB_OTM</stp>
        <stp>.IBB201120P140.5</stp>
        <tr r="U240" s="1"/>
      </tp>
      <tp t="s">
        <v>N/A</v>
        <stp/>
        <stp>PROB_OTM</stp>
        <stp>.LQD201120C135.5</stp>
        <tr r="U409" s="1"/>
      </tp>
      <tp t="s">
        <v>N/A</v>
        <stp/>
        <stp>PROB_OF_TOUCHING</stp>
        <stp>.VOO201120P325</stp>
        <tr r="V731" s="1"/>
      </tp>
      <tp t="s">
        <v>N/A</v>
        <stp/>
        <stp>PROB_OF_TOUCHING</stp>
        <stp>.VOO201120C325</stp>
        <tr r="V730" s="1"/>
      </tp>
      <tp t="s">
        <v>N/A</v>
        <stp/>
        <stp>LAST</stp>
        <stp>.EWY201120C73.5</stp>
        <tr r="E170" s="1"/>
      </tp>
      <tp>
        <v>0.28000000000000003</v>
        <stp/>
        <stp>LAST</stp>
        <stp>.EWJ201120C63.5</stp>
        <tr r="E138" s="1"/>
      </tp>
      <tp t="s">
        <v>N/A</v>
        <stp/>
        <stp>LAST</stp>
        <stp>.EWY201120P73.5</stp>
        <tr r="E171" s="1"/>
      </tp>
      <tp t="s">
        <v>N/A</v>
        <stp/>
        <stp>LAST</stp>
        <stp>.EWJ201120P63.5</stp>
        <tr r="E139" s="1"/>
      </tp>
      <tp t="s">
        <v>N/A</v>
        <stp/>
        <stp>PROB_OF_TOUCHING</stp>
        <stp>.VOO201120P330</stp>
        <tr r="V733" s="1"/>
      </tp>
      <tp t="s">
        <v>N/A</v>
        <stp/>
        <stp>PROB_OF_TOUCHING</stp>
        <stp>.VOO201120C330</stp>
        <tr r="V732" s="1"/>
      </tp>
      <tp t="s">
        <v>N/A</v>
        <stp/>
        <stp>PROB_OF_TOUCHING</stp>
        <stp>.IBB201120C139.5</stp>
        <tr r="V235" s="1"/>
      </tp>
      <tp t="s">
        <v>N/A</v>
        <stp/>
        <stp>PROB_OF_TOUCHING</stp>
        <stp>.IWM201120C172</stp>
        <tr r="V350" s="1"/>
      </tp>
      <tp t="s">
        <v>N/A</v>
        <stp/>
        <stp>PROB_OF_TOUCHING</stp>
        <stp>.IWM201120P172</stp>
        <tr r="V351" s="1"/>
      </tp>
      <tp t="s">
        <v>N/A</v>
        <stp/>
        <stp>PROB_OF_TOUCHING</stp>
        <stp>.IWM201120C173</stp>
        <tr r="V354" s="1"/>
      </tp>
      <tp t="s">
        <v>N/A</v>
        <stp/>
        <stp>PROB_OF_TOUCHING</stp>
        <stp>.IWM201120P173</stp>
        <tr r="V355" s="1"/>
      </tp>
      <tp t="s">
        <v>N/A</v>
        <stp/>
        <stp>PROB_OF_TOUCHING</stp>
        <stp>.IWM201120C170</stp>
        <tr r="V346" s="1"/>
      </tp>
      <tp t="s">
        <v>N/A</v>
        <stp/>
        <stp>PROB_OF_TOUCHING</stp>
        <stp>.IWM201120P170</stp>
        <tr r="V347" s="1"/>
      </tp>
      <tp t="s">
        <v>N/A</v>
        <stp/>
        <stp>PROB_OF_TOUCHING</stp>
        <stp>.IWM201120C171</stp>
        <tr r="V348" s="1"/>
      </tp>
      <tp t="s">
        <v>N/A</v>
        <stp/>
        <stp>PROB_OF_TOUCHING</stp>
        <stp>.IWM201120P171</stp>
        <tr r="V349" s="1"/>
      </tp>
      <tp t="s">
        <v>N/A</v>
        <stp/>
        <stp>PROB_OF_TOUCHING</stp>
        <stp>.IWM201120C174</stp>
        <tr r="V356" s="1"/>
      </tp>
      <tp t="s">
        <v>N/A</v>
        <stp/>
        <stp>PROB_OF_TOUCHING</stp>
        <stp>.IWM201120P174</stp>
        <tr r="V357" s="1"/>
      </tp>
      <tp t="s">
        <v>N/A</v>
        <stp/>
        <stp>PROB_OF_TOUCHING</stp>
        <stp>.IWM201120C175</stp>
        <tr r="V358" s="1"/>
      </tp>
      <tp t="s">
        <v>N/A</v>
        <stp/>
        <stp>PROB_OF_TOUCHING</stp>
        <stp>.IWM201120P175</stp>
        <tr r="V359" s="1"/>
      </tp>
      <tp t="s">
        <v>N/A</v>
        <stp/>
        <stp>PROB_OF_TOUCHING</stp>
        <stp>.IEF201120C119.5</stp>
        <tr r="V249" s="1"/>
      </tp>
      <tp>
        <v>158</v>
        <stp/>
        <stp>OPEN_INT</stp>
        <stp>.XLK201120P121.5</stp>
        <tr r="G834" s="1"/>
      </tp>
      <tp t="s">
        <v>N/A</v>
        <stp/>
        <stp>OPEN_INT</stp>
        <stp>.XLY201120P151.5</stp>
        <tr r="G869" s="1"/>
      </tp>
      <tp>
        <v>205</v>
        <stp/>
        <stp>OPEN_INT</stp>
        <stp>.XLV201120P111.5</stp>
        <tr r="G864" s="1"/>
      </tp>
      <tp t="s">
        <v>N/A</v>
        <stp/>
        <stp>VEGA</stp>
        <stp>.XOP201120C47.5</stp>
        <tr r="P892" s="1"/>
      </tp>
      <tp t="s">
        <v>N/A</v>
        <stp/>
        <stp>VEGA</stp>
        <stp>.XOP201120P47.5</stp>
        <tr r="P893" s="1"/>
      </tp>
      <tp t="s">
        <v>N/A</v>
        <stp/>
        <stp>IMPL_VOL</stp>
        <stp>.SMH201120P195</stp>
        <tr r="D563" s="1"/>
      </tp>
      <tp t="s">
        <v>N/A</v>
        <stp/>
        <stp>IMPL_VOL</stp>
        <stp>.SMH201120C195</stp>
        <tr r="D562" s="1"/>
      </tp>
      <tp t="s">
        <v>N/A</v>
        <stp/>
        <stp>IMPL_VOL</stp>
        <stp>.SMH201120P194</stp>
        <tr r="D559" s="1"/>
      </tp>
      <tp t="s">
        <v>N/A</v>
        <stp/>
        <stp>IMPL_VOL</stp>
        <stp>.SMH201120C194</stp>
        <tr r="D558" s="1"/>
      </tp>
      <tp t="s">
        <v>N/A</v>
        <stp/>
        <stp>IMPL_VOL</stp>
        <stp>.SMH201120P197</stp>
        <tr r="D571" s="1"/>
      </tp>
      <tp t="s">
        <v>N/A</v>
        <stp/>
        <stp>IMPL_VOL</stp>
        <stp>.SMH201120C197</stp>
        <tr r="D570" s="1"/>
      </tp>
      <tp t="s">
        <v>N/A</v>
        <stp/>
        <stp>IMPL_VOL</stp>
        <stp>.SMH201120P196</stp>
        <tr r="D567" s="1"/>
      </tp>
      <tp t="s">
        <v>N/A</v>
        <stp/>
        <stp>IMPL_VOL</stp>
        <stp>.SMH201120C196</stp>
        <tr r="D566" s="1"/>
      </tp>
      <tp t="s">
        <v>N/A</v>
        <stp/>
        <stp>IMPL_VOL</stp>
        <stp>.SMH201120P193</stp>
        <tr r="D555" s="1"/>
      </tp>
      <tp t="s">
        <v>N/A</v>
        <stp/>
        <stp>IMPL_VOL</stp>
        <stp>.SMH201120C193</stp>
        <tr r="D554" s="1"/>
      </tp>
      <tp t="s">
        <v>N/A</v>
        <stp/>
        <stp>IMPL_VOL</stp>
        <stp>.SMH201120P198</stp>
        <tr r="D575" s="1"/>
      </tp>
      <tp t="s">
        <v>N/A</v>
        <stp/>
        <stp>IMPL_VOL</stp>
        <stp>.SMH201120C198</stp>
        <tr r="D574" s="1"/>
      </tp>
      <tp t="s">
        <v>N/A</v>
        <stp/>
        <stp>PROB_OTM</stp>
        <stp>.IBB201120C140.5</stp>
        <tr r="U239" s="1"/>
      </tp>
      <tp t="s">
        <v>N/A</v>
        <stp/>
        <stp>PROB_OTM</stp>
        <stp>.LQD201120P135.5</stp>
        <tr r="U410" s="1"/>
      </tp>
      <tp t="s">
        <v>N/A</v>
        <stp/>
        <stp>STRIKE</stp>
        <stp>.HYLB201120C49</stp>
        <tr r="W226" s="1"/>
      </tp>
      <tp t="s">
        <v>N/A</v>
        <stp/>
        <stp>LOW</stp>
        <stp>.TAN201120P72.5</stp>
        <tr r="K661" s="1"/>
      </tp>
      <tp>
        <v>2.82</v>
        <stp/>
        <stp>LOW</stp>
        <stp>.TAN201120C72.5</stp>
        <tr r="K660" s="1"/>
      </tp>
      <tp t="s">
        <v>N/A</v>
        <stp/>
        <stp>LOW</stp>
        <stp>.RSX201120C22.5</stp>
        <tr r="K515" s="1"/>
      </tp>
      <tp t="s">
        <v>N/A</v>
        <stp/>
        <stp>LOW</stp>
        <stp>.RSX201120P22.5</stp>
        <tr r="K516" s="1"/>
      </tp>
      <tp t="s">
        <v>N/A</v>
        <stp/>
        <stp>STRIKE</stp>
        <stp>.SPLG201120C42</stp>
        <tr r="W585" s="1"/>
      </tp>
      <tp t="s">
        <v>N/A</v>
        <stp/>
        <stp>LOW</stp>
        <stp>.SSO201120C82.5</stp>
        <tr r="K649" s="1"/>
      </tp>
      <tp t="s">
        <v>N/A</v>
        <stp/>
        <stp>LOW</stp>
        <stp>.SSO201120P82.5</stp>
        <tr r="K650" s="1"/>
      </tp>
      <tp t="s">
        <v>N/A</v>
        <stp/>
        <stp>STRIKE</stp>
        <stp>.EMLC201120C32</stp>
        <tr r="W115" s="1"/>
      </tp>
      <tp t="s">
        <v>N/A</v>
        <stp/>
        <stp>STRIKE</stp>
        <stp>.BKLN201120C22</stp>
        <tr r="W49" s="1"/>
      </tp>
      <tp t="s">
        <v>N/A</v>
        <stp/>
        <stp>STRIKE</stp>
        <stp>.ICLN201120C22</stp>
        <tr r="W246" s="1"/>
      </tp>
      <tp t="s">
        <v>N/A</v>
        <stp/>
        <stp>EXTRINSIC</stp>
        <stp>.QLD201120C101</stp>
        <tr r="S473" s="1"/>
      </tp>
      <tp t="s">
        <v>N/A</v>
        <stp/>
        <stp>EXTRINSIC</stp>
        <stp>.QLD201120P101</stp>
        <tr r="S474" s="1"/>
      </tp>
      <tp t="s">
        <v>N/A</v>
        <stp/>
        <stp>EXTRINSIC</stp>
        <stp>.QLD201120C100</stp>
        <tr r="S471" s="1"/>
      </tp>
      <tp t="s">
        <v>N/A</v>
        <stp/>
        <stp>EXTRINSIC</stp>
        <stp>.QLD201120P100</stp>
        <tr r="S472" s="1"/>
      </tp>
      <tp t="s">
        <v>N/A</v>
        <stp/>
        <stp>PUT_CALL_RATIO</stp>
        <stp>.JETS201120P20</stp>
        <tr r="C379" s="1"/>
      </tp>
      <tp>
        <v>0</v>
        <stp/>
        <stp>VOLUME</stp>
        <stp>.DGRO201120C43</stp>
        <tr r="F60" s="1"/>
      </tp>
      <tp t="s">
        <v>N/A</v>
        <stp/>
        <stp>EXTRINSIC</stp>
        <stp>.IWD201120P129</stp>
        <tr r="S337" s="1"/>
      </tp>
      <tp t="s">
        <v>N/A</v>
        <stp/>
        <stp>EXTRINSIC</stp>
        <stp>.IWD201120C129</stp>
        <tr r="S336" s="1"/>
      </tp>
      <tp t="s">
        <v>N/A</v>
        <stp/>
        <stp>EXTRINSIC</stp>
        <stp>.IWD201120P128</stp>
        <tr r="S335" s="1"/>
      </tp>
      <tp t="s">
        <v>N/A</v>
        <stp/>
        <stp>EXTRINSIC</stp>
        <stp>.IWD201120C128</stp>
        <tr r="S334" s="1"/>
      </tp>
      <tp t="s">
        <v>N/A</v>
        <stp/>
        <stp>EXTRINSIC</stp>
        <stp>.IWD201120P130</stp>
        <tr r="S339" s="1"/>
      </tp>
      <tp t="s">
        <v>N/A</v>
        <stp/>
        <stp>EXTRINSIC</stp>
        <stp>.LQD201120P135</stp>
        <tr r="S408" s="1"/>
      </tp>
      <tp t="s">
        <v>N/A</v>
        <stp/>
        <stp>EXTRINSIC</stp>
        <stp>.IWD201120C130</stp>
        <tr r="S338" s="1"/>
      </tp>
      <tp t="s">
        <v>N/A</v>
        <stp/>
        <stp>EXTRINSIC</stp>
        <stp>.LQD201120C135</stp>
        <tr r="S407" s="1"/>
      </tp>
      <tp t="s">
        <v>N/A</v>
        <stp/>
        <stp>LOW</stp>
        <stp>.EWY201120C72.5</stp>
        <tr r="K166" s="1"/>
      </tp>
      <tp t="s">
        <v>N/A</v>
        <stp/>
        <stp>LOW</stp>
        <stp>.EWY201120P72.5</stp>
        <tr r="K167" s="1"/>
      </tp>
      <tp t="s">
        <v>N/A</v>
        <stp/>
        <stp>STRIKE</stp>
        <stp>.AMLP201120C23</stp>
        <tr r="W19" s="1"/>
      </tp>
      <tp t="s">
        <v>N/A</v>
        <stp/>
        <stp>STRIKE</stp>
        <stp>.AMLP201120C24</stp>
        <tr r="W23" s="1"/>
      </tp>
      <tp t="s">
        <v>N/A</v>
        <stp/>
        <stp>STRIKE</stp>
        <stp>.SPLV201120C55</stp>
        <tr r="W588" s="1"/>
      </tp>
      <tp t="s">
        <v>N/A</v>
        <stp/>
        <stp>INTRINSIC</stp>
        <stp>.QQQ201120P287</stp>
        <tr r="R479" s="1"/>
      </tp>
      <tp t="s">
        <v>N/A</v>
        <stp/>
        <stp>INTRINSIC</stp>
        <stp>.QQQ201120C287</stp>
        <tr r="R478" s="1"/>
      </tp>
      <tp t="s">
        <v>N/A</v>
        <stp/>
        <stp>INTRINSIC</stp>
        <stp>.QQQ201120P286</stp>
        <tr r="R477" s="1"/>
      </tp>
      <tp t="s">
        <v>N/A</v>
        <stp/>
        <stp>INTRINSIC</stp>
        <stp>.QQQ201120C286</stp>
        <tr r="R476" s="1"/>
      </tp>
      <tp t="s">
        <v>N/A</v>
        <stp/>
        <stp>INTRINSIC</stp>
        <stp>.QQQ201120P289</stp>
        <tr r="R485" s="1"/>
      </tp>
      <tp t="s">
        <v>N/A</v>
        <stp/>
        <stp>INTRINSIC</stp>
        <stp>.QQQ201120C289</stp>
        <tr r="R484" s="1"/>
      </tp>
      <tp t="s">
        <v>N/A</v>
        <stp/>
        <stp>INTRINSIC</stp>
        <stp>.QQQ201120P288</stp>
        <tr r="R483" s="1"/>
      </tp>
      <tp t="s">
        <v>N/A</v>
        <stp/>
        <stp>INTRINSIC</stp>
        <stp>.QQQ201120C288</stp>
        <tr r="R482" s="1"/>
      </tp>
      <tp t="s">
        <v>N/A</v>
        <stp/>
        <stp>INTRINSIC</stp>
        <stp>.QQQ201120P294</stp>
        <tr r="R497" s="1"/>
      </tp>
      <tp t="s">
        <v>N/A</v>
        <stp/>
        <stp>INTRINSIC</stp>
        <stp>.QQQ201120C294</stp>
        <tr r="R496" s="1"/>
      </tp>
      <tp t="s">
        <v>N/A</v>
        <stp/>
        <stp>INTRINSIC</stp>
        <stp>.QQQ201120P291</stp>
        <tr r="R489" s="1"/>
      </tp>
      <tp t="s">
        <v>N/A</v>
        <stp/>
        <stp>INTRINSIC</stp>
        <stp>.QQQ201120C291</stp>
        <tr r="R488" s="1"/>
      </tp>
      <tp t="s">
        <v>N/A</v>
        <stp/>
        <stp>INTRINSIC</stp>
        <stp>.QQQ201120P290</stp>
        <tr r="R487" s="1"/>
      </tp>
      <tp t="s">
        <v>N/A</v>
        <stp/>
        <stp>INTRINSIC</stp>
        <stp>.QQQ201120C290</stp>
        <tr r="R486" s="1"/>
      </tp>
      <tp t="s">
        <v>N/A</v>
        <stp/>
        <stp>INTRINSIC</stp>
        <stp>.QQQ201120P293</stp>
        <tr r="R495" s="1"/>
      </tp>
      <tp t="s">
        <v>N/A</v>
        <stp/>
        <stp>INTRINSIC</stp>
        <stp>.QQQ201120C293</stp>
        <tr r="R494" s="1"/>
      </tp>
      <tp t="s">
        <v>N/A</v>
        <stp/>
        <stp>INTRINSIC</stp>
        <stp>.QQQ201120P292</stp>
        <tr r="R491" s="1"/>
      </tp>
      <tp t="s">
        <v>N/A</v>
        <stp/>
        <stp>INTRINSIC</stp>
        <stp>.QQQ201120C292</stp>
        <tr r="R490" s="1"/>
      </tp>
      <tp>
        <v>0</v>
        <stp/>
        <stp>VOLUME</stp>
        <stp>.XLRE201120C37</stp>
        <tr r="F847" s="1"/>
      </tp>
      <tp t="s">
        <v>N/A</v>
        <stp/>
        <stp>RHO</stp>
        <stp>.QLD201120P97</stp>
        <tr r="Q466" s="1"/>
      </tp>
      <tp t="s">
        <v>N/A</v>
        <stp/>
        <stp>RHO</stp>
        <stp>.QLD201120P96</stp>
        <tr r="Q464" s="1"/>
      </tp>
      <tp t="s">
        <v>N/A</v>
        <stp/>
        <stp>RHO</stp>
        <stp>.QLD201120P99</stp>
        <tr r="Q470" s="1"/>
      </tp>
      <tp t="s">
        <v>N/A</v>
        <stp/>
        <stp>RHO</stp>
        <stp>.QLD201120P98</stp>
        <tr r="Q468" s="1"/>
      </tp>
      <tp>
        <v>1.2</v>
        <stp/>
        <stp>BID</stp>
        <stp>.VGK201120P57</stp>
        <tr r="H723" s="1"/>
      </tp>
      <tp t="s">
        <v>N/A</v>
        <stp/>
        <stp>LOW</stp>
        <stp>.VGK201120C57</stp>
        <tr r="K722" s="1"/>
      </tp>
      <tp t="s">
        <v>N/A</v>
        <stp/>
        <stp>RHO</stp>
        <stp>.XLI201120P86</stp>
        <tr r="Q823" s="1"/>
      </tp>
      <tp t="s">
        <v>N/A</v>
        <stp/>
        <stp>RHO</stp>
        <stp>.XLI201120P85</stp>
        <tr r="Q819" s="1"/>
      </tp>
      <tp t="s">
        <v>N/A</v>
        <stp/>
        <stp>RHO</stp>
        <stp>.XLI201120P84</stp>
        <tr r="Q815" s="1"/>
      </tp>
      <tp t="s">
        <v>N/A</v>
        <stp/>
        <stp>RHO</stp>
        <stp>.XLC201120P64</stp>
        <tr r="Q802" s="1"/>
      </tp>
      <tp t="s">
        <v>N/A</v>
        <stp/>
        <stp>RHO</stp>
        <stp>.XLC201120P63</stp>
        <tr r="Q798" s="1"/>
      </tp>
      <tp t="s">
        <v>N/A</v>
        <stp/>
        <stp>RHO</stp>
        <stp>.XLB201120P70</stp>
        <tr r="Q795" s="1"/>
      </tp>
      <tp>
        <v>0.30299999999999999</v>
        <stp/>
        <stp>PUT_CALL_RATIO</stp>
        <stp>GUSH</stp>
        <tr r="C213" s="1"/>
      </tp>
      <tp t="s">
        <v>N/A</v>
        <stp/>
        <stp>RHO</stp>
        <stp>.XLF201120P27</stp>
        <tr r="Q812" s="1"/>
      </tp>
      <tp t="s">
        <v>N/A</v>
        <stp/>
        <stp>RHO</stp>
        <stp>.ILF201120P25</stp>
        <tr r="Q279" s="1"/>
      </tp>
      <tp t="s">
        <v>N/A</v>
        <stp/>
        <stp>RHO</stp>
        <stp>.XLB201120P69</stp>
        <tr r="Q791" s="1"/>
      </tp>
      <tp t="s">
        <v>N/A</v>
        <stp/>
        <stp>BID</stp>
        <stp>.ITB201120C56</stp>
        <tr r="H295" s="1"/>
      </tp>
      <tp>
        <v>1.25</v>
        <stp/>
        <stp>ASK</stp>
        <stp>.XHB201120P55</stp>
        <tr r="I782" s="1"/>
      </tp>
      <tp t="s">
        <v>N/A</v>
        <stp/>
        <stp>BID</stp>
        <stp>.ITB201120C55</stp>
        <tr r="H291" s="1"/>
      </tp>
      <tp>
        <v>1.9</v>
        <stp/>
        <stp>ASK</stp>
        <stp>.XHB201120P56</stp>
        <tr r="I786" s="1"/>
      </tp>
      <tp t="s">
        <v>N/A</v>
        <stp/>
        <stp>LOW</stp>
        <stp>.ITB201120P55</stp>
        <tr r="K292" s="1"/>
      </tp>
      <tp t="s">
        <v>N/A</v>
        <stp/>
        <stp>LOW</stp>
        <stp>.ITB201120P56</stp>
        <tr r="K296" s="1"/>
      </tp>
      <tp t="s">
        <v>N/A</v>
        <stp/>
        <stp>RHO</stp>
        <stp>.XLE201120P34</stp>
        <tr r="Q807" s="1"/>
      </tp>
      <tp t="s">
        <v>N/A</v>
        <stp/>
        <stp>DESCRIPTION</stp>
        <stp>.VNQ201120P84</stp>
        <tr r="B726" s="1"/>
      </tp>
      <tp t="s">
        <v>N/A</v>
        <stp/>
        <stp>DESCRIPTION</stp>
        <stp>.VNQ201120P85</stp>
        <tr r="B728" s="1"/>
      </tp>
      <tp t="s">
        <v>N/A</v>
        <stp/>
        <stp>BID</stp>
        <stp>.PGX201120P15</stp>
        <tr r="H456" s="1"/>
      </tp>
      <tp t="s">
        <v>N/A</v>
        <stp/>
        <stp>LOW</stp>
        <stp>.PGX201120C15</stp>
        <tr r="K455" s="1"/>
      </tp>
      <tp>
        <v>3478396</v>
        <stp/>
        <stp>VOLUME</stp>
        <stp>BKLN</stp>
        <tr r="F48" s="1"/>
      </tp>
      <tp>
        <v>68.606999999999999</v>
        <stp/>
        <stp>PUT_CALL_RATIO</stp>
        <stp>EUFN</stp>
        <tr r="C117" s="1"/>
      </tp>
      <tp t="s">
        <v>N/A</v>
        <stp/>
        <stp>RHO</stp>
        <stp>.XLU201120P67</stp>
        <tr r="Q855" s="1"/>
      </tp>
      <tp t="s">
        <v>N/A</v>
        <stp/>
        <stp>RHO</stp>
        <stp>.XLU201120P66</stp>
        <tr r="Q851" s="1"/>
      </tp>
      <tp t="s">
        <v>N/A</v>
        <stp/>
        <stp>STRIKE</stp>
        <stp>SHYG</stp>
        <tr r="W548" s="1"/>
      </tp>
      <tp>
        <v>2.5</v>
        <stp/>
        <stp>PUT_CALL_RATIO</stp>
        <stp>QUAL</stp>
        <tr r="C498" s="1"/>
      </tp>
      <tp t="s">
        <v>N/A</v>
        <stp/>
        <stp>RHO</stp>
        <stp>.XLP201120P67</stp>
        <tr r="Q845" s="1"/>
      </tp>
      <tp>
        <v>0</v>
        <stp/>
        <stp>OPEN_INT</stp>
        <stp>EFV</stp>
        <tr r="G108" s="1"/>
      </tp>
      <tp>
        <v>0</v>
        <stp/>
        <stp>OPEN_INT</stp>
        <stp>EFA</stp>
        <tr r="G101" s="1"/>
      </tp>
      <tp t="s">
        <v>N/A</v>
        <stp/>
        <stp>EXTRINSIC</stp>
        <stp>.ARKK201120P100</stp>
        <tr r="S33" s="1"/>
      </tp>
      <tp t="s">
        <v>N/A</v>
        <stp/>
        <stp>EXTRINSIC</stp>
        <stp>.ARKK201120C100</stp>
        <tr r="S32" s="1"/>
      </tp>
      <tp t="s">
        <v>N/A</v>
        <stp/>
        <stp>INTRINSIC</stp>
        <stp>.ARKK201120C100</stp>
        <tr r="R32" s="1"/>
      </tp>
      <tp t="s">
        <v>N/A</v>
        <stp/>
        <stp>INTRINSIC</stp>
        <stp>.ARKK201120P100</stp>
        <tr r="R33" s="1"/>
      </tp>
      <tp t="s">
        <v>N/A</v>
        <stp/>
        <stp>PROB_OF_EXPIRING</stp>
        <stp>PXH</stp>
        <tr r="T457" s="1"/>
      </tp>
      <tp>
        <v>0</v>
        <stp/>
        <stp>OPEN_INT</stp>
        <stp>EEM</stp>
        <tr r="G94" s="1"/>
      </tp>
      <tp t="s">
        <v>N/A</v>
        <stp/>
        <stp>PROB_OF_EXPIRING</stp>
        <stp>.GDXJ201120C52.5</stp>
        <tr r="T205" s="1"/>
      </tp>
      <tp t="s">
        <v>N/A</v>
        <stp/>
        <stp>PROB_OF_EXPIRING</stp>
        <stp>.GDXJ201120P52.5</stp>
        <tr r="T206" s="1"/>
      </tp>
      <tp>
        <v>0</v>
        <stp/>
        <stp>OPEN_INT</stp>
        <stp>EMB</stp>
        <tr r="G111" s="1"/>
      </tp>
      <tp t="s">
        <v>41.39%</v>
        <stp/>
        <stp>IMPL_VOL</stp>
        <stp>GDX</stp>
        <tr r="D195" s="1"/>
      </tp>
      <tp>
        <v>0</v>
        <stp/>
        <stp>OPEN_INT</stp>
        <stp>EWT</stp>
        <tr r="G148" s="1"/>
      </tp>
      <tp>
        <v>0</v>
        <stp/>
        <stp>OPEN_INT</stp>
        <stp>EWU</stp>
        <tr r="G151" s="1"/>
      </tp>
      <tp>
        <v>0</v>
        <stp/>
        <stp>OPEN_INT</stp>
        <stp>EWW</stp>
        <tr r="G154" s="1"/>
      </tp>
      <tp>
        <v>0</v>
        <stp/>
        <stp>OPEN_INT</stp>
        <stp>EWP</stp>
        <tr r="G145" s="1"/>
      </tp>
      <tp t="s">
        <v>N/A</v>
        <stp/>
        <stp>PROB_OTM</stp>
        <stp>AGG</stp>
        <tr r="U15" s="1"/>
      </tp>
      <tp>
        <v>0</v>
        <stp/>
        <stp>OPEN_INT</stp>
        <stp>EWY</stp>
        <tr r="G161" s="1"/>
      </tp>
      <tp>
        <v>0</v>
        <stp/>
        <stp>OPEN_INT</stp>
        <stp>EWZ</stp>
        <tr r="G172" s="1"/>
      </tp>
      <tp>
        <v>0</v>
        <stp/>
        <stp>OPEN_INT</stp>
        <stp>EWG</stp>
        <tr r="G126" s="1"/>
      </tp>
      <tp>
        <v>0</v>
        <stp/>
        <stp>OPEN_INT</stp>
        <stp>EWA</stp>
        <tr r="G120" s="1"/>
      </tp>
      <tp>
        <v>0</v>
        <stp/>
        <stp>OPEN_INT</stp>
        <stp>EWC</stp>
        <tr r="G123" s="1"/>
      </tp>
      <tp>
        <v>0</v>
        <stp/>
        <stp>OPEN_INT</stp>
        <stp>EWL</stp>
        <tr r="G142" s="1"/>
      </tp>
      <tp>
        <v>0</v>
        <stp/>
        <stp>OPEN_INT</stp>
        <stp>EWH</stp>
        <tr r="G129" s="1"/>
      </tp>
      <tp>
        <v>0</v>
        <stp/>
        <stp>OPEN_INT</stp>
        <stp>EWI</stp>
        <tr r="G132" s="1"/>
      </tp>
      <tp>
        <v>0</v>
        <stp/>
        <stp>OPEN_INT</stp>
        <stp>EWJ</stp>
        <tr r="G135" s="1"/>
      </tp>
      <tp>
        <v>0</v>
        <stp/>
        <stp>OPEN_INT</stp>
        <stp>EZU</stp>
        <tr r="G177" s="1"/>
      </tp>
      <tp t="s">
        <v>N/A</v>
        <stp/>
        <stp>PROB_OF_EXPIRING</stp>
        <stp>PGX</stp>
        <tr r="T454" s="1"/>
      </tp>
      <tp t="s">
        <v>N/A</v>
        <stp/>
        <stp>PROB_OF_TOUCHING</stp>
        <stp>GDX</stp>
        <tr r="V195" s="1"/>
      </tp>
      <tp t="s">
        <v>N/A</v>
        <stp/>
        <stp>LAST</stp>
        <stp>.TAN201120P74.5</stp>
        <tr r="E669" s="1"/>
      </tp>
      <tp t="s">
        <v>N/A</v>
        <stp/>
        <stp>LAST</stp>
        <stp>.TAN201120C74.5</stp>
        <tr r="E668" s="1"/>
      </tp>
      <tp t="s">
        <v>N/A</v>
        <stp/>
        <stp>EXTRINSIC</stp>
        <stp>IXUS</stp>
        <tr r="S360" s="1"/>
      </tp>
      <tp t="s">
        <v>N/A</v>
        <stp/>
        <stp>EXTRINSIC</stp>
        <stp>VXUS</stp>
        <tr r="S753" s="1"/>
      </tp>
      <tp t="s">
        <v>N/A</v>
        <stp/>
        <stp>IMPL_VOL</stp>
        <stp>.MDY201120P387.5</stp>
        <tr r="D422" s="1"/>
      </tp>
      <tp t="s">
        <v>N/A</v>
        <stp/>
        <stp>LAST</stp>
        <stp>.SSO201120C84.5</stp>
        <tr r="E657" s="1"/>
      </tp>
      <tp t="s">
        <v>N/A</v>
        <stp/>
        <stp>LAST</stp>
        <stp>.SSO201120P84.5</stp>
        <tr r="E658" s="1"/>
      </tp>
      <tp t="s">
        <v>N/A</v>
        <stp/>
        <stp>PROB_OTM</stp>
        <stp>.IWF201120C227.5</stp>
        <tr r="U343" s="1"/>
      </tp>
      <tp t="s">
        <v>N/A</v>
        <stp/>
        <stp>PROB_OTM</stp>
        <stp>.IVV201120C357.5</stp>
        <tr r="U318" s="1"/>
      </tp>
      <tp t="s">
        <v>N/A</v>
        <stp/>
        <stp>LAST</stp>
        <stp>.XRT201120C54.5</stp>
        <tr r="E905" s="1"/>
      </tp>
      <tp t="s">
        <v>N/A</v>
        <stp/>
        <stp>LAST</stp>
        <stp>.XLI201120P84.5</stp>
        <tr r="E817" s="1"/>
      </tp>
      <tp>
        <v>1.9</v>
        <stp/>
        <stp>LAST</stp>
        <stp>.XLE201120P34.5</stp>
        <tr r="E809" s="1"/>
      </tp>
      <tp t="s">
        <v>N/A</v>
        <stp/>
        <stp>LAST</stp>
        <stp>.XRT201120P54.5</stp>
        <tr r="E906" s="1"/>
      </tp>
      <tp t="s">
        <v>N/A</v>
        <stp/>
        <stp>LAST</stp>
        <stp>.XLI201120C84.5</stp>
        <tr r="E816" s="1"/>
      </tp>
      <tp>
        <v>0.21</v>
        <stp/>
        <stp>LAST</stp>
        <stp>.XLE201120C34.5</stp>
        <tr r="E808" s="1"/>
      </tp>
      <tp t="s">
        <v>N/A</v>
        <stp/>
        <stp>INTRINSIC</stp>
        <stp>IXUS</stp>
        <tr r="R360" s="1"/>
      </tp>
      <tp t="s">
        <v>N/A</v>
        <stp/>
        <stp>INTRINSIC</stp>
        <stp>VXUS</stp>
        <tr r="R753" s="1"/>
      </tp>
      <tp>
        <v>239</v>
        <stp/>
        <stp>OPEN_INT</stp>
        <stp>.XBI201120C122</stp>
        <tr r="G764" s="1"/>
      </tp>
      <tp>
        <v>91</v>
        <stp/>
        <stp>OPEN_INT</stp>
        <stp>.XBI201120P122</stp>
        <tr r="G765" s="1"/>
      </tp>
      <tp>
        <v>115</v>
        <stp/>
        <stp>OPEN_INT</stp>
        <stp>.XBI201120C123</stp>
        <tr r="G768" s="1"/>
      </tp>
      <tp>
        <v>60</v>
        <stp/>
        <stp>OPEN_INT</stp>
        <stp>.XBI201120P123</stp>
        <tr r="G769" s="1"/>
      </tp>
      <tp>
        <v>1837</v>
        <stp/>
        <stp>OPEN_INT</stp>
        <stp>.XBI201120C124</stp>
        <tr r="G772" s="1"/>
      </tp>
      <tp>
        <v>17</v>
        <stp/>
        <stp>OPEN_INT</stp>
        <stp>.XBI201120P124</stp>
        <tr r="G773" s="1"/>
      </tp>
      <tp>
        <v>4414</v>
        <stp/>
        <stp>OPEN_INT</stp>
        <stp>.XBI201120C125</stp>
        <tr r="G776" s="1"/>
      </tp>
      <tp>
        <v>172</v>
        <stp/>
        <stp>OPEN_INT</stp>
        <stp>.XBI201120P125</stp>
        <tr r="G777" s="1"/>
      </tp>
      <tp t="s">
        <v>N/A</v>
        <stp/>
        <stp>PROB_OTM</stp>
        <stp>.XLV201120P112</stp>
        <tr r="U866" s="1"/>
      </tp>
      <tp t="s">
        <v>N/A</v>
        <stp/>
        <stp>PROB_OTM</stp>
        <stp>.XLV201120C112</stp>
        <tr r="U865" s="1"/>
      </tp>
      <tp t="s">
        <v>N/A</v>
        <stp/>
        <stp>PROB_OTM</stp>
        <stp>.XLV201120P110</stp>
        <tr r="U858" s="1"/>
      </tp>
      <tp t="s">
        <v>N/A</v>
        <stp/>
        <stp>PROB_OTM</stp>
        <stp>.XLV201120C110</stp>
        <tr r="U857" s="1"/>
      </tp>
      <tp t="s">
        <v>N/A</v>
        <stp/>
        <stp>PROB_OTM</stp>
        <stp>.XLV201120P111</stp>
        <tr r="U862" s="1"/>
      </tp>
      <tp t="s">
        <v>N/A</v>
        <stp/>
        <stp>PROB_OTM</stp>
        <stp>.XLV201120C111</stp>
        <tr r="U861" s="1"/>
      </tp>
      <tp t="s">
        <v>N/A</v>
        <stp/>
        <stp>IMPL_VOL</stp>
        <stp>.MDY201120C387.5</stp>
        <tr r="D421" s="1"/>
      </tp>
      <tp>
        <v>14</v>
        <stp/>
        <stp>OPEN_INT</stp>
        <stp>.VTI201120P184</stp>
        <tr r="G747" s="1"/>
      </tp>
      <tp t="s">
        <v>N/A</v>
        <stp/>
        <stp>OPEN_INT</stp>
        <stp>.VTI201120C184</stp>
        <tr r="G746" s="1"/>
      </tp>
      <tp t="s">
        <v>N/A</v>
        <stp/>
        <stp>OPEN_INT</stp>
        <stp>.VTI201120P181</stp>
        <tr r="G741" s="1"/>
      </tp>
      <tp t="s">
        <v>N/A</v>
        <stp/>
        <stp>OPEN_INT</stp>
        <stp>.VTI201120C181</stp>
        <tr r="G740" s="1"/>
      </tp>
      <tp t="s">
        <v>N/A</v>
        <stp/>
        <stp>OPEN_INT</stp>
        <stp>.VTI201120P182</stp>
        <tr r="G743" s="1"/>
      </tp>
      <tp t="s">
        <v>N/A</v>
        <stp/>
        <stp>OPEN_INT</stp>
        <stp>.VTI201120C182</stp>
        <tr r="G742" s="1"/>
      </tp>
      <tp t="s">
        <v>N/A</v>
        <stp/>
        <stp>OPEN_INT</stp>
        <stp>.VTI201120P183</stp>
        <tr r="G745" s="1"/>
      </tp>
      <tp t="s">
        <v>N/A</v>
        <stp/>
        <stp>OPEN_INT</stp>
        <stp>.VTI201120C183</stp>
        <tr r="G744" s="1"/>
      </tp>
      <tp t="s">
        <v>N/A</v>
        <stp/>
        <stp>PROB_OTM</stp>
        <stp>.IVV201120P357.5</stp>
        <tr r="U319" s="1"/>
      </tp>
      <tp t="s">
        <v>N/A</v>
        <stp/>
        <stp>PROB_OTM</stp>
        <stp>.IWF201120P227.5</stp>
        <tr r="U344" s="1"/>
      </tp>
      <tp t="s">
        <v>N/A</v>
        <stp/>
        <stp>LAST</stp>
        <stp>.ITB201120C54.5</stp>
        <tr r="E289" s="1"/>
      </tp>
      <tp t="s">
        <v>N/A</v>
        <stp/>
        <stp>LAST</stp>
        <stp>.IYR201120C84.5</stp>
        <tr r="E369" s="1"/>
      </tp>
      <tp t="s">
        <v>N/A</v>
        <stp/>
        <stp>LAST</stp>
        <stp>.ITB201120P54.5</stp>
        <tr r="E290" s="1"/>
      </tp>
      <tp t="s">
        <v>N/A</v>
        <stp/>
        <stp>LAST</stp>
        <stp>.IYR201120P84.5</stp>
        <tr r="E370" s="1"/>
      </tp>
      <tp t="s">
        <v>N/A</v>
        <stp/>
        <stp>LOW</stp>
        <stp>.TAN201120P75.5</stp>
        <tr r="K673" s="1"/>
      </tp>
      <tp t="s">
        <v>N/A</v>
        <stp/>
        <stp>LOW</stp>
        <stp>.TAN201120C75.5</stp>
        <tr r="K672" s="1"/>
      </tp>
      <tp t="s">
        <v>N/A</v>
        <stp/>
        <stp>STRIKE</stp>
        <stp>.AAXJ201120P83</stp>
        <tr r="W4" s="1"/>
      </tp>
      <tp t="s">
        <v>N/A</v>
        <stp/>
        <stp>STRIKE</stp>
        <stp>.ARKK201120C97</stp>
        <tr r="W26" s="1"/>
      </tp>
      <tp t="s">
        <v>N/A</v>
        <stp/>
        <stp>STRIKE</stp>
        <stp>.AAXJ201120P84</stp>
        <tr r="W6" s="1"/>
      </tp>
      <tp t="s">
        <v>N/A</v>
        <stp/>
        <stp>STRIKE</stp>
        <stp>.ARKK201120C98</stp>
        <tr r="W28" s="1"/>
      </tp>
      <tp t="s">
        <v>N/A</v>
        <stp/>
        <stp>STRIKE</stp>
        <stp>.ARKK201120C99</stp>
        <tr r="W30" s="1"/>
      </tp>
      <tp t="s">
        <v>N/A</v>
        <stp/>
        <stp>STRIKE</stp>
        <stp>.GDXJ201120P54</stp>
        <tr r="W212" s="1"/>
      </tp>
      <tp t="s">
        <v>N/A</v>
        <stp/>
        <stp>STRIKE</stp>
        <stp>.GDXJ201120P52</stp>
        <tr r="W204" s="1"/>
      </tp>
      <tp t="s">
        <v>N/A</v>
        <stp/>
        <stp>STRIKE</stp>
        <stp>.GDXJ201120P53</stp>
        <tr r="W208" s="1"/>
      </tp>
      <tp t="s">
        <v>N/A</v>
        <stp/>
        <stp>PUT_CALL_RATIO</stp>
        <stp>.GUSH201120P28</stp>
        <tr r="C219" s="1"/>
      </tp>
      <tp t="s">
        <v>N/A</v>
        <stp/>
        <stp>PUT_CALL_RATIO</stp>
        <stp>.GUSH201120P27</stp>
        <tr r="C217" s="1"/>
      </tp>
      <tp t="s">
        <v>N/A</v>
        <stp/>
        <stp>PUT_CALL_RATIO</stp>
        <stp>.GUSH201120P26</stp>
        <tr r="C215" s="1"/>
      </tp>
      <tp t="s">
        <v>N/A</v>
        <stp/>
        <stp>VOLUME</stp>
        <stp>.VXUS201120C56</stp>
        <tr r="F754" s="1"/>
      </tp>
      <tp t="s">
        <v>N/A</v>
        <stp/>
        <stp>VOLUME</stp>
        <stp>.VXUS201120C57</stp>
        <tr r="F756" s="1"/>
      </tp>
      <tp>
        <v>0.8</v>
        <stp/>
        <stp>LOW</stp>
        <stp>.XHB201120P55.5</stp>
        <tr r="K784" s="1"/>
      </tp>
      <tp t="s">
        <v>N/A</v>
        <stp/>
        <stp>LOW</stp>
        <stp>.XLI201120P85.5</stp>
        <tr r="K821" s="1"/>
      </tp>
      <tp t="s">
        <v>N/A</v>
        <stp/>
        <stp>LOW</stp>
        <stp>.XRT201120C55.5</stp>
        <tr r="K909" s="1"/>
      </tp>
      <tp>
        <v>0.95</v>
        <stp/>
        <stp>LOW</stp>
        <stp>.XHB201120C55.5</stp>
        <tr r="K783" s="1"/>
      </tp>
      <tp>
        <v>0.54</v>
        <stp/>
        <stp>LOW</stp>
        <stp>.XLI201120C85.5</stp>
        <tr r="K820" s="1"/>
      </tp>
      <tp t="s">
        <v>N/A</v>
        <stp/>
        <stp>LOW</stp>
        <stp>.XRT201120P55.5</stp>
        <tr r="K910" s="1"/>
      </tp>
      <tp>
        <v>0.26</v>
        <stp/>
        <stp>ASK</stp>
        <stp>.EEM201120C48.5</stp>
        <tr r="I99" s="1"/>
      </tp>
      <tp t="s">
        <v>N/A</v>
        <stp/>
        <stp>ASK</stp>
        <stp>.EWU201120P28.5</stp>
        <tr r="I153" s="1"/>
      </tp>
      <tp t="s">
        <v>N/A</v>
        <stp/>
        <stp>ASK</stp>
        <stp>.EWW201120P38.5</stp>
        <tr r="I156" s="1"/>
      </tp>
      <tp t="s">
        <v>N/A</v>
        <stp/>
        <stp>ASK</stp>
        <stp>.EWU201120C28.5</stp>
        <tr r="I152" s="1"/>
      </tp>
      <tp t="s">
        <v>N/A</v>
        <stp/>
        <stp>ASK</stp>
        <stp>.EWW201120C38.5</stp>
        <tr r="I155" s="1"/>
      </tp>
      <tp>
        <v>1.1299999999999999</v>
        <stp/>
        <stp>ASK</stp>
        <stp>.EEM201120P48.5</stp>
        <tr r="I100" s="1"/>
      </tp>
      <tp>
        <v>0</v>
        <stp/>
        <stp>VOLUME</stp>
        <stp>.IXUS201120C63</stp>
        <tr r="F361" s="1"/>
      </tp>
      <tp>
        <v>1.19</v>
        <stp/>
        <stp>ASK</stp>
        <stp>.XLB201120C68.5</stp>
        <tr r="I788" s="1"/>
      </tp>
      <tp>
        <v>0.67</v>
        <stp/>
        <stp>ASK</stp>
        <stp>.XOP201120C48.5</stp>
        <tr r="I896" s="1"/>
      </tp>
      <tp>
        <v>2.98</v>
        <stp/>
        <stp>ASK</stp>
        <stp>.XOP201120P48.5</stp>
        <tr r="I897" s="1"/>
      </tp>
      <tp t="s">
        <v>N/A</v>
        <stp/>
        <stp>ASK</stp>
        <stp>.XLB201120P68.5</stp>
        <tr r="I789" s="1"/>
      </tp>
      <tp>
        <v>72</v>
        <stp/>
        <stp>VOLUME</stp>
        <stp>.EUFN201120P16</stp>
        <tr r="F119" s="1"/>
      </tp>
      <tp t="s">
        <v>N/A</v>
        <stp/>
        <stp>VOLUME</stp>
        <stp>.IEFA201120P65</stp>
        <tr r="F253" s="1"/>
      </tp>
      <tp t="s">
        <v>N/A</v>
        <stp/>
        <stp>VOLUME</stp>
        <stp>.IEFA201120P66</stp>
        <tr r="F255" s="1"/>
      </tp>
      <tp>
        <v>0.39</v>
        <stp/>
        <stp>LOW</stp>
        <stp>.HYG201120C85.5</stp>
        <tr r="K221" s="1"/>
      </tp>
      <tp>
        <v>0.41</v>
        <stp/>
        <stp>LOW</stp>
        <stp>.HYG201120P85.5</stp>
        <tr r="K222" s="1"/>
      </tp>
      <tp t="s">
        <v>N/A</v>
        <stp/>
        <stp>LOW</stp>
        <stp>.IYR201120C85.5</stp>
        <tr r="K373" s="1"/>
      </tp>
      <tp>
        <v>1.19</v>
        <stp/>
        <stp>LOW</stp>
        <stp>.ITB201120C55.5</stp>
        <tr r="K293" s="1"/>
      </tp>
      <tp t="s">
        <v>N/A</v>
        <stp/>
        <stp>LOW</stp>
        <stp>.IYR201120P85.5</stp>
        <tr r="K374" s="1"/>
      </tp>
      <tp t="s">
        <v>N/A</v>
        <stp/>
        <stp>LOW</stp>
        <stp>.ITB201120P55.5</stp>
        <tr r="K294" s="1"/>
      </tp>
      <tp t="s">
        <v>N/A</v>
        <stp/>
        <stp>RHO</stp>
        <stp>.PXH201120C19</stp>
        <tr r="Q458" s="1"/>
      </tp>
      <tp t="s">
        <v>N/A</v>
        <stp/>
        <stp>RHO</stp>
        <stp>.PXH201120C20</stp>
        <tr r="Q460" s="1"/>
      </tp>
      <tp t="s">
        <v>N/A</v>
        <stp/>
        <stp>RHO</stp>
        <stp>.FXI201120C47</stp>
        <tr r="Q189" s="1"/>
      </tp>
      <tp t="s">
        <v>N/A</v>
        <stp/>
        <stp>RHO</stp>
        <stp>.FXI201120C48</stp>
        <tr r="Q193" s="1"/>
      </tp>
      <tp t="s">
        <v>N/A</v>
        <stp/>
        <stp>ASK</stp>
        <stp>.AGG201120P117</stp>
        <tr r="I17" s="1"/>
      </tp>
      <tp t="s">
        <v>N/A</v>
        <stp/>
        <stp>ASK</stp>
        <stp>.AGG201120C117</stp>
        <tr r="I16" s="1"/>
      </tp>
      <tp t="s">
        <v>N/A</v>
        <stp/>
        <stp>BID</stp>
        <stp>.AGG201120P117</stp>
        <tr r="H17" s="1"/>
      </tp>
      <tp t="s">
        <v>N/A</v>
        <stp/>
        <stp>BID</stp>
        <stp>.AGG201120C117</stp>
        <tr r="H16" s="1"/>
      </tp>
      <tp t="s">
        <v>N/A</v>
        <stp/>
        <stp>DESCRIPTION</stp>
        <stp>.BZQ201120C12</stp>
        <tr r="B52" s="1"/>
      </tp>
      <tp t="s">
        <v>N/A</v>
        <stp/>
        <stp>DESCRIPTION</stp>
        <stp>.EZU201120C42</stp>
        <tr r="B178" s="1"/>
      </tp>
      <tp>
        <v>4</v>
        <stp/>
        <stp>PUT_CALL_RATIO</stp>
        <stp>SRVR</stp>
        <tr r="C637" s="1"/>
      </tp>
      <tp t="s">
        <v>N/A</v>
        <stp/>
        <stp>LOW</stp>
        <stp>.AGG201120C117</stp>
        <tr r="K16" s="1"/>
      </tp>
      <tp t="s">
        <v>N/A</v>
        <stp/>
        <stp>LOW</stp>
        <stp>.AGG201120P117</stp>
        <tr r="K17" s="1"/>
      </tp>
      <tp t="s">
        <v>N/A</v>
        <stp/>
        <stp>RHO</stp>
        <stp>.DXD201120C14</stp>
        <tr r="Q92" s="1"/>
      </tp>
      <tp t="s">
        <v>N/A</v>
        <stp/>
        <stp>BID</stp>
        <stp>.SSO201120C84</stp>
        <tr r="H655" s="1"/>
      </tp>
      <tp t="s">
        <v>N/A</v>
        <stp/>
        <stp>BID</stp>
        <stp>.SSO201120C83</stp>
        <tr r="H651" s="1"/>
      </tp>
      <tp t="s">
        <v>N/A</v>
        <stp/>
        <stp>BID</stp>
        <stp>.SSO201120C82</stp>
        <tr r="H647" s="1"/>
      </tp>
      <tp t="s">
        <v>N/A</v>
        <stp/>
        <stp>BID</stp>
        <stp>.SSO201120C81</stp>
        <tr r="H643" s="1"/>
      </tp>
      <tp>
        <v>2.1</v>
        <stp/>
        <stp>LOW</stp>
        <stp>.SSO201120P81</stp>
        <tr r="K644" s="1"/>
      </tp>
      <tp t="s">
        <v>N/A</v>
        <stp/>
        <stp>LOW</stp>
        <stp>.SSO201120P83</stp>
        <tr r="K652" s="1"/>
      </tp>
      <tp t="s">
        <v>N/A</v>
        <stp/>
        <stp>LOW</stp>
        <stp>.SSO201120P82</stp>
        <tr r="K648" s="1"/>
      </tp>
      <tp>
        <v>0</v>
        <stp/>
        <stp>LOW</stp>
        <stp>.SSO201120P84</stp>
        <tr r="K656" s="1"/>
      </tp>
      <tp>
        <v>5034964</v>
        <stp/>
        <stp>VOLUME</stp>
        <stp>XLRE</stp>
        <tr r="F846" s="1"/>
      </tp>
      <tp t="s">
        <v>N/A</v>
        <stp/>
        <stp>BID</stp>
        <stp>.RSX201120C22</stp>
        <tr r="H513" s="1"/>
      </tp>
      <tp>
        <v>0.18</v>
        <stp/>
        <stp>LOW</stp>
        <stp>.RSX201120P22</stp>
        <tr r="K514" s="1"/>
      </tp>
      <tp>
        <v>4.4999999999999998E-2</v>
        <stp/>
        <stp>PUT_CALL_RATIO</stp>
        <stp>ARKW</stp>
        <tr r="C34" s="1"/>
      </tp>
      <tp>
        <v>1.0409999999999999</v>
        <stp/>
        <stp>PUT_CALL_RATIO</stp>
        <stp>ARKK</stp>
        <tr r="C25" s="1"/>
      </tp>
      <tp t="s">
        <v>N/A</v>
        <stp/>
        <stp>RHO</stp>
        <stp>.AGG201120P117</stp>
        <tr r="Q17" s="1"/>
      </tp>
      <tp t="s">
        <v>N/A</v>
        <stp/>
        <stp>RHO</stp>
        <stp>.AGG201120C117</stp>
        <tr r="Q16" s="1"/>
      </tp>
      <tp>
        <v>0.09</v>
        <stp/>
        <stp>PUT_CALL_RATIO</stp>
        <stp>DRIP</stp>
        <tr r="C81" s="1"/>
      </tp>
      <tp t="s">
        <v>N/A</v>
        <stp/>
        <stp>ASK</stp>
        <stp>.XOP201120P47</stp>
        <tr r="I891" s="1"/>
      </tp>
      <tp t="s">
        <v>N/A</v>
        <stp/>
        <stp>ASK</stp>
        <stp>.XOP201120P48</stp>
        <tr r="I895" s="1"/>
      </tp>
      <tp t="s">
        <v>N/A</v>
        <stp/>
        <stp>ASK</stp>
        <stp>.XOP201120P49</stp>
        <tr r="I899" s="1"/>
      </tp>
      <tp t="s">
        <v>N/A</v>
        <stp/>
        <stp>PROB_OTM</stp>
        <stp>FVD</stp>
        <tr r="U185" s="1"/>
      </tp>
      <tp>
        <v>31</v>
        <stp/>
        <stp>VOLUME</stp>
        <stp>.KRE201120C47.5</stp>
        <tr r="F395" s="1"/>
      </tp>
      <tp>
        <v>31</v>
        <stp/>
        <stp>VOLUME</stp>
        <stp>.KRE201120P47.5</stp>
        <tr r="F396" s="1"/>
      </tp>
      <tp t="s">
        <v>N/A</v>
        <stp/>
        <stp>PROB_OF_EXPIRING</stp>
        <stp>.AMLP201120P23.5</stp>
        <tr r="T22" s="1"/>
      </tp>
      <tp t="s">
        <v>N/A</v>
        <stp/>
        <stp>PROB_OF_EXPIRING</stp>
        <stp>.AMLP201120C23.5</stp>
        <tr r="T21" s="1"/>
      </tp>
      <tp>
        <v>72</v>
        <stp/>
        <stp>VOLUME</stp>
        <stp>.FXI201120C47.5</stp>
        <tr r="F191" s="1"/>
      </tp>
      <tp>
        <v>53</v>
        <stp/>
        <stp>VOLUME</stp>
        <stp>.FXI201120P47.5</stp>
        <tr r="F192" s="1"/>
      </tp>
      <tp>
        <v>368</v>
        <stp/>
        <stp>VOLUME</stp>
        <stp>.GDX201120P37.5</stp>
        <tr r="F201" s="1"/>
      </tp>
      <tp>
        <v>636</v>
        <stp/>
        <stp>VOLUME</stp>
        <stp>.GDX201120C37.5</stp>
        <tr r="F200" s="1"/>
      </tp>
      <tp t="s">
        <v>N/A</v>
        <stp/>
        <stp>PROB_OTM</stp>
        <stp>FXI</stp>
        <tr r="U188" s="1"/>
      </tp>
      <tp>
        <v>2546</v>
        <stp/>
        <stp>VOLUME</stp>
        <stp>.EEM201120P47.5</stp>
        <tr r="F96" s="1"/>
      </tp>
      <tp>
        <v>936</v>
        <stp/>
        <stp>VOLUME</stp>
        <stp>.EEM201120C47.5</stp>
        <tr r="F95" s="1"/>
      </tp>
      <tp t="s">
        <v>N/A</v>
        <stp/>
        <stp>EXTRINSIC</stp>
        <stp>.QUAL201120P111</stp>
        <tr r="S502" s="1"/>
      </tp>
      <tp t="s">
        <v>N/A</v>
        <stp/>
        <stp>EXTRINSIC</stp>
        <stp>.QUAL201120C111</stp>
        <tr r="S501" s="1"/>
      </tp>
      <tp t="s">
        <v>N/A</v>
        <stp/>
        <stp>EXTRINSIC</stp>
        <stp>.QUAL201120P110</stp>
        <tr r="S500" s="1"/>
      </tp>
      <tp t="s">
        <v>N/A</v>
        <stp/>
        <stp>EXTRINSIC</stp>
        <stp>.QUAL201120C110</stp>
        <tr r="S499" s="1"/>
      </tp>
      <tp t="s">
        <v>N/A</v>
        <stp/>
        <stp>EXTRINSIC</stp>
        <stp>.QUAL201120P112</stp>
        <tr r="S504" s="1"/>
      </tp>
      <tp t="s">
        <v>N/A</v>
        <stp/>
        <stp>EXTRINSIC</stp>
        <stp>.QUAL201120C112</stp>
        <tr r="S503" s="1"/>
      </tp>
      <tp t="s">
        <v>N/A</v>
        <stp/>
        <stp>INTRINSIC</stp>
        <stp>.QUAL201120C111</stp>
        <tr r="R501" s="1"/>
      </tp>
      <tp t="s">
        <v>N/A</v>
        <stp/>
        <stp>INTRINSIC</stp>
        <stp>.QUAL201120P111</stp>
        <tr r="R502" s="1"/>
      </tp>
      <tp t="s">
        <v>N/A</v>
        <stp/>
        <stp>INTRINSIC</stp>
        <stp>.QUAL201120C110</stp>
        <tr r="R499" s="1"/>
      </tp>
      <tp t="s">
        <v>N/A</v>
        <stp/>
        <stp>INTRINSIC</stp>
        <stp>.QUAL201120P110</stp>
        <tr r="R500" s="1"/>
      </tp>
      <tp t="s">
        <v>N/A</v>
        <stp/>
        <stp>INTRINSIC</stp>
        <stp>.QUAL201120C112</stp>
        <tr r="R503" s="1"/>
      </tp>
      <tp t="s">
        <v>N/A</v>
        <stp/>
        <stp>INTRINSIC</stp>
        <stp>.QUAL201120P112</stp>
        <tr r="R504" s="1"/>
      </tp>
      <tp>
        <v>515</v>
        <stp/>
        <stp>VOLUME</stp>
        <stp>.XOP201120P47.5</stp>
        <tr r="F893" s="1"/>
      </tp>
      <tp>
        <v>19</v>
        <stp/>
        <stp>VOLUME</stp>
        <stp>.XOP201120C47.5</stp>
        <tr r="F892" s="1"/>
      </tp>
      <tp t="s">
        <v>N/A</v>
        <stp/>
        <stp>PROB_OTM</stp>
        <stp>FEZ</stp>
        <tr r="U180" s="1"/>
      </tp>
      <tp>
        <v>0</v>
        <stp/>
        <stp>OPEN_INT</stp>
        <stp>BZQ</stp>
        <tr r="G51" s="1"/>
      </tp>
      <tp t="s">
        <v>N/A</v>
        <stp/>
        <stp>LAST</stp>
        <stp>.TAN201120P75.5</stp>
        <tr r="E673" s="1"/>
      </tp>
      <tp t="s">
        <v>N/A</v>
        <stp/>
        <stp>LAST</stp>
        <stp>.TAN201120C75.5</stp>
        <tr r="E672" s="1"/>
      </tp>
      <tp t="s">
        <v>N/A</v>
        <stp/>
        <stp>PROB_OF_EXPIRING</stp>
        <stp>.DIA201120P297.5</stp>
        <tr r="T80" s="1"/>
      </tp>
      <tp>
        <v>0.25</v>
        <stp/>
        <stp>OPEN</stp>
        <stp>.SH201120C19</stp>
        <tr r="L543" s="1"/>
      </tp>
      <tp t="s">
        <v>N/A</v>
        <stp/>
        <stp>VEGA</stp>
        <stp>.EWZ201120P31.5</stp>
        <tr r="P174" s="1"/>
      </tp>
      <tp t="s">
        <v>N/A</v>
        <stp/>
        <stp>VEGA</stp>
        <stp>.EWY201120P71.5</stp>
        <tr r="P163" s="1"/>
      </tp>
      <tp t="s">
        <v>N/A</v>
        <stp/>
        <stp>VEGA</stp>
        <stp>.EWZ201120C31.5</stp>
        <tr r="P173" s="1"/>
      </tp>
      <tp t="s">
        <v>N/A</v>
        <stp/>
        <stp>VEGA</stp>
        <stp>.EWY201120C71.5</stp>
        <tr r="P162" s="1"/>
      </tp>
      <tp t="s">
        <v>N/A</v>
        <stp/>
        <stp>IMPL_VOL</stp>
        <stp>.IWM201120C172.5</stp>
        <tr r="D352" s="1"/>
      </tp>
      <tp t="s">
        <v>N/A</v>
        <stp/>
        <stp>PROB_OF_TOUCHING</stp>
        <stp>.DIA201120P292.5</stp>
        <tr r="V68" s="1"/>
      </tp>
      <tp t="s">
        <v>N/A</v>
        <stp/>
        <stp>PROB_OTM</stp>
        <stp>.MDY201120P382.5</stp>
        <tr r="U418" s="1"/>
      </tp>
      <tp>
        <v>0</v>
        <stp/>
        <stp>LAST</stp>
        <stp>.VT201120P87</stp>
        <tr r="E738" s="1"/>
      </tp>
      <tp>
        <v>0</v>
        <stp/>
        <stp>LAST</stp>
        <stp>.VT201120P86</stp>
        <tr r="E736" s="1"/>
      </tp>
      <tp t="s">
        <v>N/A</v>
        <stp/>
        <stp>LAST</stp>
        <stp>.XRT201120C55.5</stp>
        <tr r="E909" s="1"/>
      </tp>
      <tp>
        <v>1.4</v>
        <stp/>
        <stp>LAST</stp>
        <stp>.XHB201120P55.5</stp>
        <tr r="E784" s="1"/>
      </tp>
      <tp t="s">
        <v>N/A</v>
        <stp/>
        <stp>LAST</stp>
        <stp>.XLI201120P85.5</stp>
        <tr r="E821" s="1"/>
      </tp>
      <tp t="s">
        <v>N/A</v>
        <stp/>
        <stp>LAST</stp>
        <stp>.XRT201120P55.5</stp>
        <tr r="E910" s="1"/>
      </tp>
      <tp>
        <v>0.95</v>
        <stp/>
        <stp>LAST</stp>
        <stp>.XHB201120C55.5</stp>
        <tr r="E783" s="1"/>
      </tp>
      <tp>
        <v>0.54</v>
        <stp/>
        <stp>LAST</stp>
        <stp>.XLI201120C85.5</stp>
        <tr r="E820" s="1"/>
      </tp>
      <tp t="s">
        <v>N/A</v>
        <stp/>
        <stp>PROB_OF_TOUCHING</stp>
        <stp>.XLK201120P123</stp>
        <tr r="V840" s="1"/>
      </tp>
      <tp t="s">
        <v>N/A</v>
        <stp/>
        <stp>PROB_OF_TOUCHING</stp>
        <stp>.XLK201120C123</stp>
        <tr r="V839" s="1"/>
      </tp>
      <tp t="s">
        <v>N/A</v>
        <stp/>
        <stp>PROB_OF_TOUCHING</stp>
        <stp>.XLK201120P122</stp>
        <tr r="V836" s="1"/>
      </tp>
      <tp t="s">
        <v>N/A</v>
        <stp/>
        <stp>PROB_OF_TOUCHING</stp>
        <stp>.XLK201120C122</stp>
        <tr r="V835" s="1"/>
      </tp>
      <tp t="s">
        <v>N/A</v>
        <stp/>
        <stp>PROB_OF_TOUCHING</stp>
        <stp>.XLK201120P121</stp>
        <tr r="V832" s="1"/>
      </tp>
      <tp t="s">
        <v>N/A</v>
        <stp/>
        <stp>PROB_OF_TOUCHING</stp>
        <stp>.XLK201120C121</stp>
        <tr r="V831" s="1"/>
      </tp>
      <tp t="s">
        <v>N/A</v>
        <stp/>
        <stp>PROB_OF_TOUCHING</stp>
        <stp>.XLK201120P120</stp>
        <tr r="V828" s="1"/>
      </tp>
      <tp t="s">
        <v>N/A</v>
        <stp/>
        <stp>PROB_OF_TOUCHING</stp>
        <stp>.XLK201120C120</stp>
        <tr r="V827" s="1"/>
      </tp>
      <tp t="s">
        <v>N/A</v>
        <stp/>
        <stp>PROB_OF_EXPIRING</stp>
        <stp>.DIA201120C297.5</stp>
        <tr r="T79" s="1"/>
      </tp>
      <tp t="s">
        <v>N/A</v>
        <stp/>
        <stp>PROB_OF_TOUCHING</stp>
        <stp>.JNK201120P107</stp>
        <tr r="V384" s="1"/>
      </tp>
      <tp t="s">
        <v>N/A</v>
        <stp/>
        <stp>PROB_OF_TOUCHING</stp>
        <stp>.JNK201120C107</stp>
        <tr r="V383" s="1"/>
      </tp>
      <tp t="s">
        <v>N/A</v>
        <stp/>
        <stp>PROB_OF_TOUCHING</stp>
        <stp>.IJH201120P210</stp>
        <tr r="V273" s="1"/>
      </tp>
      <tp t="s">
        <v>N/A</v>
        <stp/>
        <stp>PROB_OF_TOUCHING</stp>
        <stp>.IJH201120C210</stp>
        <tr r="V272" s="1"/>
      </tp>
      <tp t="s">
        <v>N/A</v>
        <stp/>
        <stp>VEGA</stp>
        <stp>.SSO201120P81.5</stp>
        <tr r="P646" s="1"/>
      </tp>
      <tp t="s">
        <v>N/A</v>
        <stp/>
        <stp>VEGA</stp>
        <stp>.SSO201120C81.5</stp>
        <tr r="P645" s="1"/>
      </tp>
      <tp t="s">
        <v>N/A</v>
        <stp/>
        <stp>INTRINSIC</stp>
        <stp>HYLB</stp>
        <tr r="R225" s="1"/>
      </tp>
      <tp t="s">
        <v>N/A</v>
        <stp/>
        <stp>IMPL_VOL</stp>
        <stp>.IWM201120P172.5</stp>
        <tr r="D353" s="1"/>
      </tp>
      <tp t="s">
        <v>N/A</v>
        <stp/>
        <stp>EXTRINSIC</stp>
        <stp>HYLB</stp>
        <tr r="S225" s="1"/>
      </tp>
      <tp>
        <v>38</v>
        <stp/>
        <stp>OPEN_INT</stp>
        <stp>.SMH201120C193</stp>
        <tr r="G554" s="1"/>
      </tp>
      <tp>
        <v>22</v>
        <stp/>
        <stp>OPEN_INT</stp>
        <stp>.SMH201120P193</stp>
        <tr r="G555" s="1"/>
      </tp>
      <tp>
        <v>698</v>
        <stp/>
        <stp>OPEN_INT</stp>
        <stp>.SMH201120C195</stp>
        <tr r="G562" s="1"/>
      </tp>
      <tp>
        <v>78</v>
        <stp/>
        <stp>OPEN_INT</stp>
        <stp>.SMH201120P195</stp>
        <tr r="G563" s="1"/>
      </tp>
      <tp>
        <v>356</v>
        <stp/>
        <stp>OPEN_INT</stp>
        <stp>.SMH201120C194</stp>
        <tr r="G558" s="1"/>
      </tp>
      <tp>
        <v>334</v>
        <stp/>
        <stp>OPEN_INT</stp>
        <stp>.SMH201120P194</stp>
        <tr r="G559" s="1"/>
      </tp>
      <tp>
        <v>0</v>
        <stp/>
        <stp>OPEN_INT</stp>
        <stp>.SMH201120C197</stp>
        <tr r="G570" s="1"/>
      </tp>
      <tp>
        <v>0</v>
        <stp/>
        <stp>OPEN_INT</stp>
        <stp>.SMH201120P197</stp>
        <tr r="G571" s="1"/>
      </tp>
      <tp>
        <v>0</v>
        <stp/>
        <stp>OPEN_INT</stp>
        <stp>.SMH201120C196</stp>
        <tr r="G566" s="1"/>
      </tp>
      <tp>
        <v>0</v>
        <stp/>
        <stp>OPEN_INT</stp>
        <stp>.SMH201120P196</stp>
        <tr r="G567" s="1"/>
      </tp>
      <tp>
        <v>0</v>
        <stp/>
        <stp>OPEN_INT</stp>
        <stp>.SMH201120C198</stp>
        <tr r="G574" s="1"/>
      </tp>
      <tp>
        <v>0</v>
        <stp/>
        <stp>OPEN_INT</stp>
        <stp>.SMH201120P198</stp>
        <tr r="G575" s="1"/>
      </tp>
      <tp t="s">
        <v>N/A</v>
        <stp/>
        <stp>PROB_OTM</stp>
        <stp>.MDY201120C382.5</stp>
        <tr r="U417" s="1"/>
      </tp>
      <tp t="s">
        <v>N/A</v>
        <stp/>
        <stp>PROB_OF_TOUCHING</stp>
        <stp>.DIA201120C292.5</stp>
        <tr r="V67" s="1"/>
      </tp>
      <tp>
        <v>0.41</v>
        <stp/>
        <stp>LAST</stp>
        <stp>.HYG201120C85.5</stp>
        <tr r="E221" s="1"/>
      </tp>
      <tp>
        <v>0.75</v>
        <stp/>
        <stp>LAST</stp>
        <stp>.HYG201120P85.5</stp>
        <tr r="E222" s="1"/>
      </tp>
      <tp>
        <v>1.19</v>
        <stp/>
        <stp>LAST</stp>
        <stp>.ITB201120C55.5</stp>
        <tr r="E293" s="1"/>
      </tp>
      <tp t="s">
        <v>N/A</v>
        <stp/>
        <stp>LAST</stp>
        <stp>.IYR201120C85.5</stp>
        <tr r="E373" s="1"/>
      </tp>
      <tp t="s">
        <v>N/A</v>
        <stp/>
        <stp>LAST</stp>
        <stp>.ITB201120P55.5</stp>
        <tr r="E294" s="1"/>
      </tp>
      <tp t="s">
        <v>N/A</v>
        <stp/>
        <stp>LAST</stp>
        <stp>.IYR201120P85.5</stp>
        <tr r="E374" s="1"/>
      </tp>
      <tp t="s">
        <v>N/A</v>
        <stp/>
        <stp>LOW</stp>
        <stp>.TAN201120P74.5</stp>
        <tr r="K669" s="1"/>
      </tp>
      <tp t="s">
        <v>N/A</v>
        <stp/>
        <stp>LOW</stp>
        <stp>.TAN201120C74.5</stp>
        <tr r="K668" s="1"/>
      </tp>
      <tp t="s">
        <v>N/A</v>
        <stp/>
        <stp>STRIKE</stp>
        <stp>.SPYG201120P52</stp>
        <tr r="W631" s="1"/>
      </tp>
      <tp t="s">
        <v>N/A</v>
        <stp/>
        <stp>STRIKE</stp>
        <stp>.SPYG201120P53</stp>
        <tr r="W633" s="1"/>
      </tp>
      <tp t="s">
        <v>N/A</v>
        <stp/>
        <stp>STRIKE</stp>
        <stp>.SHYG201120P45</stp>
        <tr r="W550" s="1"/>
      </tp>
      <tp t="s">
        <v>N/A</v>
        <stp/>
        <stp>LOW</stp>
        <stp>.SSO201120C84.5</stp>
        <tr r="K657" s="1"/>
      </tp>
      <tp t="s">
        <v>N/A</v>
        <stp/>
        <stp>LOW</stp>
        <stp>.SSO201120P84.5</stp>
        <tr r="K658" s="1"/>
      </tp>
      <tp t="s">
        <v>N/A</v>
        <stp/>
        <stp>PUT_CALL_RATIO</stp>
        <stp>.XLRE201120P37</stp>
        <tr r="C848" s="1"/>
      </tp>
      <tp t="s">
        <v>N/A</v>
        <stp/>
        <stp>PUT_CALL_RATIO</stp>
        <stp>.DGRO201120P43</stp>
        <tr r="C61" s="1"/>
      </tp>
      <tp>
        <v>929</v>
        <stp/>
        <stp>VOLUME</stp>
        <stp>.JETS201120C20</stp>
        <tr r="F378" s="1"/>
      </tp>
      <tp t="s">
        <v>N/A</v>
        <stp/>
        <stp>ASK</stp>
        <stp>.FEZ201120C39.5</stp>
        <tr r="I181" s="1"/>
      </tp>
      <tp>
        <v>0.85</v>
        <stp/>
        <stp>ASK</stp>
        <stp>.FEZ201120P39.5</stp>
        <tr r="I182" s="1"/>
      </tp>
      <tp t="s">
        <v>N/A</v>
        <stp/>
        <stp>LOW</stp>
        <stp>.XLI201120P84.5</stp>
        <tr r="K817" s="1"/>
      </tp>
      <tp>
        <v>1.4</v>
        <stp/>
        <stp>LOW</stp>
        <stp>.XLE201120P34.5</stp>
        <tr r="K809" s="1"/>
      </tp>
      <tp t="s">
        <v>N/A</v>
        <stp/>
        <stp>LOW</stp>
        <stp>.XRT201120C54.5</stp>
        <tr r="K905" s="1"/>
      </tp>
      <tp t="s">
        <v>N/A</v>
        <stp/>
        <stp>LOW</stp>
        <stp>.XLI201120C84.5</stp>
        <tr r="K816" s="1"/>
      </tp>
      <tp>
        <v>0.2</v>
        <stp/>
        <stp>LOW</stp>
        <stp>.XLE201120C34.5</stp>
        <tr r="K808" s="1"/>
      </tp>
      <tp t="s">
        <v>N/A</v>
        <stp/>
        <stp>LOW</stp>
        <stp>.XRT201120P54.5</stp>
        <tr r="K906" s="1"/>
      </tp>
      <tp t="s">
        <v>N/A</v>
        <stp/>
        <stp>ASK</stp>
        <stp>.EWW201120P39.5</stp>
        <tr r="I160" s="1"/>
      </tp>
      <tp t="s">
        <v>N/A</v>
        <stp/>
        <stp>ASK</stp>
        <stp>.EFA201120C69.5</stp>
        <tr r="I104" s="1"/>
      </tp>
      <tp t="s">
        <v>N/A</v>
        <stp/>
        <stp>ASK</stp>
        <stp>.EFA201120P69.5</stp>
        <tr r="I105" s="1"/>
      </tp>
      <tp t="s">
        <v>N/A</v>
        <stp/>
        <stp>ASK</stp>
        <stp>.EWW201120C39.5</stp>
        <tr r="I159" s="1"/>
      </tp>
      <tp t="s">
        <v>N/A</v>
        <stp/>
        <stp>EXTRINSIC</stp>
        <stp>.EMB201120C114</stp>
        <tr r="S112" s="1"/>
      </tp>
      <tp t="s">
        <v>N/A</v>
        <stp/>
        <stp>EXTRINSIC</stp>
        <stp>.EMB201120P114</stp>
        <tr r="S113" s="1"/>
      </tp>
      <tp t="s">
        <v>N/A</v>
        <stp/>
        <stp>INTRINSIC</stp>
        <stp>.IGV201120C315</stp>
        <tr r="R265" s="1"/>
      </tp>
      <tp t="s">
        <v>N/A</v>
        <stp/>
        <stp>INTRINSIC</stp>
        <stp>.IGV201120P315</stp>
        <tr r="R266" s="1"/>
      </tp>
      <tp t="s">
        <v>N/A</v>
        <stp/>
        <stp>EXTRINSIC</stp>
        <stp>.MUB201120P116</stp>
        <tr r="S437" s="1"/>
      </tp>
      <tp t="s">
        <v>N/A</v>
        <stp/>
        <stp>EXTRINSIC</stp>
        <stp>.MUB201120C116</stp>
        <tr r="S436" s="1"/>
      </tp>
      <tp t="s">
        <v>N/A</v>
        <stp/>
        <stp>INTRINSIC</stp>
        <stp>.IGV201120C325</stp>
        <tr r="R269" s="1"/>
      </tp>
      <tp t="s">
        <v>N/A</v>
        <stp/>
        <stp>INTRINSIC</stp>
        <stp>.IGV201120P325</stp>
        <tr r="R270" s="1"/>
      </tp>
      <tp>
        <v>0.72</v>
        <stp/>
        <stp>ASK</stp>
        <stp>.XLB201120C69.5</stp>
        <tr r="I792" s="1"/>
      </tp>
      <tp t="s">
        <v>N/A</v>
        <stp/>
        <stp>ASK</stp>
        <stp>.XOP201120C49.5</stp>
        <tr r="I900" s="1"/>
      </tp>
      <tp t="s">
        <v>N/A</v>
        <stp/>
        <stp>INTRINSIC</stp>
        <stp>.IGV201120C320</stp>
        <tr r="R267" s="1"/>
      </tp>
      <tp t="s">
        <v>N/A</v>
        <stp/>
        <stp>INTRINSIC</stp>
        <stp>.IGV201120P320</stp>
        <tr r="R268" s="1"/>
      </tp>
      <tp>
        <v>3.65</v>
        <stp/>
        <stp>ASK</stp>
        <stp>.XOP201120P49.5</stp>
        <tr r="I901" s="1"/>
      </tp>
      <tp t="s">
        <v>N/A</v>
        <stp/>
        <stp>ASK</stp>
        <stp>.XLB201120P69.5</stp>
        <tr r="I793" s="1"/>
      </tp>
      <tp t="s">
        <v>N/A</v>
        <stp/>
        <stp>STRIKE</stp>
        <stp>.SPYV201120P33</stp>
        <tr r="W636" s="1"/>
      </tp>
      <tp t="s">
        <v>N/A</v>
        <stp/>
        <stp>EXTRINSIC</stp>
        <stp>.IBB201120C139</stp>
        <tr r="S233" s="1"/>
      </tp>
      <tp t="s">
        <v>N/A</v>
        <stp/>
        <stp>EXTRINSIC</stp>
        <stp>.IBB201120P139</stp>
        <tr r="S234" s="1"/>
      </tp>
      <tp t="s">
        <v>N/A</v>
        <stp/>
        <stp>EXTRINSIC</stp>
        <stp>.IBB201120C138</stp>
        <tr r="S229" s="1"/>
      </tp>
      <tp t="s">
        <v>N/A</v>
        <stp/>
        <stp>EXTRINSIC</stp>
        <stp>.IBB201120P138</stp>
        <tr r="S230" s="1"/>
      </tp>
      <tp t="s">
        <v>N/A</v>
        <stp/>
        <stp>EXTRINSIC</stp>
        <stp>.IBB201120C141</stp>
        <tr r="S241" s="1"/>
      </tp>
      <tp t="s">
        <v>N/A</v>
        <stp/>
        <stp>EXTRINSIC</stp>
        <stp>.IBB201120P141</stp>
        <tr r="S242" s="1"/>
      </tp>
      <tp t="s">
        <v>N/A</v>
        <stp/>
        <stp>EXTRINSIC</stp>
        <stp>.IBB201120C140</stp>
        <tr r="S237" s="1"/>
      </tp>
      <tp t="s">
        <v>N/A</v>
        <stp/>
        <stp>EXTRINSIC</stp>
        <stp>.IBB201120P140</stp>
        <tr r="S238" s="1"/>
      </tp>
      <tp t="s">
        <v>N/A</v>
        <stp/>
        <stp>INTRINSIC</stp>
        <stp>.IVV201120P359</stp>
        <tr r="R323" s="1"/>
      </tp>
      <tp t="s">
        <v>N/A</v>
        <stp/>
        <stp>INTRINSIC</stp>
        <stp>.IVV201120C359</stp>
        <tr r="R322" s="1"/>
      </tp>
      <tp t="s">
        <v>N/A</v>
        <stp/>
        <stp>INTRINSIC</stp>
        <stp>.IVV201120P358</stp>
        <tr r="R321" s="1"/>
      </tp>
      <tp t="s">
        <v>N/A</v>
        <stp/>
        <stp>INTRINSIC</stp>
        <stp>.IVV201120C358</stp>
        <tr r="R320" s="1"/>
      </tp>
      <tp t="s">
        <v>N/A</v>
        <stp/>
        <stp>INTRINSIC</stp>
        <stp>.IVV201120P355</stp>
        <tr r="R313" s="1"/>
      </tp>
      <tp t="s">
        <v>N/A</v>
        <stp/>
        <stp>INTRINSIC</stp>
        <stp>.IVV201120C355</stp>
        <tr r="R312" s="1"/>
      </tp>
      <tp t="s">
        <v>N/A</v>
        <stp/>
        <stp>INTRINSIC</stp>
        <stp>.IVV201120P354</stp>
        <tr r="R311" s="1"/>
      </tp>
      <tp t="s">
        <v>N/A</v>
        <stp/>
        <stp>INTRINSIC</stp>
        <stp>.IVV201120C354</stp>
        <tr r="R310" s="1"/>
      </tp>
      <tp t="s">
        <v>N/A</v>
        <stp/>
        <stp>INTRINSIC</stp>
        <stp>.IVV201120P357</stp>
        <tr r="R317" s="1"/>
      </tp>
      <tp t="s">
        <v>N/A</v>
        <stp/>
        <stp>INTRINSIC</stp>
        <stp>.IVV201120C357</stp>
        <tr r="R316" s="1"/>
      </tp>
      <tp t="s">
        <v>N/A</v>
        <stp/>
        <stp>INTRINSIC</stp>
        <stp>.IVV201120P356</stp>
        <tr r="R315" s="1"/>
      </tp>
      <tp t="s">
        <v>N/A</v>
        <stp/>
        <stp>INTRINSIC</stp>
        <stp>.IVV201120C356</stp>
        <tr r="R314" s="1"/>
      </tp>
      <tp t="s">
        <v>N/A</v>
        <stp/>
        <stp>INTRINSIC</stp>
        <stp>.TLT201120C155</stp>
        <tr r="R690" s="1"/>
      </tp>
      <tp t="s">
        <v>N/A</v>
        <stp/>
        <stp>INTRINSIC</stp>
        <stp>.TLT201120P155</stp>
        <tr r="R691" s="1"/>
      </tp>
      <tp t="s">
        <v>N/A</v>
        <stp/>
        <stp>INTRINSIC</stp>
        <stp>.TLT201120C156</stp>
        <tr r="R694" s="1"/>
      </tp>
      <tp t="s">
        <v>N/A</v>
        <stp/>
        <stp>INTRINSIC</stp>
        <stp>.TLT201120P156</stp>
        <tr r="R695" s="1"/>
      </tp>
      <tp t="s">
        <v>N/A</v>
        <stp/>
        <stp>INTRINSIC</stp>
        <stp>.IVV201120P361</stp>
        <tr r="R327" s="1"/>
      </tp>
      <tp t="s">
        <v>N/A</v>
        <stp/>
        <stp>INTRINSIC</stp>
        <stp>.IVV201120C361</stp>
        <tr r="R326" s="1"/>
      </tp>
      <tp t="s">
        <v>N/A</v>
        <stp/>
        <stp>INTRINSIC</stp>
        <stp>.IVV201120P360</stp>
        <tr r="R325" s="1"/>
      </tp>
      <tp t="s">
        <v>N/A</v>
        <stp/>
        <stp>INTRINSIC</stp>
        <stp>.IVV201120C360</stp>
        <tr r="R324" s="1"/>
      </tp>
      <tp t="s">
        <v>N/A</v>
        <stp/>
        <stp>INTRINSIC</stp>
        <stp>.IVV201120P362</stp>
        <tr r="R329" s="1"/>
      </tp>
      <tp t="s">
        <v>N/A</v>
        <stp/>
        <stp>INTRINSIC</stp>
        <stp>.IVV201120C362</stp>
        <tr r="R328" s="1"/>
      </tp>
      <tp t="s">
        <v>N/A</v>
        <stp/>
        <stp>EXTRINSIC</stp>
        <stp>.DIA201120C291</stp>
        <tr r="S63" s="1"/>
      </tp>
      <tp t="s">
        <v>N/A</v>
        <stp/>
        <stp>EXTRINSIC</stp>
        <stp>.DIA201120P291</stp>
        <tr r="S64" s="1"/>
      </tp>
      <tp t="s">
        <v>N/A</v>
        <stp/>
        <stp>EXTRINSIC</stp>
        <stp>.DIA201120C292</stp>
        <tr r="S65" s="1"/>
      </tp>
      <tp t="s">
        <v>N/A</v>
        <stp/>
        <stp>EXTRINSIC</stp>
        <stp>.DIA201120P292</stp>
        <tr r="S66" s="1"/>
      </tp>
      <tp t="s">
        <v>N/A</v>
        <stp/>
        <stp>EXTRINSIC</stp>
        <stp>.DIA201120C293</stp>
        <tr r="S69" s="1"/>
      </tp>
      <tp t="s">
        <v>N/A</v>
        <stp/>
        <stp>EXTRINSIC</stp>
        <stp>.DIA201120P293</stp>
        <tr r="S70" s="1"/>
      </tp>
      <tp t="s">
        <v>N/A</v>
        <stp/>
        <stp>EXTRINSIC</stp>
        <stp>.DIA201120C294</stp>
        <tr r="S71" s="1"/>
      </tp>
      <tp t="s">
        <v>N/A</v>
        <stp/>
        <stp>EXTRINSIC</stp>
        <stp>.DIA201120P294</stp>
        <tr r="S72" s="1"/>
      </tp>
      <tp t="s">
        <v>N/A</v>
        <stp/>
        <stp>EXTRINSIC</stp>
        <stp>.DIA201120C295</stp>
        <tr r="S73" s="1"/>
      </tp>
      <tp t="s">
        <v>N/A</v>
        <stp/>
        <stp>EXTRINSIC</stp>
        <stp>.DIA201120P295</stp>
        <tr r="S74" s="1"/>
      </tp>
      <tp t="s">
        <v>N/A</v>
        <stp/>
        <stp>EXTRINSIC</stp>
        <stp>.DIA201120C296</stp>
        <tr r="S75" s="1"/>
      </tp>
      <tp t="s">
        <v>N/A</v>
        <stp/>
        <stp>EXTRINSIC</stp>
        <stp>.DIA201120P296</stp>
        <tr r="S76" s="1"/>
      </tp>
      <tp t="s">
        <v>N/A</v>
        <stp/>
        <stp>EXTRINSIC</stp>
        <stp>.DIA201120C297</stp>
        <tr r="S77" s="1"/>
      </tp>
      <tp t="s">
        <v>N/A</v>
        <stp/>
        <stp>EXTRINSIC</stp>
        <stp>.DIA201120P297</stp>
        <tr r="S78" s="1"/>
      </tp>
      <tp t="s">
        <v>N/A</v>
        <stp/>
        <stp>LOW</stp>
        <stp>.IYR201120C84.5</stp>
        <tr r="K369" s="1"/>
      </tp>
      <tp t="s">
        <v>N/A</v>
        <stp/>
        <stp>LOW</stp>
        <stp>.ITB201120C54.5</stp>
        <tr r="K289" s="1"/>
      </tp>
      <tp t="s">
        <v>N/A</v>
        <stp/>
        <stp>LOW</stp>
        <stp>.IYR201120P84.5</stp>
        <tr r="K370" s="1"/>
      </tp>
      <tp t="s">
        <v>N/A</v>
        <stp/>
        <stp>LOW</stp>
        <stp>.ITB201120P54.5</stp>
        <tr r="K290" s="1"/>
      </tp>
      <tp>
        <v>4.3</v>
        <stp/>
        <stp>BID</stp>
        <stp>.TAN201120P77</stp>
        <tr r="H679" s="1"/>
      </tp>
      <tp>
        <v>3.6</v>
        <stp/>
        <stp>BID</stp>
        <stp>.TAN201120P76</stp>
        <tr r="H675" s="1"/>
      </tp>
      <tp>
        <v>3.1</v>
        <stp/>
        <stp>BID</stp>
        <stp>.TAN201120P75</stp>
        <tr r="H671" s="1"/>
      </tp>
      <tp>
        <v>2.5</v>
        <stp/>
        <stp>BID</stp>
        <stp>.TAN201120P74</stp>
        <tr r="H667" s="1"/>
      </tp>
      <tp>
        <v>2</v>
        <stp/>
        <stp>BID</stp>
        <stp>.TAN201120P73</stp>
        <tr r="H663" s="1"/>
      </tp>
      <tp t="s">
        <v>N/A</v>
        <stp/>
        <stp>LOW</stp>
        <stp>.TAN201120C73</stp>
        <tr r="K662" s="1"/>
      </tp>
      <tp>
        <v>1.75</v>
        <stp/>
        <stp>LOW</stp>
        <stp>.TAN201120C75</stp>
        <tr r="K670" s="1"/>
      </tp>
      <tp>
        <v>3.12</v>
        <stp/>
        <stp>LOW</stp>
        <stp>.TAN201120C74</stp>
        <tr r="K666" s="1"/>
      </tp>
      <tp>
        <v>1.1000000000000001</v>
        <stp/>
        <stp>LOW</stp>
        <stp>.TAN201120C77</stp>
        <tr r="K678" s="1"/>
      </tp>
      <tp t="s">
        <v>N/A</v>
        <stp/>
        <stp>LOW</stp>
        <stp>.TAN201120C76</stp>
        <tr r="K674" s="1"/>
      </tp>
      <tp t="s">
        <v>N/A</v>
        <stp/>
        <stp>STRIKE</stp>
        <stp>INDY</stp>
        <tr r="W285" s="1"/>
      </tp>
      <tp t="s">
        <v>N/A</v>
        <stp/>
        <stp>STRIKE</stp>
        <stp>INDA</stp>
        <tr r="W280" s="1"/>
      </tp>
      <tp t="s">
        <v>N/A</v>
        <stp/>
        <stp>RHO</stp>
        <stp>.HYG201120C86</stp>
        <tr r="Q223" s="1"/>
      </tp>
      <tp>
        <v>0.27</v>
        <stp/>
        <stp>BID</stp>
        <stp>.KRE201120C47</stp>
        <tr r="H393" s="1"/>
      </tp>
      <tp>
        <v>0.7</v>
        <stp/>
        <stp>BID</stp>
        <stp>.KRE201120C46</stp>
        <tr r="H389" s="1"/>
      </tp>
      <tp>
        <v>1.86</v>
        <stp/>
        <stp>LOW</stp>
        <stp>.KRE201120P47</stp>
        <tr r="K394" s="1"/>
      </tp>
      <tp>
        <v>1.06</v>
        <stp/>
        <stp>LOW</stp>
        <stp>.KRE201120P46</stp>
        <tr r="K390" s="1"/>
      </tp>
      <tp t="s">
        <v>N/A</v>
        <stp/>
        <stp>RHO</stp>
        <stp>.VYM201120C87</stp>
        <tr r="Q759" s="1"/>
      </tp>
      <tp t="s">
        <v>N/A</v>
        <stp/>
        <stp>RHO</stp>
        <stp>.VYM201120C88</stp>
        <tr r="Q761" s="1"/>
      </tp>
      <tp t="s">
        <v>N/A</v>
        <stp/>
        <stp>RHO</stp>
        <stp>.IYE201120C18</stp>
        <tr r="Q364" s="1"/>
      </tp>
      <tp t="s">
        <v>N/A</v>
        <stp/>
        <stp>ASK</stp>
        <stp>.VNQ201120P84</stp>
        <tr r="I726" s="1"/>
      </tp>
      <tp t="s">
        <v>N/A</v>
        <stp/>
        <stp>ASK</stp>
        <stp>.VNQ201120P85</stp>
        <tr r="I728" s="1"/>
      </tp>
      <tp>
        <v>1947213</v>
        <stp/>
        <stp>VOLUME</stp>
        <stp>EMLC</stp>
        <tr r="F114" s="1"/>
      </tp>
      <tp>
        <v>3190391</v>
        <stp/>
        <stp>VOLUME</stp>
        <stp>AMLP</stp>
        <tr r="F18" s="1"/>
      </tp>
      <tp t="s">
        <v>N/A</v>
        <stp/>
        <stp>DESCRIPTION</stp>
        <stp>.XHB201120P56</stp>
        <tr r="B786" s="1"/>
      </tp>
      <tp t="s">
        <v>N/A</v>
        <stp/>
        <stp>DESCRIPTION</stp>
        <stp>.XHB201120P55</stp>
        <tr r="B782" s="1"/>
      </tp>
      <tp>
        <v>5</v>
        <stp/>
        <stp>PUT_CALL_RATIO</stp>
        <stp>USMV</stp>
        <tr r="C698" s="1"/>
      </tp>
      <tp t="s">
        <v>N/A</v>
        <stp/>
        <stp>RHO</stp>
        <stp>.IYR201120C85</stp>
        <tr r="Q371" s="1"/>
      </tp>
      <tp t="s">
        <v>N/A</v>
        <stp/>
        <stp>RHO</stp>
        <stp>.IYR201120C84</stp>
        <tr r="Q367" s="1"/>
      </tp>
      <tp t="s">
        <v>N/A</v>
        <stp/>
        <stp>RHO</stp>
        <stp>.IJR201120P80</stp>
        <tr r="Q276" s="1"/>
      </tp>
      <tp>
        <v>4.3520000000000003</v>
        <stp/>
        <stp>PUT_CALL_RATIO</stp>
        <stp>ASHR</stp>
        <tr r="C43" s="1"/>
      </tp>
      <tp t="s">
        <v>N/A</v>
        <stp/>
        <stp>BID</stp>
        <stp>.XRT201120C55</stp>
        <tr r="H907" s="1"/>
      </tp>
      <tp t="s">
        <v>N/A</v>
        <stp/>
        <stp>BID</stp>
        <stp>.XRT201120C54</stp>
        <tr r="H903" s="1"/>
      </tp>
      <tp t="s">
        <v>N/A</v>
        <stp/>
        <stp>LOW</stp>
        <stp>.XRT201120P55</stp>
        <tr r="K908" s="1"/>
      </tp>
      <tp t="s">
        <v>N/A</v>
        <stp/>
        <stp>LOW</stp>
        <stp>.XRT201120P54</stp>
        <tr r="K904" s="1"/>
      </tp>
      <tp t="s">
        <v>N/A</v>
        <stp/>
        <stp>DESCRIPTION</stp>
        <stp>.XLY201120P154</stp>
        <tr r="B879" s="1"/>
      </tp>
      <tp t="s">
        <v>N/A</v>
        <stp/>
        <stp>DESCRIPTION</stp>
        <stp>.XLY201120C154</stp>
        <tr r="B878" s="1"/>
      </tp>
      <tp t="s">
        <v>N/A</v>
        <stp/>
        <stp>DESCRIPTION</stp>
        <stp>.XLY201120P155</stp>
        <tr r="B883" s="1"/>
      </tp>
      <tp t="s">
        <v>N/A</v>
        <stp/>
        <stp>DESCRIPTION</stp>
        <stp>.XLY201120C155</stp>
        <tr r="B882" s="1"/>
      </tp>
      <tp t="s">
        <v>N/A</v>
        <stp/>
        <stp>DESCRIPTION</stp>
        <stp>.XLY201120P152</stp>
        <tr r="B871" s="1"/>
      </tp>
      <tp t="s">
        <v>N/A</v>
        <stp/>
        <stp>DESCRIPTION</stp>
        <stp>.XLY201120C152</stp>
        <tr r="B870" s="1"/>
      </tp>
      <tp t="s">
        <v>N/A</v>
        <stp/>
        <stp>DESCRIPTION</stp>
        <stp>.XLY201120P153</stp>
        <tr r="B875" s="1"/>
      </tp>
      <tp t="s">
        <v>N/A</v>
        <stp/>
        <stp>DESCRIPTION</stp>
        <stp>.XLY201120C153</stp>
        <tr r="B874" s="1"/>
      </tp>
      <tp t="s">
        <v>N/A</v>
        <stp/>
        <stp>PROB_OTM</stp>
        <stp>.INDA201120C36.5</stp>
        <tr r="U283" s="1"/>
      </tp>
      <tp t="s">
        <v>N/A</v>
        <stp/>
        <stp>PROB_OTM</stp>
        <stp>.INDA201120P36.5</stp>
        <tr r="U284" s="1"/>
      </tp>
      <tp>
        <v>18</v>
        <stp/>
        <stp>VOLUME</stp>
        <stp>.KRE201120C46.5</stp>
        <tr r="F391" s="1"/>
      </tp>
      <tp>
        <v>0</v>
        <stp/>
        <stp>VOLUME</stp>
        <stp>.KRE201120P46.5</stp>
        <tr r="F392" s="1"/>
      </tp>
      <tp t="s">
        <v>N/A</v>
        <stp/>
        <stp>PROB_OF_EXPIRING</stp>
        <stp>VYM</stp>
        <tr r="T758" s="1"/>
      </tp>
      <tp>
        <v>415</v>
        <stp/>
        <stp>VOLUME</stp>
        <stp>.GDX201120P36.5</stp>
        <tr r="F197" s="1"/>
      </tp>
      <tp>
        <v>567</v>
        <stp/>
        <stp>VOLUME</stp>
        <stp>.GDX201120C36.5</stp>
        <tr r="F196" s="1"/>
      </tp>
      <tp t="s">
        <v>N/A</v>
        <stp/>
        <stp>PROB_OF_EXPIRING</stp>
        <stp>VWO</stp>
        <tr r="T748" s="1"/>
      </tp>
      <tp t="s">
        <v>N/A</v>
        <stp/>
        <stp>PROB_OF_EXPIRING</stp>
        <stp>VTI</stp>
        <tr r="T739" s="1"/>
      </tp>
      <tp t="s">
        <v>N/A</v>
        <stp/>
        <stp>EXTRINSIC</stp>
        <stp>.MTUM201120C150</stp>
        <tr r="S429" s="1"/>
      </tp>
      <tp t="s">
        <v>N/A</v>
        <stp/>
        <stp>EXTRINSIC</stp>
        <stp>.MTUM201120P150</stp>
        <tr r="S430" s="1"/>
      </tp>
      <tp t="s">
        <v>N/A</v>
        <stp/>
        <stp>EXTRINSIC</stp>
        <stp>.MTUM201120C151</stp>
        <tr r="S431" s="1"/>
      </tp>
      <tp t="s">
        <v>N/A</v>
        <stp/>
        <stp>EXTRINSIC</stp>
        <stp>.MTUM201120P151</stp>
        <tr r="S432" s="1"/>
      </tp>
      <tp t="s">
        <v>N/A</v>
        <stp/>
        <stp>EXTRINSIC</stp>
        <stp>.MTUM201120C152</stp>
        <tr r="S433" s="1"/>
      </tp>
      <tp t="s">
        <v>N/A</v>
        <stp/>
        <stp>EXTRINSIC</stp>
        <stp>.MTUM201120P152</stp>
        <tr r="S434" s="1"/>
      </tp>
      <tp t="s">
        <v>N/A</v>
        <stp/>
        <stp>INTRINSIC</stp>
        <stp>.MTUM201120P150</stp>
        <tr r="R430" s="1"/>
      </tp>
      <tp t="s">
        <v>N/A</v>
        <stp/>
        <stp>INTRINSIC</stp>
        <stp>.MTUM201120C150</stp>
        <tr r="R429" s="1"/>
      </tp>
      <tp t="s">
        <v>N/A</v>
        <stp/>
        <stp>INTRINSIC</stp>
        <stp>.MTUM201120P151</stp>
        <tr r="R432" s="1"/>
      </tp>
      <tp t="s">
        <v>N/A</v>
        <stp/>
        <stp>INTRINSIC</stp>
        <stp>.MTUM201120C151</stp>
        <tr r="R431" s="1"/>
      </tp>
      <tp t="s">
        <v>N/A</v>
        <stp/>
        <stp>INTRINSIC</stp>
        <stp>.MTUM201120P152</stp>
        <tr r="R434" s="1"/>
      </tp>
      <tp t="s">
        <v>N/A</v>
        <stp/>
        <stp>INTRINSIC</stp>
        <stp>.MTUM201120C152</stp>
        <tr r="R433" s="1"/>
      </tp>
      <tp t="s">
        <v>N/A</v>
        <stp/>
        <stp>INTRINSIC</stp>
        <stp>.MTUM201120P149</stp>
        <tr r="R428" s="1"/>
      </tp>
      <tp t="s">
        <v>N/A</v>
        <stp/>
        <stp>INTRINSIC</stp>
        <stp>.MTUM201120C149</stp>
        <tr r="R427" s="1"/>
      </tp>
      <tp t="s">
        <v>N/A</v>
        <stp/>
        <stp>EXTRINSIC</stp>
        <stp>.MTUM201120C149</stp>
        <tr r="S427" s="1"/>
      </tp>
      <tp t="s">
        <v>N/A</v>
        <stp/>
        <stp>EXTRINSIC</stp>
        <stp>.MTUM201120P149</stp>
        <tr r="S428" s="1"/>
      </tp>
      <tp t="s">
        <v>N/A</v>
        <stp/>
        <stp>PROB_OF_EXPIRING</stp>
        <stp>.JETS201120C19.5</stp>
        <tr r="T376" s="1"/>
      </tp>
      <tp t="s">
        <v>N/A</v>
        <stp/>
        <stp>PROB_OF_EXPIRING</stp>
        <stp>.JETS201120P19.5</stp>
        <tr r="T377" s="1"/>
      </tp>
      <tp t="s">
        <v>N/A</v>
        <stp/>
        <stp>PROB_OF_EXPIRING</stp>
        <stp>VNQ</stp>
        <tr r="T724" s="1"/>
      </tp>
      <tp t="s">
        <v>7.29%</v>
        <stp/>
        <stp>IMPL_VOL</stp>
        <stp>AGG</stp>
        <tr r="D15" s="1"/>
      </tp>
      <tp t="s">
        <v>N/A</v>
        <stp/>
        <stp>PROB_OF_EXPIRING</stp>
        <stp>VOO</stp>
        <tr r="T729" s="1"/>
      </tp>
      <tp t="s">
        <v>N/A</v>
        <stp/>
        <stp>PROB_OF_TOUCHING</stp>
        <stp>.ASHR201120P37.5</stp>
        <tr r="V45" s="1"/>
      </tp>
      <tp t="s">
        <v>N/A</v>
        <stp/>
        <stp>PROB_OF_TOUCHING</stp>
        <stp>.ASHR201120C37.5</stp>
        <tr r="V44" s="1"/>
      </tp>
      <tp t="s">
        <v>N/A</v>
        <stp/>
        <stp>VOLUME</stp>
        <stp>.XME201120P26.5</stp>
        <tr r="F886" s="1"/>
      </tp>
      <tp t="s">
        <v>N/A</v>
        <stp/>
        <stp>VOLUME</stp>
        <stp>.XLU201120P66.5</stp>
        <tr r="F853" s="1"/>
      </tp>
      <tp>
        <v>548</v>
        <stp/>
        <stp>VOLUME</stp>
        <stp>.XLP201120P66.5</stp>
        <tr r="F843" s="1"/>
      </tp>
      <tp>
        <v>349</v>
        <stp/>
        <stp>VOLUME</stp>
        <stp>.XLU201120C66.5</stp>
        <tr r="F852" s="1"/>
      </tp>
      <tp t="s">
        <v>N/A</v>
        <stp/>
        <stp>VOLUME</stp>
        <stp>.XLP201120C66.5</stp>
        <tr r="F842" s="1"/>
      </tp>
      <tp t="s">
        <v>N/A</v>
        <stp/>
        <stp>VOLUME</stp>
        <stp>.XME201120C26.5</stp>
        <tr r="F885" s="1"/>
      </tp>
      <tp t="s">
        <v>N/A</v>
        <stp/>
        <stp>PROB_OTM</stp>
        <stp>GDX</stp>
        <tr r="U195" s="1"/>
      </tp>
      <tp>
        <v>0</v>
        <stp/>
        <stp>VOLUME</stp>
        <stp>.VWO201120C46.5</stp>
        <tr r="F749" s="1"/>
      </tp>
      <tp>
        <v>0</v>
        <stp/>
        <stp>VOLUME</stp>
        <stp>.VWO201120P46.5</stp>
        <tr r="F750" s="1"/>
      </tp>
      <tp t="s">
        <v>N/A</v>
        <stp/>
        <stp>PROB_OF_EXPIRING</stp>
        <stp>VFH</stp>
        <tr r="T713" s="1"/>
      </tp>
      <tp t="s">
        <v>N/A</v>
        <stp/>
        <stp>PROB_OF_EXPIRING</stp>
        <stp>VGK</stp>
        <tr r="T721" s="1"/>
      </tp>
      <tp t="s">
        <v>N/A</v>
        <stp/>
        <stp>VOLUME</stp>
        <stp>.TAN201120P76.5</stp>
        <tr r="F677" s="1"/>
      </tp>
      <tp t="s">
        <v>N/A</v>
        <stp/>
        <stp>VOLUME</stp>
        <stp>.TAN201120C76.5</stp>
        <tr r="F676" s="1"/>
      </tp>
      <tp t="s">
        <v>N/A</v>
        <stp/>
        <stp>PROB_OF_EXPIRING</stp>
        <stp>VEA</stp>
        <tr r="T707" s="1"/>
      </tp>
      <tp t="s">
        <v>N/A</v>
        <stp/>
        <stp>PROB_OF_EXPIRING</stp>
        <stp>VEU</stp>
        <tr r="T710" s="1"/>
      </tp>
      <tp t="s">
        <v>N/A</v>
        <stp/>
        <stp>PROB_OF_TOUCHING</stp>
        <stp>AGG</stp>
        <tr r="V15" s="1"/>
      </tp>
      <tp t="s">
        <v>N/A</v>
        <stp/>
        <stp>VOLUME</stp>
        <stp>.SHY201120P86.5</stp>
        <tr r="F547" s="1"/>
      </tp>
      <tp t="s">
        <v>N/A</v>
        <stp/>
        <stp>VOLUME</stp>
        <stp>.SHY201120C86.5</stp>
        <tr r="F546" s="1"/>
      </tp>
      <tp t="s">
        <v>N/A</v>
        <stp/>
        <stp>LAST</stp>
        <stp>.TAN201120P76.5</stp>
        <tr r="E677" s="1"/>
      </tp>
      <tp t="s">
        <v>N/A</v>
        <stp/>
        <stp>LAST</stp>
        <stp>.TAN201120C76.5</stp>
        <tr r="E676" s="1"/>
      </tp>
      <tp t="s">
        <v>N/A</v>
        <stp/>
        <stp>PROB_OTM</stp>
        <stp>.JNK201120P106.5</stp>
        <tr r="U382" s="1"/>
      </tp>
      <tp>
        <v>0.68</v>
        <stp/>
        <stp>LAST</stp>
        <stp>.VWO201120C46.5</stp>
        <tr r="E749" s="1"/>
      </tp>
      <tp>
        <v>0.4</v>
        <stp/>
        <stp>LAST</stp>
        <stp>.VWO201120P46.5</stp>
        <tr r="E750" s="1"/>
      </tp>
      <tp t="s">
        <v>N/A</v>
        <stp/>
        <stp>IMPL_VOL</stp>
        <stp>.IBB201120P141.5</stp>
        <tr r="D244" s="1"/>
      </tp>
      <tp t="s">
        <v>N/A</v>
        <stp/>
        <stp>IMPL_VOL</stp>
        <stp>.LQD201120C134.5</stp>
        <tr r="D405" s="1"/>
      </tp>
      <tp t="s">
        <v>N/A</v>
        <stp/>
        <stp>OPEN_INT</stp>
        <stp>.XLY201120C154.5</stp>
        <tr r="G880" s="1"/>
      </tp>
      <tp t="s">
        <v>N/A</v>
        <stp/>
        <stp>VEGA</stp>
        <stp>.EWY201120P72.5</stp>
        <tr r="P167" s="1"/>
      </tp>
      <tp t="s">
        <v>N/A</v>
        <stp/>
        <stp>VEGA</stp>
        <stp>.EWY201120C72.5</stp>
        <tr r="P166" s="1"/>
      </tp>
      <tp t="s">
        <v>N/A</v>
        <stp/>
        <stp>LAST</stp>
        <stp>.SHY201120P86.5</stp>
        <tr r="E547" s="1"/>
      </tp>
      <tp t="s">
        <v>N/A</v>
        <stp/>
        <stp>LAST</stp>
        <stp>.SHY201120C86.5</stp>
        <tr r="E546" s="1"/>
      </tp>
      <tp t="s">
        <v>N/A</v>
        <stp/>
        <stp>PROB_OF_EXPIRING</stp>
        <stp>.IBB201120P139.5</stp>
        <tr r="T236" s="1"/>
      </tp>
      <tp>
        <v>7</v>
        <stp/>
        <stp>OPEN_INT</stp>
        <stp>.XBI201120C124.5</stp>
        <tr r="G774" s="1"/>
      </tp>
      <tp t="s">
        <v>N/A</v>
        <stp/>
        <stp>LAST</stp>
        <stp>.XLU201120P66.5</stp>
        <tr r="E853" s="1"/>
      </tp>
      <tp>
        <v>0.76</v>
        <stp/>
        <stp>LAST</stp>
        <stp>.XLP201120P66.5</stp>
        <tr r="E843" s="1"/>
      </tp>
      <tp t="s">
        <v>N/A</v>
        <stp/>
        <stp>LAST</stp>
        <stp>.XME201120P26.5</stp>
        <tr r="E886" s="1"/>
      </tp>
      <tp t="s">
        <v>N/A</v>
        <stp/>
        <stp>LAST</stp>
        <stp>.XME201120C26.5</stp>
        <tr r="E885" s="1"/>
      </tp>
      <tp>
        <v>0.35</v>
        <stp/>
        <stp>LAST</stp>
        <stp>.XLU201120C66.5</stp>
        <tr r="E852" s="1"/>
      </tp>
      <tp t="s">
        <v>N/A</v>
        <stp/>
        <stp>LAST</stp>
        <stp>.XLP201120C66.5</stp>
        <tr r="E842" s="1"/>
      </tp>
      <tp t="s">
        <v>N/A</v>
        <stp/>
        <stp>PROB_OF_EXPIRING</stp>
        <stp>.IEF201120P119.5</stp>
        <tr r="T250" s="1"/>
      </tp>
      <tp t="s">
        <v>N/A</v>
        <stp/>
        <stp>IMPL_VOL</stp>
        <stp>.VOO201120P325</stp>
        <tr r="D731" s="1"/>
      </tp>
      <tp t="s">
        <v>N/A</v>
        <stp/>
        <stp>IMPL_VOL</stp>
        <stp>.VOO201120C325</stp>
        <tr r="D730" s="1"/>
      </tp>
      <tp t="s">
        <v>N/A</v>
        <stp/>
        <stp>OPEN_INT</stp>
        <stp>.JNK201120C107</stp>
        <tr r="G383" s="1"/>
      </tp>
      <tp t="s">
        <v>N/A</v>
        <stp/>
        <stp>OPEN_INT</stp>
        <stp>.JNK201120P107</stp>
        <tr r="G384" s="1"/>
      </tp>
      <tp t="s">
        <v>N/A</v>
        <stp/>
        <stp>IMPL_VOL</stp>
        <stp>.IBB201120C141.5</stp>
        <tr r="D243" s="1"/>
      </tp>
      <tp t="s">
        <v>N/A</v>
        <stp/>
        <stp>IMPL_VOL</stp>
        <stp>.LQD201120P134.5</stp>
        <tr r="D406" s="1"/>
      </tp>
      <tp t="s">
        <v>N/A</v>
        <stp/>
        <stp>PROB_OTM</stp>
        <stp>.IVV201120C359</stp>
        <tr r="U322" s="1"/>
      </tp>
      <tp t="s">
        <v>N/A</v>
        <stp/>
        <stp>PROB_OTM</stp>
        <stp>.IVV201120P359</stp>
        <tr r="U323" s="1"/>
      </tp>
      <tp t="s">
        <v>N/A</v>
        <stp/>
        <stp>PROB_OTM</stp>
        <stp>.IVV201120C358</stp>
        <tr r="U320" s="1"/>
      </tp>
      <tp t="s">
        <v>N/A</v>
        <stp/>
        <stp>PROB_OTM</stp>
        <stp>.IVV201120P358</stp>
        <tr r="U321" s="1"/>
      </tp>
      <tp t="s">
        <v>N/A</v>
        <stp/>
        <stp>PROB_OTM</stp>
        <stp>.IVV201120C357</stp>
        <tr r="U316" s="1"/>
      </tp>
      <tp t="s">
        <v>N/A</v>
        <stp/>
        <stp>PROB_OTM</stp>
        <stp>.IVV201120P357</stp>
        <tr r="U317" s="1"/>
      </tp>
      <tp t="s">
        <v>N/A</v>
        <stp/>
        <stp>PROB_OTM</stp>
        <stp>.IVV201120C356</stp>
        <tr r="U314" s="1"/>
      </tp>
      <tp t="s">
        <v>N/A</v>
        <stp/>
        <stp>PROB_OTM</stp>
        <stp>.IVV201120P356</stp>
        <tr r="U315" s="1"/>
      </tp>
      <tp t="s">
        <v>N/A</v>
        <stp/>
        <stp>PROB_OTM</stp>
        <stp>.IVV201120C355</stp>
        <tr r="U312" s="1"/>
      </tp>
      <tp t="s">
        <v>N/A</v>
        <stp/>
        <stp>PROB_OTM</stp>
        <stp>.IVV201120P355</stp>
        <tr r="U313" s="1"/>
      </tp>
      <tp t="s">
        <v>N/A</v>
        <stp/>
        <stp>PROB_OTM</stp>
        <stp>.IVV201120C354</stp>
        <tr r="U310" s="1"/>
      </tp>
      <tp t="s">
        <v>N/A</v>
        <stp/>
        <stp>PROB_OTM</stp>
        <stp>.IVV201120P354</stp>
        <tr r="U311" s="1"/>
      </tp>
      <tp t="s">
        <v>N/A</v>
        <stp/>
        <stp>IMPL_VOL</stp>
        <stp>.VOO201120P330</stp>
        <tr r="D733" s="1"/>
      </tp>
      <tp t="s">
        <v>N/A</v>
        <stp/>
        <stp>PROB_OTM</stp>
        <stp>.TLT201120P156</stp>
        <tr r="U695" s="1"/>
      </tp>
      <tp t="s">
        <v>N/A</v>
        <stp/>
        <stp>IMPL_VOL</stp>
        <stp>.VOO201120C330</stp>
        <tr r="D732" s="1"/>
      </tp>
      <tp t="s">
        <v>N/A</v>
        <stp/>
        <stp>PROB_OTM</stp>
        <stp>.TLT201120C156</stp>
        <tr r="U694" s="1"/>
      </tp>
      <tp t="s">
        <v>N/A</v>
        <stp/>
        <stp>PROB_OTM</stp>
        <stp>.TLT201120P155</stp>
        <tr r="U691" s="1"/>
      </tp>
      <tp t="s">
        <v>N/A</v>
        <stp/>
        <stp>PROB_OTM</stp>
        <stp>.TLT201120C155</stp>
        <tr r="U690" s="1"/>
      </tp>
      <tp t="s">
        <v>N/A</v>
        <stp/>
        <stp>OPEN_INT</stp>
        <stp>.IJH201120C210</stp>
        <tr r="G272" s="1"/>
      </tp>
      <tp t="s">
        <v>N/A</v>
        <stp/>
        <stp>OPEN_INT</stp>
        <stp>.IJH201120P210</stp>
        <tr r="G273" s="1"/>
      </tp>
      <tp t="s">
        <v>N/A</v>
        <stp/>
        <stp>VEGA</stp>
        <stp>.RSX201120P22.5</stp>
        <tr r="P516" s="1"/>
      </tp>
      <tp>
        <v>406</v>
        <stp/>
        <stp>OPEN_INT</stp>
        <stp>.XLK201120C122</stp>
        <tr r="G835" s="1"/>
      </tp>
      <tp>
        <v>184</v>
        <stp/>
        <stp>OPEN_INT</stp>
        <stp>.XLK201120P122</stp>
        <tr r="G836" s="1"/>
      </tp>
      <tp t="s">
        <v>N/A</v>
        <stp/>
        <stp>PROB_OTM</stp>
        <stp>.IVV201120C362</stp>
        <tr r="U328" s="1"/>
      </tp>
      <tp>
        <v>248</v>
        <stp/>
        <stp>OPEN_INT</stp>
        <stp>.XLK201120C123</stp>
        <tr r="G839" s="1"/>
      </tp>
      <tp t="s">
        <v>N/A</v>
        <stp/>
        <stp>PROB_OTM</stp>
        <stp>.IVV201120P362</stp>
        <tr r="U329" s="1"/>
      </tp>
      <tp>
        <v>101</v>
        <stp/>
        <stp>OPEN_INT</stp>
        <stp>.XLK201120P123</stp>
        <tr r="G840" s="1"/>
      </tp>
      <tp t="s">
        <v>N/A</v>
        <stp/>
        <stp>PROB_OTM</stp>
        <stp>.IVV201120C361</stp>
        <tr r="U326" s="1"/>
      </tp>
      <tp>
        <v>1913</v>
        <stp/>
        <stp>OPEN_INT</stp>
        <stp>.XLK201120C120</stp>
        <tr r="G827" s="1"/>
      </tp>
      <tp t="s">
        <v>N/A</v>
        <stp/>
        <stp>PROB_OTM</stp>
        <stp>.IVV201120P361</stp>
        <tr r="U327" s="1"/>
      </tp>
      <tp>
        <v>1492</v>
        <stp/>
        <stp>OPEN_INT</stp>
        <stp>.XLK201120P120</stp>
        <tr r="G828" s="1"/>
      </tp>
      <tp t="s">
        <v>N/A</v>
        <stp/>
        <stp>PROB_OTM</stp>
        <stp>.IVV201120C360</stp>
        <tr r="U324" s="1"/>
      </tp>
      <tp>
        <v>886</v>
        <stp/>
        <stp>OPEN_INT</stp>
        <stp>.XLK201120C121</stp>
        <tr r="G831" s="1"/>
      </tp>
      <tp t="s">
        <v>N/A</v>
        <stp/>
        <stp>PROB_OTM</stp>
        <stp>.IVV201120P360</stp>
        <tr r="U325" s="1"/>
      </tp>
      <tp>
        <v>345</v>
        <stp/>
        <stp>OPEN_INT</stp>
        <stp>.XLK201120P121</stp>
        <tr r="G832" s="1"/>
      </tp>
      <tp t="s">
        <v>N/A</v>
        <stp/>
        <stp>VEGA</stp>
        <stp>.RSX201120C22.5</stp>
        <tr r="P515" s="1"/>
      </tp>
      <tp t="s">
        <v>N/A</v>
        <stp/>
        <stp>VEGA</stp>
        <stp>.SSO201120P82.5</stp>
        <tr r="P650" s="1"/>
      </tp>
      <tp>
        <v>0.47</v>
        <stp/>
        <stp>LAST</stp>
        <stp>.GDX201120P36.5</stp>
        <tr r="E197" s="1"/>
      </tp>
      <tp>
        <v>1.46</v>
        <stp/>
        <stp>LAST</stp>
        <stp>.GDX201120C36.5</stp>
        <tr r="E196" s="1"/>
      </tp>
      <tp t="s">
        <v>N/A</v>
        <stp/>
        <stp>VEGA</stp>
        <stp>.SSO201120C82.5</stp>
        <tr r="P649" s="1"/>
      </tp>
      <tp t="s">
        <v>N/A</v>
        <stp/>
        <stp>PROB_OTM</stp>
        <stp>.JNK201120C106.5</stp>
        <tr r="U381" s="1"/>
      </tp>
      <tp t="s">
        <v>N/A</v>
        <stp/>
        <stp>VEGA</stp>
        <stp>.TAN201120C72.5</stp>
        <tr r="P660" s="1"/>
      </tp>
      <tp t="s">
        <v>N/A</v>
        <stp/>
        <stp>VEGA</stp>
        <stp>.TAN201120P72.5</stp>
        <tr r="P661" s="1"/>
      </tp>
      <tp t="s">
        <v>N/A</v>
        <stp/>
        <stp>IMPL_VOL</stp>
        <stp>.IWM201120C175</stp>
        <tr r="D358" s="1"/>
      </tp>
      <tp t="s">
        <v>N/A</v>
        <stp/>
        <stp>IMPL_VOL</stp>
        <stp>.IWM201120P175</stp>
        <tr r="D359" s="1"/>
      </tp>
      <tp t="s">
        <v>N/A</v>
        <stp/>
        <stp>IMPL_VOL</stp>
        <stp>.IWM201120C174</stp>
        <tr r="D356" s="1"/>
      </tp>
      <tp t="s">
        <v>N/A</v>
        <stp/>
        <stp>IMPL_VOL</stp>
        <stp>.IWM201120P174</stp>
        <tr r="D357" s="1"/>
      </tp>
      <tp t="s">
        <v>N/A</v>
        <stp/>
        <stp>IMPL_VOL</stp>
        <stp>.IWM201120C173</stp>
        <tr r="D354" s="1"/>
      </tp>
      <tp t="s">
        <v>N/A</v>
        <stp/>
        <stp>IMPL_VOL</stp>
        <stp>.IWM201120P173</stp>
        <tr r="D355" s="1"/>
      </tp>
      <tp t="s">
        <v>N/A</v>
        <stp/>
        <stp>IMPL_VOL</stp>
        <stp>.IWM201120C172</stp>
        <tr r="D350" s="1"/>
      </tp>
      <tp t="s">
        <v>N/A</v>
        <stp/>
        <stp>IMPL_VOL</stp>
        <stp>.IWM201120P172</stp>
        <tr r="D351" s="1"/>
      </tp>
      <tp t="s">
        <v>N/A</v>
        <stp/>
        <stp>PROB_OTM</stp>
        <stp>.IGV201120P315</stp>
        <tr r="U266" s="1"/>
      </tp>
      <tp t="s">
        <v>N/A</v>
        <stp/>
        <stp>IMPL_VOL</stp>
        <stp>.IWM201120C171</stp>
        <tr r="D348" s="1"/>
      </tp>
      <tp t="s">
        <v>N/A</v>
        <stp/>
        <stp>PROB_OTM</stp>
        <stp>.IGV201120C315</stp>
        <tr r="U265" s="1"/>
      </tp>
      <tp t="s">
        <v>N/A</v>
        <stp/>
        <stp>IMPL_VOL</stp>
        <stp>.IWM201120P171</stp>
        <tr r="D349" s="1"/>
      </tp>
      <tp t="s">
        <v>N/A</v>
        <stp/>
        <stp>IMPL_VOL</stp>
        <stp>.IWM201120C170</stp>
        <tr r="D346" s="1"/>
      </tp>
      <tp t="s">
        <v>N/A</v>
        <stp/>
        <stp>IMPL_VOL</stp>
        <stp>.IWM201120P170</stp>
        <tr r="D347" s="1"/>
      </tp>
      <tp t="s">
        <v>N/A</v>
        <stp/>
        <stp>PROB_OTM</stp>
        <stp>.IGV201120P320</stp>
        <tr r="U268" s="1"/>
      </tp>
      <tp t="s">
        <v>N/A</v>
        <stp/>
        <stp>PROB_OTM</stp>
        <stp>.IGV201120C320</stp>
        <tr r="U267" s="1"/>
      </tp>
      <tp t="s">
        <v>N/A</v>
        <stp/>
        <stp>PROB_OTM</stp>
        <stp>.IGV201120P325</stp>
        <tr r="U270" s="1"/>
      </tp>
      <tp t="s">
        <v>N/A</v>
        <stp/>
        <stp>PROB_OTM</stp>
        <stp>.IGV201120C325</stp>
        <tr r="U269" s="1"/>
      </tp>
      <tp t="s">
        <v>N/A</v>
        <stp/>
        <stp>OPEN_INT</stp>
        <stp>.XLY201120P154.5</stp>
        <tr r="G881" s="1"/>
      </tp>
      <tp>
        <v>8</v>
        <stp/>
        <stp>OPEN_INT</stp>
        <stp>.XBI201120P124.5</stp>
        <tr r="G775" s="1"/>
      </tp>
      <tp t="s">
        <v>N/A</v>
        <stp/>
        <stp>PROB_OF_TOUCHING</stp>
        <stp>.SMH201120P198</stp>
        <tr r="V575" s="1"/>
      </tp>
      <tp t="s">
        <v>N/A</v>
        <stp/>
        <stp>PROB_OF_TOUCHING</stp>
        <stp>.SMH201120C198</stp>
        <tr r="V574" s="1"/>
      </tp>
      <tp t="s">
        <v>N/A</v>
        <stp/>
        <stp>PROB_OF_TOUCHING</stp>
        <stp>.SMH201120P193</stp>
        <tr r="V555" s="1"/>
      </tp>
      <tp t="s">
        <v>N/A</v>
        <stp/>
        <stp>PROB_OF_TOUCHING</stp>
        <stp>.SMH201120C193</stp>
        <tr r="V554" s="1"/>
      </tp>
      <tp t="s">
        <v>N/A</v>
        <stp/>
        <stp>PROB_OF_TOUCHING</stp>
        <stp>.SMH201120P194</stp>
        <tr r="V559" s="1"/>
      </tp>
      <tp t="s">
        <v>N/A</v>
        <stp/>
        <stp>PROB_OF_TOUCHING</stp>
        <stp>.SMH201120C194</stp>
        <tr r="V558" s="1"/>
      </tp>
      <tp t="s">
        <v>N/A</v>
        <stp/>
        <stp>PROB_OF_TOUCHING</stp>
        <stp>.SMH201120P195</stp>
        <tr r="V563" s="1"/>
      </tp>
      <tp t="s">
        <v>N/A</v>
        <stp/>
        <stp>PROB_OF_TOUCHING</stp>
        <stp>.SMH201120C195</stp>
        <tr r="V562" s="1"/>
      </tp>
      <tp t="s">
        <v>N/A</v>
        <stp/>
        <stp>PROB_OF_TOUCHING</stp>
        <stp>.SMH201120P196</stp>
        <tr r="V567" s="1"/>
      </tp>
      <tp t="s">
        <v>N/A</v>
        <stp/>
        <stp>PROB_OF_TOUCHING</stp>
        <stp>.SMH201120C196</stp>
        <tr r="V566" s="1"/>
      </tp>
      <tp t="s">
        <v>N/A</v>
        <stp/>
        <stp>PROB_OF_TOUCHING</stp>
        <stp>.SMH201120P197</stp>
        <tr r="V571" s="1"/>
      </tp>
      <tp t="s">
        <v>N/A</v>
        <stp/>
        <stp>PROB_OF_TOUCHING</stp>
        <stp>.SMH201120C197</stp>
        <tr r="V570" s="1"/>
      </tp>
      <tp t="s">
        <v>N/A</v>
        <stp/>
        <stp>PROB_OF_EXPIRING</stp>
        <stp>.IBB201120C139.5</stp>
        <tr r="T235" s="1"/>
      </tp>
      <tp t="s">
        <v>N/A</v>
        <stp/>
        <stp>PROB_OF_EXPIRING</stp>
        <stp>.IEF201120C119.5</stp>
        <tr r="T249" s="1"/>
      </tp>
      <tp>
        <v>0.8</v>
        <stp/>
        <stp>LAST</stp>
        <stp>.KRE201120C46.5</stp>
        <tr r="E391" s="1"/>
      </tp>
      <tp>
        <v>1.05</v>
        <stp/>
        <stp>LAST</stp>
        <stp>.KRE201120P46.5</stp>
        <tr r="E392" s="1"/>
      </tp>
      <tp t="s">
        <v>N/A</v>
        <stp/>
        <stp>VOLUME</stp>
        <stp>.INDY201120P38</stp>
        <tr r="F287" s="1"/>
      </tp>
      <tp t="s">
        <v>N/A</v>
        <stp/>
        <stp>PUT_CALL_RATIO</stp>
        <stp>.PDBC201120C14</stp>
        <tr r="C452" s="1"/>
      </tp>
      <tp t="s">
        <v>N/A</v>
        <stp/>
        <stp>STRIKE</stp>
        <stp>.IGIB201120C61</stp>
        <tr r="W262" s="1"/>
      </tp>
      <tp t="s">
        <v>N/A</v>
        <stp/>
        <stp>VOLUME</stp>
        <stp>.ACWX201120C50</stp>
        <tr r="F13" s="1"/>
      </tp>
      <tp t="s">
        <v>N/A</v>
        <stp/>
        <stp>BID</stp>
        <stp>.XOP201120C49.5</stp>
        <tr r="H900" s="1"/>
      </tp>
      <tp>
        <v>0</v>
        <stp/>
        <stp>BID</stp>
        <stp>.XLB201120C69.5</stp>
        <tr r="H792" s="1"/>
      </tp>
      <tp t="s">
        <v>N/A</v>
        <stp/>
        <stp>BID</stp>
        <stp>.XLB201120P69.5</stp>
        <tr r="H793" s="1"/>
      </tp>
      <tp>
        <v>3.45</v>
        <stp/>
        <stp>BID</stp>
        <stp>.XOP201120P49.5</stp>
        <tr r="H901" s="1"/>
      </tp>
      <tp t="s">
        <v>N/A</v>
        <stp/>
        <stp>VOLUME</stp>
        <stp>.SPDW201120P32</stp>
        <tr r="F580" s="1"/>
      </tp>
      <tp>
        <v>1.31</v>
        <stp/>
        <stp>LOW</stp>
        <stp>.XOP201120P47.5</stp>
        <tr r="K893" s="1"/>
      </tp>
      <tp t="s">
        <v>N/A</v>
        <stp/>
        <stp>STRIKE</stp>
        <stp>.NAIL201120C49</stp>
        <tr r="W449" s="1"/>
      </tp>
      <tp t="s">
        <v>N/A</v>
        <stp/>
        <stp>STRIKE</stp>
        <stp>.NAIL201120C48</stp>
        <tr r="W447" s="1"/>
      </tp>
      <tp>
        <v>0.9</v>
        <stp/>
        <stp>LOW</stp>
        <stp>.XOP201120C47.5</stp>
        <tr r="K892" s="1"/>
      </tp>
      <tp t="s">
        <v>N/A</v>
        <stp/>
        <stp>STRIKE</stp>
        <stp>.NAIL201120C45</stp>
        <tr r="W441" s="1"/>
      </tp>
      <tp t="s">
        <v>N/A</v>
        <stp/>
        <stp>STRIKE</stp>
        <stp>.NAIL201120C44</stp>
        <tr r="W439" s="1"/>
      </tp>
      <tp t="s">
        <v>N/A</v>
        <stp/>
        <stp>STRIKE</stp>
        <stp>.NAIL201120C47</stp>
        <tr r="W445" s="1"/>
      </tp>
      <tp t="s">
        <v>N/A</v>
        <stp/>
        <stp>STRIKE</stp>
        <stp>.NAIL201120C46</stp>
        <tr r="W443" s="1"/>
      </tp>
      <tp>
        <v>0.4</v>
        <stp/>
        <stp>LOW</stp>
        <stp>.FXI201120C47.5</stp>
        <tr r="K191" s="1"/>
      </tp>
      <tp>
        <v>0.56999999999999995</v>
        <stp/>
        <stp>LOW</stp>
        <stp>.FXI201120P47.5</stp>
        <tr r="K192" s="1"/>
      </tp>
      <tp>
        <v>0.64</v>
        <stp/>
        <stp>LOW</stp>
        <stp>.GDX201120P37.5</stp>
        <tr r="K201" s="1"/>
      </tp>
      <tp>
        <v>0.84</v>
        <stp/>
        <stp>LOW</stp>
        <stp>.GDX201120C37.5</stp>
        <tr r="K200" s="1"/>
      </tp>
      <tp t="s">
        <v>N/A</v>
        <stp/>
        <stp>STRIKE</stp>
        <stp>.DRIP201120C45</stp>
        <tr r="W82" s="1"/>
      </tp>
      <tp>
        <v>0.23</v>
        <stp/>
        <stp>LOW</stp>
        <stp>.EEM201120P47.5</stp>
        <tr r="K96" s="1"/>
      </tp>
      <tp>
        <v>0.62</v>
        <stp/>
        <stp>LOW</stp>
        <stp>.EEM201120C47.5</stp>
        <tr r="K95" s="1"/>
      </tp>
      <tp t="s">
        <v>N/A</v>
        <stp/>
        <stp>STRIKE</stp>
        <stp>.VGIT201120C70</stp>
        <tr r="W719" s="1"/>
      </tp>
      <tp t="s">
        <v>N/A</v>
        <stp/>
        <stp>BID</stp>
        <stp>.EFA201120C69.5</stp>
        <tr r="H104" s="1"/>
      </tp>
      <tp t="s">
        <v>N/A</v>
        <stp/>
        <stp>BID</stp>
        <stp>.EWW201120P39.5</stp>
        <tr r="H160" s="1"/>
      </tp>
      <tp t="s">
        <v>N/A</v>
        <stp/>
        <stp>BID</stp>
        <stp>.EWW201120C39.5</stp>
        <tr r="H159" s="1"/>
      </tp>
      <tp t="s">
        <v>N/A</v>
        <stp/>
        <stp>BID</stp>
        <stp>.EFA201120P69.5</stp>
        <tr r="H105" s="1"/>
      </tp>
      <tp t="s">
        <v>N/A</v>
        <stp/>
        <stp>BID</stp>
        <stp>.FEZ201120C39.5</stp>
        <tr r="H181" s="1"/>
      </tp>
      <tp>
        <v>0.75</v>
        <stp/>
        <stp>BID</stp>
        <stp>.FEZ201120P39.5</stp>
        <tr r="H182" s="1"/>
      </tp>
      <tp t="s">
        <v>N/A</v>
        <stp/>
        <stp>VOLUME</stp>
        <stp>.INDA201120P36</stp>
        <tr r="F282" s="1"/>
      </tp>
      <tp t="s">
        <v>N/A</v>
        <stp/>
        <stp>STRIKE</stp>
        <stp>.VCIT201120C96</stp>
        <tr r="W702" s="1"/>
      </tp>
      <tp t="s">
        <v>N/A</v>
        <stp/>
        <stp>VOLUME</stp>
        <stp>.ACWI201120C85</stp>
        <tr r="F8" s="1"/>
      </tp>
      <tp t="s">
        <v>N/A</v>
        <stp/>
        <stp>VOLUME</stp>
        <stp>.ACWI201120C86</stp>
        <tr r="F10" s="1"/>
      </tp>
      <tp>
        <v>0.44</v>
        <stp/>
        <stp>LOW</stp>
        <stp>.KRE201120C47.5</stp>
        <tr r="K395" s="1"/>
      </tp>
      <tp>
        <v>2.41</v>
        <stp/>
        <stp>LOW</stp>
        <stp>.KRE201120P47.5</stp>
        <tr r="K396" s="1"/>
      </tp>
      <tp t="s">
        <v>N/A</v>
        <stp/>
        <stp>BID</stp>
        <stp>.IWF201120C225</stp>
        <tr r="H341" s="1"/>
      </tp>
      <tp t="s">
        <v>N/A</v>
        <stp/>
        <stp>BID</stp>
        <stp>.IWF201120P225</stp>
        <tr r="H342" s="1"/>
      </tp>
      <tp t="s">
        <v>N/A</v>
        <stp/>
        <stp>BID</stp>
        <stp>.IVE201120C123</stp>
        <tr r="H307" s="1"/>
      </tp>
      <tp t="s">
        <v>N/A</v>
        <stp/>
        <stp>BID</stp>
        <stp>.IVE201120P123</stp>
        <tr r="H308" s="1"/>
      </tp>
      <tp t="s">
        <v>N/A</v>
        <stp/>
        <stp>BID</stp>
        <stp>.IVE201120C122</stp>
        <tr r="H305" s="1"/>
      </tp>
      <tp>
        <v>2.0499999999999998</v>
        <stp/>
        <stp>BID</stp>
        <stp>.IVE201120P122</stp>
        <tr r="H306" s="1"/>
      </tp>
      <tp t="s">
        <v>N/A</v>
        <stp/>
        <stp>BID</stp>
        <stp>.IVE201120C121</stp>
        <tr r="H303" s="1"/>
      </tp>
      <tp t="s">
        <v>N/A</v>
        <stp/>
        <stp>BID</stp>
        <stp>.IVE201120P121</stp>
        <tr r="H304" s="1"/>
      </tp>
      <tp t="s">
        <v>N/A</v>
        <stp/>
        <stp>ASK</stp>
        <stp>.IWF201120C225</stp>
        <tr r="I341" s="1"/>
      </tp>
      <tp t="s">
        <v>N/A</v>
        <stp/>
        <stp>ASK</stp>
        <stp>.IWF201120P225</stp>
        <tr r="I342" s="1"/>
      </tp>
      <tp t="s">
        <v>N/A</v>
        <stp/>
        <stp>ASK</stp>
        <stp>.IVE201120C121</stp>
        <tr r="I303" s="1"/>
      </tp>
      <tp t="s">
        <v>N/A</v>
        <stp/>
        <stp>ASK</stp>
        <stp>.IVE201120P121</stp>
        <tr r="I304" s="1"/>
      </tp>
      <tp t="s">
        <v>N/A</v>
        <stp/>
        <stp>ASK</stp>
        <stp>.IVE201120C123</stp>
        <tr r="I307" s="1"/>
      </tp>
      <tp t="s">
        <v>N/A</v>
        <stp/>
        <stp>ASK</stp>
        <stp>.IVE201120P123</stp>
        <tr r="I308" s="1"/>
      </tp>
      <tp t="s">
        <v>N/A</v>
        <stp/>
        <stp>ASK</stp>
        <stp>.IVE201120C122</stp>
        <tr r="I305" s="1"/>
      </tp>
      <tp>
        <v>2.6</v>
        <stp/>
        <stp>ASK</stp>
        <stp>.IVE201120P122</stp>
        <tr r="I306" s="1"/>
      </tp>
      <tp>
        <v>6.3E-2</v>
        <stp/>
        <stp>PUT_CALL_RATIO</stp>
        <stp>SPYV</stp>
        <tr r="C634" s="1"/>
      </tp>
      <tp>
        <v>0.38900000000000001</v>
        <stp/>
        <stp>PUT_CALL_RATIO</stp>
        <stp>SPYG</stp>
        <tr r="C629" s="1"/>
      </tp>
      <tp t="s">
        <v>N/A</v>
        <stp/>
        <stp>STRIKE</stp>
        <stp>AMLP</stp>
        <tr r="W18" s="1"/>
      </tp>
      <tp t="s">
        <v>N/A</v>
        <stp/>
        <stp>STRIKE</stp>
        <stp>EMLC</stp>
        <tr r="W114" s="1"/>
      </tp>
      <tp t="s">
        <v>N/A</v>
        <stp/>
        <stp>LOW</stp>
        <stp>.IVE201120P121</stp>
        <tr r="K304" s="1"/>
      </tp>
      <tp t="s">
        <v>N/A</v>
        <stp/>
        <stp>LOW</stp>
        <stp>.IVE201120C121</stp>
        <tr r="K303" s="1"/>
      </tp>
      <tp t="s">
        <v>N/A</v>
        <stp/>
        <stp>LOW</stp>
        <stp>.IVE201120P123</stp>
        <tr r="K308" s="1"/>
      </tp>
      <tp t="s">
        <v>N/A</v>
        <stp/>
        <stp>LOW</stp>
        <stp>.IVE201120C123</stp>
        <tr r="K307" s="1"/>
      </tp>
      <tp>
        <v>0</v>
        <stp/>
        <stp>LOW</stp>
        <stp>.IVE201120P122</stp>
        <tr r="K306" s="1"/>
      </tp>
      <tp t="s">
        <v>N/A</v>
        <stp/>
        <stp>LOW</stp>
        <stp>.IVE201120C122</stp>
        <tr r="K305" s="1"/>
      </tp>
      <tp t="s">
        <v>N/A</v>
        <stp/>
        <stp>LOW</stp>
        <stp>.IWF201120P225</stp>
        <tr r="K342" s="1"/>
      </tp>
      <tp t="s">
        <v>N/A</v>
        <stp/>
        <stp>LOW</stp>
        <stp>.IWF201120C225</stp>
        <tr r="K341" s="1"/>
      </tp>
      <tp>
        <v>0.25</v>
        <stp/>
        <stp>BID</stp>
        <stp>.TBF201120P16</stp>
        <tr r="H682" s="1"/>
      </tp>
      <tp>
        <v>0.9</v>
        <stp/>
        <stp>ASK</stp>
        <stp>.XME201120P27</stp>
        <tr r="I888" s="1"/>
      </tp>
      <tp t="s">
        <v>N/A</v>
        <stp/>
        <stp>LOW</stp>
        <stp>.TBF201120C16</stp>
        <tr r="K681" s="1"/>
      </tp>
      <tp t="s">
        <v>N/A</v>
        <stp/>
        <stp>LOW</stp>
        <stp>.KBE201120C38</stp>
        <tr r="K386" s="1"/>
      </tp>
      <tp t="s">
        <v>N/A</v>
        <stp/>
        <stp>BID</stp>
        <stp>.KBE201120P38</stp>
        <tr r="H387" s="1"/>
      </tp>
      <tp>
        <v>7.6669999999999998</v>
        <stp/>
        <stp>PUT_CALL_RATIO</stp>
        <stp>SPLV</stp>
        <tr r="C587" s="1"/>
      </tp>
      <tp>
        <v>0.625</v>
        <stp/>
        <stp>PUT_CALL_RATIO</stp>
        <stp>SPLG</stp>
        <tr r="C584" s="1"/>
      </tp>
      <tp t="s">
        <v>N/A</v>
        <stp/>
        <stp>DESCRIPTION</stp>
        <stp>.DXD201120C14</stp>
        <tr r="B92" s="1"/>
      </tp>
      <tp t="s">
        <v>N/A</v>
        <stp/>
        <stp>RHO</stp>
        <stp>.IWF201120C225</stp>
        <tr r="Q341" s="1"/>
      </tp>
      <tp t="s">
        <v>N/A</v>
        <stp/>
        <stp>RHO</stp>
        <stp>.IWF201120P225</stp>
        <tr r="Q342" s="1"/>
      </tp>
      <tp t="s">
        <v>N/A</v>
        <stp/>
        <stp>RHO</stp>
        <stp>.IVE201120C122</stp>
        <tr r="Q305" s="1"/>
      </tp>
      <tp t="s">
        <v>N/A</v>
        <stp/>
        <stp>RHO</stp>
        <stp>.IVE201120P122</stp>
        <tr r="Q306" s="1"/>
      </tp>
      <tp t="s">
        <v>N/A</v>
        <stp/>
        <stp>RHO</stp>
        <stp>.IVE201120C123</stp>
        <tr r="Q307" s="1"/>
      </tp>
      <tp t="s">
        <v>N/A</v>
        <stp/>
        <stp>RHO</stp>
        <stp>.IVE201120P123</stp>
        <tr r="Q308" s="1"/>
      </tp>
      <tp t="s">
        <v>N/A</v>
        <stp/>
        <stp>RHO</stp>
        <stp>.IVE201120C121</stp>
        <tr r="Q303" s="1"/>
      </tp>
      <tp t="s">
        <v>N/A</v>
        <stp/>
        <stp>RHO</stp>
        <stp>.IVE201120P121</stp>
        <tr r="Q304" s="1"/>
      </tp>
      <tp>
        <v>0.91900000000000004</v>
        <stp/>
        <stp>PUT_CALL_RATIO</stp>
        <stp>SPHD</stp>
        <tr r="C581" s="1"/>
      </tp>
      <tp t="s">
        <v>N/A</v>
        <stp/>
        <stp>RHO</stp>
        <stp>.EZU201120C42</stp>
        <tr r="Q178" s="1"/>
      </tp>
      <tp>
        <v>3574826</v>
        <stp/>
        <stp>VOLUME</stp>
        <stp>INDA</stp>
        <tr r="F280" s="1"/>
      </tp>
      <tp>
        <v>1733845</v>
        <stp/>
        <stp>VOLUME</stp>
        <stp>INDY</stp>
        <tr r="F285" s="1"/>
      </tp>
      <tp t="s">
        <v>N/A</v>
        <stp/>
        <stp>RHO</stp>
        <stp>.BZQ201120C12</stp>
        <tr r="Q52" s="1"/>
      </tp>
      <tp>
        <v>1</v>
        <stp/>
        <stp>PUT_CALL_RATIO</stp>
        <stp>SPDW</stp>
        <tr r="C578" s="1"/>
      </tp>
      <tp t="s">
        <v>N/A</v>
        <stp/>
        <stp>DESCRIPTION</stp>
        <stp>.FXI201120C48</stp>
        <tr r="B193" s="1"/>
      </tp>
      <tp t="s">
        <v>N/A</v>
        <stp/>
        <stp>DESCRIPTION</stp>
        <stp>.FXI201120C47</stp>
        <tr r="B189" s="1"/>
      </tp>
      <tp t="s">
        <v>N/A</v>
        <stp/>
        <stp>BID</stp>
        <stp>.TBT201120P17</stp>
        <tr r="H685" s="1"/>
      </tp>
      <tp t="s">
        <v>N/A</v>
        <stp/>
        <stp>LOW</stp>
        <stp>.TBT201120C17</stp>
        <tr r="K684" s="1"/>
      </tp>
      <tp t="s">
        <v>N/A</v>
        <stp/>
        <stp>DESCRIPTION</stp>
        <stp>.PXH201120C20</stp>
        <tr r="B460" s="1"/>
      </tp>
      <tp t="s">
        <v>N/A</v>
        <stp/>
        <stp>DESCRIPTION</stp>
        <stp>.PXH201120C19</stp>
        <tr r="B458" s="1"/>
      </tp>
      <tp t="s">
        <v>N/A</v>
        <stp/>
        <stp>PROB_OF_TOUCHING</stp>
        <stp>BZQ</stp>
        <tr r="V51" s="1"/>
      </tp>
      <tp t="s">
        <v>N/A</v>
        <stp/>
        <stp>PROB_OTM</stp>
        <stp>DVY</stp>
        <tr r="U84" s="1"/>
      </tp>
      <tp t="s">
        <v>N/A</v>
        <stp/>
        <stp>PROB_OF_TOUCHING</stp>
        <stp>.GDXJ201120C52.5</stp>
        <tr r="V205" s="1"/>
      </tp>
      <tp t="s">
        <v>N/A</v>
        <stp/>
        <stp>PROB_OF_TOUCHING</stp>
        <stp>.GDXJ201120P52.5</stp>
        <tr r="V206" s="1"/>
      </tp>
      <tp>
        <v>1252</v>
        <stp/>
        <stp>VOLUME</stp>
        <stp>.HYG201120C85.5</stp>
        <tr r="F221" s="1"/>
      </tp>
      <tp>
        <v>606</v>
        <stp/>
        <stp>VOLUME</stp>
        <stp>.HYG201120P85.5</stp>
        <tr r="F222" s="1"/>
      </tp>
      <tp t="s">
        <v>N/A</v>
        <stp/>
        <stp>VOLUME</stp>
        <stp>.IYR201120C85.5</stp>
        <tr r="F373" s="1"/>
      </tp>
      <tp>
        <v>2</v>
        <stp/>
        <stp>VOLUME</stp>
        <stp>.ITB201120C55.5</stp>
        <tr r="F293" s="1"/>
      </tp>
      <tp t="s">
        <v>N/A</v>
        <stp/>
        <stp>VOLUME</stp>
        <stp>.IYR201120P85.5</stp>
        <tr r="F374" s="1"/>
      </tp>
      <tp t="s">
        <v>N/A</v>
        <stp/>
        <stp>VOLUME</stp>
        <stp>.ITB201120P55.5</stp>
        <tr r="F294" s="1"/>
      </tp>
      <tp t="s">
        <v>N/A</v>
        <stp/>
        <stp>PROB_OTM</stp>
        <stp>DXD</stp>
        <tr r="U91" s="1"/>
      </tp>
      <tp t="s">
        <v>82.20%</v>
        <stp/>
        <stp>IMPL_VOL</stp>
        <stp>BZQ</stp>
        <tr r="D51" s="1"/>
      </tp>
      <tp>
        <v>58</v>
        <stp/>
        <stp>VOLUME</stp>
        <stp>.XHB201120P55.5</stp>
        <tr r="F784" s="1"/>
      </tp>
      <tp t="s">
        <v>N/A</v>
        <stp/>
        <stp>VOLUME</stp>
        <stp>.XLI201120P85.5</stp>
        <tr r="F821" s="1"/>
      </tp>
      <tp t="s">
        <v>N/A</v>
        <stp/>
        <stp>VOLUME</stp>
        <stp>.XRT201120C55.5</stp>
        <tr r="F909" s="1"/>
      </tp>
      <tp>
        <v>1</v>
        <stp/>
        <stp>VOLUME</stp>
        <stp>.XHB201120C55.5</stp>
        <tr r="F783" s="1"/>
      </tp>
      <tp>
        <v>1</v>
        <stp/>
        <stp>VOLUME</stp>
        <stp>.XLI201120C85.5</stp>
        <tr r="F820" s="1"/>
      </tp>
      <tp t="s">
        <v>N/A</v>
        <stp/>
        <stp>VOLUME</stp>
        <stp>.XRT201120P55.5</stp>
        <tr r="F910" s="1"/>
      </tp>
      <tp t="s">
        <v>N/A</v>
        <stp/>
        <stp>VOLUME</stp>
        <stp>.TAN201120P75.5</stp>
        <tr r="F673" s="1"/>
      </tp>
      <tp t="s">
        <v>N/A</v>
        <stp/>
        <stp>VOLUME</stp>
        <stp>.TAN201120C75.5</stp>
        <tr r="F672" s="1"/>
      </tp>
      <tp t="s">
        <v>N/A</v>
        <stp/>
        <stp>PROB_OTM</stp>
        <stp>DIA</stp>
        <tr r="U62" s="1"/>
      </tp>
      <tp>
        <v>0</v>
        <stp/>
        <stp>VEGA</stp>
        <stp>SH</stp>
        <tr r="P542" s="1"/>
      </tp>
      <tp t="s">
        <v>N/A</v>
        <stp/>
        <stp>PROB_OF_EXPIRING</stp>
        <stp>.IBB201120P141</stp>
        <tr r="T242" s="1"/>
      </tp>
      <tp t="s">
        <v>N/A</v>
        <stp/>
        <stp>PROB_OF_EXPIRING</stp>
        <stp>.IBB201120C141</stp>
        <tr r="T241" s="1"/>
      </tp>
      <tp t="s">
        <v>N/A</v>
        <stp/>
        <stp>PROB_OF_EXPIRING</stp>
        <stp>.IBB201120P140</stp>
        <tr r="T238" s="1"/>
      </tp>
      <tp t="s">
        <v>N/A</v>
        <stp/>
        <stp>PROB_OF_EXPIRING</stp>
        <stp>.IBB201120C140</stp>
        <tr r="T237" s="1"/>
      </tp>
      <tp>
        <v>0.4</v>
        <stp/>
        <stp>HIGH</stp>
        <stp>.SH201120C19</stp>
        <tr r="J543" s="1"/>
      </tp>
      <tp t="s">
        <v>N/A</v>
        <stp/>
        <stp>IMPL_VOL</stp>
        <stp>.IBB201120P140.5</stp>
        <tr r="D240" s="1"/>
      </tp>
      <tp t="s">
        <v>N/A</v>
        <stp/>
        <stp>IMPL_VOL</stp>
        <stp>.LQD201120C135.5</stp>
        <tr r="D409" s="1"/>
      </tp>
      <tp>
        <v>0</v>
        <stp/>
        <stp>VEGA</stp>
        <stp>VT</stp>
        <tr r="P734" s="1"/>
      </tp>
      <tp t="s">
        <v>N/A</v>
        <stp/>
        <stp>PROB_OF_EXPIRING</stp>
        <stp>.MUB201120C116</stp>
        <tr r="T436" s="1"/>
      </tp>
      <tp t="s">
        <v>N/A</v>
        <stp/>
        <stp>PROB_OF_EXPIRING</stp>
        <stp>.MUB201120P116</stp>
        <tr r="T437" s="1"/>
      </tp>
      <tp t="s">
        <v>N/A</v>
        <stp/>
        <stp>PROB_OF_EXPIRING</stp>
        <stp>.EMB201120P114</stp>
        <tr r="T113" s="1"/>
      </tp>
      <tp t="s">
        <v>N/A</v>
        <stp/>
        <stp>PROB_OF_EXPIRING</stp>
        <stp>.EMB201120C114</stp>
        <tr r="T112" s="1"/>
      </tp>
      <tp t="s">
        <v>N/A</v>
        <stp/>
        <stp>VEGA</stp>
        <stp>.EWJ201120P63.5</stp>
        <tr r="P139" s="1"/>
      </tp>
      <tp t="s">
        <v>N/A</v>
        <stp/>
        <stp>VEGA</stp>
        <stp>.EWY201120P73.5</stp>
        <tr r="P171" s="1"/>
      </tp>
      <tp t="s">
        <v>N/A</v>
        <stp/>
        <stp>VEGA</stp>
        <stp>.EWJ201120C63.5</stp>
        <tr r="P138" s="1"/>
      </tp>
      <tp t="s">
        <v>N/A</v>
        <stp/>
        <stp>VEGA</stp>
        <stp>.EWY201120C73.5</stp>
        <tr r="P170" s="1"/>
      </tp>
      <tp t="s">
        <v>N/A</v>
        <stp/>
        <stp>PROB_OF_EXPIRING</stp>
        <stp>.IBB201120P139</stp>
        <tr r="T234" s="1"/>
      </tp>
      <tp t="s">
        <v>N/A</v>
        <stp/>
        <stp>PROB_OF_EXPIRING</stp>
        <stp>.IBB201120C139</stp>
        <tr r="T233" s="1"/>
      </tp>
      <tp t="s">
        <v>N/A</v>
        <stp/>
        <stp>PROB_OF_EXPIRING</stp>
        <stp>.IBB201120P138</stp>
        <tr r="T230" s="1"/>
      </tp>
      <tp t="s">
        <v>N/A</v>
        <stp/>
        <stp>PROB_OF_EXPIRING</stp>
        <stp>.IBB201120C138</stp>
        <tr r="T229" s="1"/>
      </tp>
      <tp t="s">
        <v>N/A</v>
        <stp/>
        <stp>PROB_OF_EXPIRING</stp>
        <stp>.IBB201120P138.5</stp>
        <tr r="T232" s="1"/>
      </tp>
      <tp>
        <v>0</v>
        <stp/>
        <stp>OPEN_INT</stp>
        <stp>.XBI201120C125.5</stp>
        <tr r="G778" s="1"/>
      </tp>
      <tp t="s">
        <v>N/A</v>
        <stp/>
        <stp>VEGA</stp>
        <stp>.SH201120C19</stp>
        <tr r="P543" s="1"/>
      </tp>
      <tp t="s">
        <v>N/A</v>
        <stp/>
        <stp>PROB_OF_EXPIRING</stp>
        <stp>.DIA201120P292</stp>
        <tr r="T66" s="1"/>
      </tp>
      <tp t="s">
        <v>N/A</v>
        <stp/>
        <stp>PROB_OF_EXPIRING</stp>
        <stp>.DIA201120C292</stp>
        <tr r="T65" s="1"/>
      </tp>
      <tp t="s">
        <v>N/A</v>
        <stp/>
        <stp>PROB_OF_EXPIRING</stp>
        <stp>.DIA201120P293</stp>
        <tr r="T70" s="1"/>
      </tp>
      <tp t="s">
        <v>N/A</v>
        <stp/>
        <stp>PROB_OF_EXPIRING</stp>
        <stp>.DIA201120C293</stp>
        <tr r="T69" s="1"/>
      </tp>
      <tp t="s">
        <v>N/A</v>
        <stp/>
        <stp>PROB_OF_EXPIRING</stp>
        <stp>.DIA201120P291</stp>
        <tr r="T64" s="1"/>
      </tp>
      <tp t="s">
        <v>N/A</v>
        <stp/>
        <stp>PROB_OF_EXPIRING</stp>
        <stp>.DIA201120C291</stp>
        <tr r="T63" s="1"/>
      </tp>
      <tp t="s">
        <v>N/A</v>
        <stp/>
        <stp>PROB_OF_EXPIRING</stp>
        <stp>.DIA201120P296</stp>
        <tr r="T76" s="1"/>
      </tp>
      <tp t="s">
        <v>N/A</v>
        <stp/>
        <stp>PROB_OF_EXPIRING</stp>
        <stp>.DIA201120C296</stp>
        <tr r="T75" s="1"/>
      </tp>
      <tp>
        <v>2.33</v>
        <stp/>
        <stp>LAST</stp>
        <stp>.XOP201120P47.5</stp>
        <tr r="E893" s="1"/>
      </tp>
      <tp t="s">
        <v>N/A</v>
        <stp/>
        <stp>PROB_OF_EXPIRING</stp>
        <stp>.DIA201120P297</stp>
        <tr r="T78" s="1"/>
      </tp>
      <tp t="s">
        <v>N/A</v>
        <stp/>
        <stp>PROB_OF_EXPIRING</stp>
        <stp>.DIA201120C297</stp>
        <tr r="T77" s="1"/>
      </tp>
      <tp t="s">
        <v>N/A</v>
        <stp/>
        <stp>PROB_OF_EXPIRING</stp>
        <stp>.DIA201120P294</stp>
        <tr r="T72" s="1"/>
      </tp>
      <tp t="s">
        <v>N/A</v>
        <stp/>
        <stp>PROB_OF_EXPIRING</stp>
        <stp>.DIA201120C294</stp>
        <tr r="T71" s="1"/>
      </tp>
      <tp t="s">
        <v>N/A</v>
        <stp/>
        <stp>PROB_OF_EXPIRING</stp>
        <stp>.DIA201120P295</stp>
        <tr r="T74" s="1"/>
      </tp>
      <tp t="s">
        <v>N/A</v>
        <stp/>
        <stp>PROB_OF_EXPIRING</stp>
        <stp>.DIA201120C295</stp>
        <tr r="T73" s="1"/>
      </tp>
      <tp>
        <v>0.9</v>
        <stp/>
        <stp>LAST</stp>
        <stp>.XOP201120C47.5</stp>
        <tr r="E892" s="1"/>
      </tp>
      <tp t="s">
        <v>N/A</v>
        <stp/>
        <stp>PROB_OF_TOUCHING</stp>
        <stp>.XBI201120P123</stp>
        <tr r="V769" s="1"/>
      </tp>
      <tp t="s">
        <v>N/A</v>
        <stp/>
        <stp>PROB_OF_TOUCHING</stp>
        <stp>.XBI201120C123</stp>
        <tr r="V768" s="1"/>
      </tp>
      <tp t="s">
        <v>N/A</v>
        <stp/>
        <stp>PROB_OF_TOUCHING</stp>
        <stp>.XBI201120P122</stp>
        <tr r="V765" s="1"/>
      </tp>
      <tp t="s">
        <v>N/A</v>
        <stp/>
        <stp>PROB_OF_TOUCHING</stp>
        <stp>.XBI201120C122</stp>
        <tr r="V764" s="1"/>
      </tp>
      <tp t="s">
        <v>N/A</v>
        <stp/>
        <stp>PROB_OF_TOUCHING</stp>
        <stp>.XBI201120P125</stp>
        <tr r="V777" s="1"/>
      </tp>
      <tp t="s">
        <v>N/A</v>
        <stp/>
        <stp>PROB_OF_TOUCHING</stp>
        <stp>.XBI201120C125</stp>
        <tr r="V776" s="1"/>
      </tp>
      <tp t="s">
        <v>N/A</v>
        <stp/>
        <stp>PROB_OF_TOUCHING</stp>
        <stp>.XBI201120P124</stp>
        <tr r="V773" s="1"/>
      </tp>
      <tp t="s">
        <v>N/A</v>
        <stp/>
        <stp>PROB_OF_TOUCHING</stp>
        <stp>.XBI201120C124</stp>
        <tr r="V772" s="1"/>
      </tp>
      <tp t="s">
        <v>N/A</v>
        <stp/>
        <stp>IMPL_VOL</stp>
        <stp>.IBB201120C140.5</stp>
        <tr r="D239" s="1"/>
      </tp>
      <tp t="s">
        <v>N/A</v>
        <stp/>
        <stp>IMPL_VOL</stp>
        <stp>.LQD201120P135.5</stp>
        <tr r="D410" s="1"/>
      </tp>
      <tp>
        <v>0.55000000000000004</v>
        <stp/>
        <stp>LAST</stp>
        <stp>.EEM201120P47.5</stp>
        <tr r="E96" s="1"/>
      </tp>
      <tp>
        <v>0.67</v>
        <stp/>
        <stp>LAST</stp>
        <stp>.EEM201120C47.5</stp>
        <tr r="E95" s="1"/>
      </tp>
      <tp>
        <v>0.41</v>
        <stp/>
        <stp>LAST</stp>
        <stp>.FXI201120C47.5</stp>
        <tr r="E191" s="1"/>
      </tp>
      <tp>
        <v>0.85</v>
        <stp/>
        <stp>LAST</stp>
        <stp>.FXI201120P47.5</stp>
        <tr r="E192" s="1"/>
      </tp>
      <tp t="s">
        <v>N/A</v>
        <stp/>
        <stp>VEGA</stp>
        <stp>.SDS201120C13.5</stp>
        <tr r="P538" s="1"/>
      </tp>
      <tp t="s">
        <v>N/A</v>
        <stp/>
        <stp>VEGA</stp>
        <stp>.SSO201120P83.5</stp>
        <tr r="P654" s="1"/>
      </tp>
      <tp>
        <v>0.91</v>
        <stp/>
        <stp>LAST</stp>
        <stp>.GDX201120P37.5</stp>
        <tr r="E201" s="1"/>
      </tp>
      <tp t="s">
        <v>N/A</v>
        <stp/>
        <stp>VEGA</stp>
        <stp>.SDS201120P13.5</stp>
        <tr r="P539" s="1"/>
      </tp>
      <tp>
        <v>0.88</v>
        <stp/>
        <stp>LAST</stp>
        <stp>.GDX201120C37.5</stp>
        <tr r="E200" s="1"/>
      </tp>
      <tp t="s">
        <v>N/A</v>
        <stp/>
        <stp>VEGA</stp>
        <stp>.SSO201120C83.5</stp>
        <tr r="P653" s="1"/>
      </tp>
      <tp t="s">
        <v>N/A</v>
        <stp/>
        <stp>VEGA</stp>
        <stp>.TAN201120C73.5</stp>
        <tr r="P664" s="1"/>
      </tp>
      <tp t="s">
        <v>N/A</v>
        <stp/>
        <stp>VEGA</stp>
        <stp>.TAN201120P73.5</stp>
        <tr r="P665" s="1"/>
      </tp>
      <tp t="s">
        <v>N/A</v>
        <stp/>
        <stp>VEGA</stp>
        <stp>.XLE201120C33.5</stp>
        <tr r="P804" s="1"/>
      </tp>
      <tp t="s">
        <v>N/A</v>
        <stp/>
        <stp>VEGA</stp>
        <stp>.XLC201120C63.5</stp>
        <tr r="P799" s="1"/>
      </tp>
      <tp t="s">
        <v>N/A</v>
        <stp/>
        <stp>VEGA</stp>
        <stp>.XLE201120P33.5</stp>
        <tr r="P805" s="1"/>
      </tp>
      <tp t="s">
        <v>N/A</v>
        <stp/>
        <stp>VEGA</stp>
        <stp>.XLC201120P63.5</stp>
        <tr r="P800" s="1"/>
      </tp>
      <tp>
        <v>0</v>
        <stp/>
        <stp>OPEN_INT</stp>
        <stp>.XBI201120P125.5</stp>
        <tr r="G779" s="1"/>
      </tp>
      <tp t="s">
        <v>N/A</v>
        <stp/>
        <stp>PROB_OF_TOUCHING</stp>
        <stp>.VTI201120C184</stp>
        <tr r="V746" s="1"/>
      </tp>
      <tp t="s">
        <v>N/A</v>
        <stp/>
        <stp>PROB_OF_TOUCHING</stp>
        <stp>.VTI201120P184</stp>
        <tr r="V747" s="1"/>
      </tp>
      <tp t="s">
        <v>N/A</v>
        <stp/>
        <stp>PROB_OF_TOUCHING</stp>
        <stp>.VTI201120C181</stp>
        <tr r="V740" s="1"/>
      </tp>
      <tp t="s">
        <v>N/A</v>
        <stp/>
        <stp>PROB_OF_TOUCHING</stp>
        <stp>.VTI201120P181</stp>
        <tr r="V741" s="1"/>
      </tp>
      <tp t="s">
        <v>N/A</v>
        <stp/>
        <stp>PROB_OF_TOUCHING</stp>
        <stp>.VTI201120C183</stp>
        <tr r="V744" s="1"/>
      </tp>
      <tp t="s">
        <v>N/A</v>
        <stp/>
        <stp>PROB_OF_TOUCHING</stp>
        <stp>.VTI201120P183</stp>
        <tr r="V745" s="1"/>
      </tp>
      <tp t="s">
        <v>N/A</v>
        <stp/>
        <stp>PROB_OF_TOUCHING</stp>
        <stp>.VTI201120C182</stp>
        <tr r="V742" s="1"/>
      </tp>
      <tp t="s">
        <v>N/A</v>
        <stp/>
        <stp>PROB_OF_TOUCHING</stp>
        <stp>.VTI201120P182</stp>
        <tr r="V743" s="1"/>
      </tp>
      <tp t="s">
        <v>N/A</v>
        <stp/>
        <stp>PROB_OF_EXPIRING</stp>
        <stp>.IBB201120C138.5</stp>
        <tr r="T231" s="1"/>
      </tp>
      <tp>
        <v>0</v>
        <stp/>
        <stp>VEGA</stp>
        <stp>MJ</stp>
        <tr r="P423" s="1"/>
      </tp>
      <tp>
        <v>0.5</v>
        <stp/>
        <stp>LAST</stp>
        <stp>.KRE201120C47.5</stp>
        <tr r="E395" s="1"/>
      </tp>
      <tp>
        <v>2.61</v>
        <stp/>
        <stp>LAST</stp>
        <stp>.KRE201120P47.5</stp>
        <tr r="E396" s="1"/>
      </tp>
      <tp>
        <v>0</v>
        <stp/>
        <stp>LOW</stp>
        <stp>.VWO201120C46.5</stp>
        <tr r="K749" s="1"/>
      </tp>
      <tp>
        <v>0</v>
        <stp/>
        <stp>LOW</stp>
        <stp>.VWO201120P46.5</stp>
        <tr r="K750" s="1"/>
      </tp>
      <tp t="s">
        <v>N/A</v>
        <stp/>
        <stp>STRIKE</stp>
        <stp>.SPHD201120C36</stp>
        <tr r="W582" s="1"/>
      </tp>
      <tp t="s">
        <v>N/A</v>
        <stp/>
        <stp>STRIKE</stp>
        <stp>.SCHE201120C29</stp>
        <tr r="W526" s="1"/>
      </tp>
      <tp t="s">
        <v>N/A</v>
        <stp/>
        <stp>LOW</stp>
        <stp>.TAN201120P76.5</stp>
        <tr r="K677" s="1"/>
      </tp>
      <tp t="s">
        <v>N/A</v>
        <stp/>
        <stp>LOW</stp>
        <stp>.TAN201120C76.5</stp>
        <tr r="K676" s="1"/>
      </tp>
      <tp t="s">
        <v>N/A</v>
        <stp/>
        <stp>STRIKE</stp>
        <stp>.SCHF201120C34</stp>
        <tr r="W529" s="1"/>
      </tp>
      <tp t="s">
        <v>N/A</v>
        <stp/>
        <stp>STRIKE</stp>
        <stp>.SCHD201120C61</stp>
        <tr r="W521" s="1"/>
      </tp>
      <tp t="s">
        <v>N/A</v>
        <stp/>
        <stp>STRIKE</stp>
        <stp>.SCHD201120C62</stp>
        <tr r="W523" s="1"/>
      </tp>
      <tp t="s">
        <v>N/A</v>
        <stp/>
        <stp>LOW</stp>
        <stp>.SHY201120P86.5</stp>
        <tr r="K547" s="1"/>
      </tp>
      <tp t="s">
        <v>N/A</v>
        <stp/>
        <stp>LOW</stp>
        <stp>.SHY201120C86.5</stp>
        <tr r="K546" s="1"/>
      </tp>
      <tp t="s">
        <v>N/A</v>
        <stp/>
        <stp>STRIKE</stp>
        <stp>.MCHI201120C80</stp>
        <tr r="W412" s="1"/>
      </tp>
      <tp>
        <v>0.59</v>
        <stp/>
        <stp>BID</stp>
        <stp>.XOP201120C48.5</stp>
        <tr r="H896" s="1"/>
      </tp>
      <tp>
        <v>0.24</v>
        <stp/>
        <stp>BID</stp>
        <stp>.XLB201120C68.5</stp>
        <tr r="H788" s="1"/>
      </tp>
      <tp t="s">
        <v>N/A</v>
        <stp/>
        <stp>BID</stp>
        <stp>.XLB201120P68.5</stp>
        <tr r="H789" s="1"/>
      </tp>
      <tp>
        <v>2.73</v>
        <stp/>
        <stp>BID</stp>
        <stp>.XOP201120P48.5</stp>
        <tr r="H897" s="1"/>
      </tp>
      <tp t="s">
        <v>N/A</v>
        <stp/>
        <stp>VOLUME</stp>
        <stp>.SRVR201120C36</stp>
        <tr r="F640" s="1"/>
      </tp>
      <tp t="s">
        <v>N/A</v>
        <stp/>
        <stp>VOLUME</stp>
        <stp>.SRVR201120C35</stp>
        <tr r="F638" s="1"/>
      </tp>
      <tp t="s">
        <v>N/A</v>
        <stp/>
        <stp>LOW</stp>
        <stp>.XLU201120P66.5</stp>
        <tr r="K853" s="1"/>
      </tp>
      <tp>
        <v>0.56999999999999995</v>
        <stp/>
        <stp>LOW</stp>
        <stp>.XLP201120P66.5</stp>
        <tr r="K843" s="1"/>
      </tp>
      <tp t="s">
        <v>N/A</v>
        <stp/>
        <stp>LOW</stp>
        <stp>.XME201120P26.5</stp>
        <tr r="K886" s="1"/>
      </tp>
      <tp t="s">
        <v>N/A</v>
        <stp/>
        <stp>LOW</stp>
        <stp>.XME201120C26.5</stp>
        <tr r="K885" s="1"/>
      </tp>
      <tp>
        <v>0.25</v>
        <stp/>
        <stp>LOW</stp>
        <stp>.XLU201120C66.5</stp>
        <tr r="K852" s="1"/>
      </tp>
      <tp t="s">
        <v>N/A</v>
        <stp/>
        <stp>LOW</stp>
        <stp>.XLP201120C66.5</stp>
        <tr r="K842" s="1"/>
      </tp>
      <tp t="s">
        <v>N/A</v>
        <stp/>
        <stp>STRIKE</stp>
        <stp>.SCHP201120C61</stp>
        <tr r="W532" s="1"/>
      </tp>
      <tp>
        <v>0.34</v>
        <stp/>
        <stp>LOW</stp>
        <stp>.GDX201120P36.5</stp>
        <tr r="K197" s="1"/>
      </tp>
      <tp t="s">
        <v>N/A</v>
        <stp/>
        <stp>INTRINSIC</stp>
        <stp>.XLV201120C110</stp>
        <tr r="R857" s="1"/>
      </tp>
      <tp t="s">
        <v>N/A</v>
        <stp/>
        <stp>INTRINSIC</stp>
        <stp>.XLV201120P110</stp>
        <tr r="R858" s="1"/>
      </tp>
      <tp>
        <v>1.45</v>
        <stp/>
        <stp>LOW</stp>
        <stp>.GDX201120C36.5</stp>
        <tr r="K196" s="1"/>
      </tp>
      <tp t="s">
        <v>N/A</v>
        <stp/>
        <stp>INTRINSIC</stp>
        <stp>.XLV201120C111</stp>
        <tr r="R861" s="1"/>
      </tp>
      <tp t="s">
        <v>N/A</v>
        <stp/>
        <stp>INTRINSIC</stp>
        <stp>.XLV201120P111</stp>
        <tr r="R862" s="1"/>
      </tp>
      <tp t="s">
        <v>N/A</v>
        <stp/>
        <stp>INTRINSIC</stp>
        <stp>.XLV201120C112</stp>
        <tr r="R865" s="1"/>
      </tp>
      <tp t="s">
        <v>N/A</v>
        <stp/>
        <stp>INTRINSIC</stp>
        <stp>.XLV201120P112</stp>
        <tr r="R866" s="1"/>
      </tp>
      <tp t="s">
        <v>N/A</v>
        <stp/>
        <stp>BID</stp>
        <stp>.EWU201120P28.5</stp>
        <tr r="H153" s="1"/>
      </tp>
      <tp t="s">
        <v>N/A</v>
        <stp/>
        <stp>BID</stp>
        <stp>.EWW201120P38.5</stp>
        <tr r="H156" s="1"/>
      </tp>
      <tp>
        <v>0.19</v>
        <stp/>
        <stp>BID</stp>
        <stp>.EEM201120C48.5</stp>
        <tr r="H99" s="1"/>
      </tp>
      <tp>
        <v>9</v>
        <stp/>
        <stp>VOLUME</stp>
        <stp>.DFEN201120P14</stp>
        <tr r="F58" s="1"/>
      </tp>
      <tp>
        <v>70</v>
        <stp/>
        <stp>VOLUME</stp>
        <stp>.DFEN201120P13</stp>
        <tr r="F56" s="1"/>
      </tp>
      <tp>
        <v>1</v>
        <stp/>
        <stp>BID</stp>
        <stp>.EEM201120P48.5</stp>
        <tr r="H100" s="1"/>
      </tp>
      <tp t="s">
        <v>N/A</v>
        <stp/>
        <stp>BID</stp>
        <stp>.EWU201120C28.5</stp>
        <tr r="H152" s="1"/>
      </tp>
      <tp t="s">
        <v>N/A</v>
        <stp/>
        <stp>BID</stp>
        <stp>.EWW201120C38.5</stp>
        <tr r="H155" s="1"/>
      </tp>
      <tp t="s">
        <v>N/A</v>
        <stp/>
        <stp>STRIKE</stp>
        <stp>.ASHR201120C38</stp>
        <tr r="W46" s="1"/>
      </tp>
      <tp>
        <v>0.72</v>
        <stp/>
        <stp>LOW</stp>
        <stp>.KRE201120C46.5</stp>
        <tr r="K391" s="1"/>
      </tp>
      <tp>
        <v>0</v>
        <stp/>
        <stp>LOW</stp>
        <stp>.KRE201120P46.5</stp>
        <tr r="K392" s="1"/>
      </tp>
      <tp t="s">
        <v>N/A</v>
        <stp/>
        <stp>VOLUME</stp>
        <stp>.KWEB201120P73</stp>
        <tr r="F401" s="1"/>
      </tp>
      <tp t="s">
        <v>N/A</v>
        <stp/>
        <stp>VOLUME</stp>
        <stp>.KWEB201120P72</stp>
        <tr r="F399" s="1"/>
      </tp>
      <tp>
        <v>159</v>
        <stp/>
        <stp>VOLUME</stp>
        <stp>.KWEB201120P74</stp>
        <tr r="F403" s="1"/>
      </tp>
      <tp>
        <v>5.3</v>
        <stp/>
        <stp>ASK</stp>
        <stp>.QLD201120P101</stp>
        <tr r="I474" s="1"/>
      </tp>
      <tp>
        <v>1.5</v>
        <stp/>
        <stp>ASK</stp>
        <stp>.QLD201120C101</stp>
        <tr r="I473" s="1"/>
      </tp>
      <tp>
        <v>4.5999999999999996</v>
        <stp/>
        <stp>ASK</stp>
        <stp>.QLD201120P100</stp>
        <tr r="I472" s="1"/>
      </tp>
      <tp>
        <v>2.2999999999999998</v>
        <stp/>
        <stp>ASK</stp>
        <stp>.QLD201120C100</stp>
        <tr r="I471" s="1"/>
      </tp>
      <tp>
        <v>0.4</v>
        <stp/>
        <stp>BID</stp>
        <stp>.IWD201120C130</stp>
        <tr r="H338" s="1"/>
      </tp>
      <tp t="s">
        <v>N/A</v>
        <stp/>
        <stp>BID</stp>
        <stp>.LQD201120C135</stp>
        <tr r="H407" s="1"/>
      </tp>
      <tp t="s">
        <v>N/A</v>
        <stp/>
        <stp>BID</stp>
        <stp>.IWD201120P130</stp>
        <tr r="H339" s="1"/>
      </tp>
      <tp>
        <v>0.37</v>
        <stp/>
        <stp>BID</stp>
        <stp>.LQD201120P135</stp>
        <tr r="H408" s="1"/>
      </tp>
      <tp>
        <v>2.7</v>
        <stp/>
        <stp>ASK</stp>
        <stp>.QLD201120P96</stp>
        <tr r="I464" s="1"/>
      </tp>
      <tp>
        <v>3.2</v>
        <stp/>
        <stp>ASK</stp>
        <stp>.QLD201120P97</stp>
        <tr r="I466" s="1"/>
      </tp>
      <tp>
        <v>3.6</v>
        <stp/>
        <stp>ASK</stp>
        <stp>.QLD201120P98</stp>
        <tr r="I468" s="1"/>
      </tp>
      <tp>
        <v>4.0999999999999996</v>
        <stp/>
        <stp>ASK</stp>
        <stp>.QLD201120P99</stp>
        <tr r="I470" s="1"/>
      </tp>
      <tp t="s">
        <v>N/A</v>
        <stp/>
        <stp>BID</stp>
        <stp>.IWD201120C129</stp>
        <tr r="H336" s="1"/>
      </tp>
      <tp t="s">
        <v>N/A</v>
        <stp/>
        <stp>BID</stp>
        <stp>.IWD201120P129</stp>
        <tr r="H337" s="1"/>
      </tp>
      <tp t="s">
        <v>N/A</v>
        <stp/>
        <stp>BID</stp>
        <stp>.IWD201120C128</stp>
        <tr r="H334" s="1"/>
      </tp>
      <tp t="s">
        <v>N/A</v>
        <stp/>
        <stp>BID</stp>
        <stp>.IWD201120P128</stp>
        <tr r="H335" s="1"/>
      </tp>
      <tp t="s">
        <v>N/A</v>
        <stp/>
        <stp>ASK</stp>
        <stp>.IWD201120C129</stp>
        <tr r="I336" s="1"/>
      </tp>
      <tp t="s">
        <v>N/A</v>
        <stp/>
        <stp>ASK</stp>
        <stp>.IWD201120P129</stp>
        <tr r="I337" s="1"/>
      </tp>
      <tp t="s">
        <v>N/A</v>
        <stp/>
        <stp>ASK</stp>
        <stp>.IWD201120C128</stp>
        <tr r="I334" s="1"/>
      </tp>
      <tp t="s">
        <v>N/A</v>
        <stp/>
        <stp>ASK</stp>
        <stp>.IWD201120P128</stp>
        <tr r="I335" s="1"/>
      </tp>
      <tp t="s">
        <v>N/A</v>
        <stp/>
        <stp>ASK</stp>
        <stp>.LQD201120C135</stp>
        <tr r="I407" s="1"/>
      </tp>
      <tp>
        <v>0.65</v>
        <stp/>
        <stp>ASK</stp>
        <stp>.IWD201120C130</stp>
        <tr r="I338" s="1"/>
      </tp>
      <tp>
        <v>0.49</v>
        <stp/>
        <stp>ASK</stp>
        <stp>.LQD201120P135</stp>
        <tr r="I408" s="1"/>
      </tp>
      <tp t="s">
        <v>N/A</v>
        <stp/>
        <stp>ASK</stp>
        <stp>.IWD201120P130</stp>
        <tr r="I339" s="1"/>
      </tp>
      <tp>
        <v>3.5</v>
        <stp/>
        <stp>BID</stp>
        <stp>.QLD201120P101</stp>
        <tr r="H474" s="1"/>
      </tp>
      <tp>
        <v>1.1499999999999999</v>
        <stp/>
        <stp>BID</stp>
        <stp>.QLD201120C101</stp>
        <tr r="H473" s="1"/>
      </tp>
      <tp>
        <v>4.3</v>
        <stp/>
        <stp>BID</stp>
        <stp>.QLD201120P100</stp>
        <tr r="H472" s="1"/>
      </tp>
      <tp>
        <v>1.55</v>
        <stp/>
        <stp>BID</stp>
        <stp>.QLD201120C100</stp>
        <tr r="H471" s="1"/>
      </tp>
      <tp t="s">
        <v>N/A</v>
        <stp/>
        <stp>ASK</stp>
        <stp>.XLI201120P84</stp>
        <tr r="I815" s="1"/>
      </tp>
      <tp>
        <v>2.13</v>
        <stp/>
        <stp>ASK</stp>
        <stp>.XLI201120P85</stp>
        <tr r="I819" s="1"/>
      </tp>
      <tp t="s">
        <v>N/A</v>
        <stp/>
        <stp>ASK</stp>
        <stp>.XLI201120P86</stp>
        <tr r="I823" s="1"/>
      </tp>
      <tp>
        <v>1.5</v>
        <stp/>
        <stp>LOW</stp>
        <stp>.QLD201120C101</stp>
        <tr r="K473" s="1"/>
      </tp>
      <tp>
        <v>4.25</v>
        <stp/>
        <stp>LOW</stp>
        <stp>.QLD201120P101</stp>
        <tr r="K474" s="1"/>
      </tp>
      <tp>
        <v>1.75</v>
        <stp/>
        <stp>LOW</stp>
        <stp>.QLD201120C100</stp>
        <tr r="K471" s="1"/>
      </tp>
      <tp>
        <v>4.5</v>
        <stp/>
        <stp>LOW</stp>
        <stp>.QLD201120P100</stp>
        <tr r="K472" s="1"/>
      </tp>
      <tp t="s">
        <v>N/A</v>
        <stp/>
        <stp>LOW</stp>
        <stp>.IWD201120P130</stp>
        <tr r="K339" s="1"/>
      </tp>
      <tp>
        <v>0.35</v>
        <stp/>
        <stp>LOW</stp>
        <stp>.LQD201120P135</stp>
        <tr r="K408" s="1"/>
      </tp>
      <tp>
        <v>0.63</v>
        <stp/>
        <stp>LOW</stp>
        <stp>.IWD201120C130</stp>
        <tr r="K338" s="1"/>
      </tp>
      <tp t="s">
        <v>N/A</v>
        <stp/>
        <stp>LOW</stp>
        <stp>.LQD201120C135</stp>
        <tr r="K407" s="1"/>
      </tp>
      <tp t="s">
        <v>N/A</v>
        <stp/>
        <stp>LOW</stp>
        <stp>.IWD201120P129</stp>
        <tr r="K337" s="1"/>
      </tp>
      <tp t="s">
        <v>N/A</v>
        <stp/>
        <stp>LOW</stp>
        <stp>.IWD201120C129</stp>
        <tr r="K336" s="1"/>
      </tp>
      <tp t="s">
        <v>N/A</v>
        <stp/>
        <stp>LOW</stp>
        <stp>.IWD201120P128</stp>
        <tr r="K335" s="1"/>
      </tp>
      <tp t="s">
        <v>N/A</v>
        <stp/>
        <stp>LOW</stp>
        <stp>.IWD201120C128</stp>
        <tr r="K334" s="1"/>
      </tp>
      <tp t="s">
        <v>N/A</v>
        <stp/>
        <stp>ASK</stp>
        <stp>.XLC201120P64</stp>
        <tr r="I802" s="1"/>
      </tp>
      <tp t="s">
        <v>N/A</v>
        <stp/>
        <stp>ASK</stp>
        <stp>.XLB201120P70</stp>
        <tr r="I795" s="1"/>
      </tp>
      <tp t="s">
        <v>N/A</v>
        <stp/>
        <stp>ASK</stp>
        <stp>.XLC201120P63</stp>
        <tr r="I798" s="1"/>
      </tp>
      <tp t="s">
        <v>N/A</v>
        <stp/>
        <stp>DESCRIPTION</stp>
        <stp>.IJR201120P80</stp>
        <tr r="B276" s="1"/>
      </tp>
      <tp t="s">
        <v>N/A</v>
        <stp/>
        <stp>DESCRIPTION</stp>
        <stp>.IYR201120C84</stp>
        <tr r="B367" s="1"/>
      </tp>
      <tp t="s">
        <v>N/A</v>
        <stp/>
        <stp>DESCRIPTION</stp>
        <stp>.IYR201120C85</stp>
        <tr r="B371" s="1"/>
      </tp>
      <tp t="s">
        <v>N/A</v>
        <stp/>
        <stp>ASK</stp>
        <stp>.ILF201120P25</stp>
        <tr r="I279" s="1"/>
      </tp>
      <tp>
        <v>0.73</v>
        <stp/>
        <stp>ASK</stp>
        <stp>.XLF201120P27</stp>
        <tr r="I812" s="1"/>
      </tp>
      <tp>
        <v>2.2799999999999998</v>
        <stp/>
        <stp>ASK</stp>
        <stp>.XLB201120P69</stp>
        <tr r="I791" s="1"/>
      </tp>
      <tp t="s">
        <v>N/A</v>
        <stp/>
        <stp>RHO</stp>
        <stp>.XHB201120P56</stp>
        <tr r="Q786" s="1"/>
      </tp>
      <tp t="s">
        <v>N/A</v>
        <stp/>
        <stp>RHO</stp>
        <stp>.XHB201120P55</stp>
        <tr r="Q782" s="1"/>
      </tp>
      <tp>
        <v>1.73</v>
        <stp/>
        <stp>ASK</stp>
        <stp>.XLE201120P34</stp>
        <tr r="I807" s="1"/>
      </tp>
      <tp t="s">
        <v>N/A</v>
        <stp/>
        <stp>DESCRIPTION</stp>
        <stp>.MDY201120P380</stp>
        <tr r="B416" s="1"/>
      </tp>
      <tp t="s">
        <v>N/A</v>
        <stp/>
        <stp>DESCRIPTION</stp>
        <stp>.MDY201120C380</stp>
        <tr r="B415" s="1"/>
      </tp>
      <tp t="s">
        <v>N/A</v>
        <stp/>
        <stp>DESCRIPTION</stp>
        <stp>.MDY201120P385</stp>
        <tr r="B420" s="1"/>
      </tp>
      <tp t="s">
        <v>N/A</v>
        <stp/>
        <stp>DESCRIPTION</stp>
        <stp>.MDY201120C385</stp>
        <tr r="B419" s="1"/>
      </tp>
      <tp t="s">
        <v>N/A</v>
        <stp/>
        <stp>DESCRIPTION</stp>
        <stp>.IYE201120C18</stp>
        <tr r="B364" s="1"/>
      </tp>
      <tp t="s">
        <v>N/A</v>
        <stp/>
        <stp>DESCRIPTION</stp>
        <stp>.VYM201120C88</stp>
        <tr r="B761" s="1"/>
      </tp>
      <tp t="s">
        <v>N/A</v>
        <stp/>
        <stp>DESCRIPTION</stp>
        <stp>.VYM201120C87</stp>
        <tr r="B759" s="1"/>
      </tp>
      <tp t="s">
        <v>N/A</v>
        <stp/>
        <stp>RHO</stp>
        <stp>.IWD201120C130</stp>
        <tr r="Q338" s="1"/>
      </tp>
      <tp t="s">
        <v>N/A</v>
        <stp/>
        <stp>RHO</stp>
        <stp>.LQD201120C135</stp>
        <tr r="Q407" s="1"/>
      </tp>
      <tp t="s">
        <v>N/A</v>
        <stp/>
        <stp>RHO</stp>
        <stp>.IWD201120P130</stp>
        <tr r="Q339" s="1"/>
      </tp>
      <tp t="s">
        <v>N/A</v>
        <stp/>
        <stp>RHO</stp>
        <stp>.LQD201120P135</stp>
        <tr r="Q408" s="1"/>
      </tp>
      <tp t="s">
        <v>N/A</v>
        <stp/>
        <stp>STRIKE</stp>
        <stp>XLRE</stp>
        <tr r="W846" s="1"/>
      </tp>
      <tp t="s">
        <v>N/A</v>
        <stp/>
        <stp>RHO</stp>
        <stp>.IWD201120C128</stp>
        <tr r="Q334" s="1"/>
      </tp>
      <tp t="s">
        <v>N/A</v>
        <stp/>
        <stp>RHO</stp>
        <stp>.IWD201120P128</stp>
        <tr r="Q335" s="1"/>
      </tp>
      <tp t="s">
        <v>N/A</v>
        <stp/>
        <stp>RHO</stp>
        <stp>.IWD201120C129</stp>
        <tr r="Q336" s="1"/>
      </tp>
      <tp t="s">
        <v>N/A</v>
        <stp/>
        <stp>RHO</stp>
        <stp>.IWD201120P129</stp>
        <tr r="Q337" s="1"/>
      </tp>
      <tp>
        <v>0.1</v>
        <stp/>
        <stp>BID</stp>
        <stp>.SCZ201120P63</stp>
        <tr r="H536" s="1"/>
      </tp>
      <tp t="s">
        <v>N/A</v>
        <stp/>
        <stp>LOW</stp>
        <stp>.SCZ201120C63</stp>
        <tr r="K535" s="1"/>
      </tp>
      <tp t="s">
        <v>N/A</v>
        <stp/>
        <stp>RHO</stp>
        <stp>.QLD201120P100</stp>
        <tr r="Q472" s="1"/>
      </tp>
      <tp t="s">
        <v>N/A</v>
        <stp/>
        <stp>RHO</stp>
        <stp>.QLD201120C100</stp>
        <tr r="Q471" s="1"/>
      </tp>
      <tp t="s">
        <v>N/A</v>
        <stp/>
        <stp>RHO</stp>
        <stp>.QLD201120P101</stp>
        <tr r="Q474" s="1"/>
      </tp>
      <tp t="s">
        <v>N/A</v>
        <stp/>
        <stp>RHO</stp>
        <stp>.QLD201120C101</stp>
        <tr r="Q473" s="1"/>
      </tp>
      <tp t="s">
        <v>N/A</v>
        <stp/>
        <stp>DESCRIPTION</stp>
        <stp>.HYG201120C86</stp>
        <tr r="B223" s="1"/>
      </tp>
      <tp>
        <v>1.45</v>
        <stp/>
        <stp>ASK</stp>
        <stp>.XLU201120P66</stp>
        <tr r="I851" s="1"/>
      </tp>
      <tp>
        <v>1.86</v>
        <stp/>
        <stp>ASK</stp>
        <stp>.XLU201120P67</stp>
        <tr r="I855" s="1"/>
      </tp>
      <tp t="s">
        <v>SPY 100 (Weeklys) 18 NOV 20 359 CALL</v>
        <stp/>
        <stp>DESCRIPTION</stp>
        <stp>.SPY201118C359</stp>
        <tr r="B603" s="1"/>
      </tp>
      <tp t="s">
        <v>SPY 100 20 NOV 20 361 CALL</v>
        <stp/>
        <stp>DESCRIPTION</stp>
        <stp>.SPY201120C361</stp>
        <tr r="B627" s="1"/>
      </tp>
      <tp t="s">
        <v>SPY 100 (Weeklys) 18 NOV 20 359 PUT</v>
        <stp/>
        <stp>DESCRIPTION</stp>
        <stp>.SPY201118P359</stp>
        <tr r="B604" s="1"/>
      </tp>
      <tp t="s">
        <v>SPY 100 20 NOV 20 361 PUT</v>
        <stp/>
        <stp>DESCRIPTION</stp>
        <stp>.SPY201120P361</stp>
        <tr r="B628" s="1"/>
      </tp>
      <tp t="s">
        <v>SPY 100 (Weeklys) 18 NOV 20 358 CALL</v>
        <stp/>
        <stp>DESCRIPTION</stp>
        <stp>.SPY201118C358</stp>
        <tr r="B601" s="1"/>
      </tp>
      <tp t="s">
        <v>SPY 100 20 NOV 20 360 CALL</v>
        <stp/>
        <stp>DESCRIPTION</stp>
        <stp>.SPY201120C360</stp>
        <tr r="B625" s="1"/>
      </tp>
      <tp t="s">
        <v>SPY 100 (Weeklys) 18 NOV 20 358 PUT</v>
        <stp/>
        <stp>DESCRIPTION</stp>
        <stp>.SPY201118P358</stp>
        <tr r="B602" s="1"/>
      </tp>
      <tp t="s">
        <v>SPY 100 20 NOV 20 360 PUT</v>
        <stp/>
        <stp>DESCRIPTION</stp>
        <stp>.SPY201120P360</stp>
        <tr r="B626" s="1"/>
      </tp>
      <tp t="s">
        <v>SPY 100 (Weeklys) 18 NOV 20 357 CALL</v>
        <stp/>
        <stp>DESCRIPTION</stp>
        <stp>.SPY201118C357</stp>
        <tr r="B599" s="1"/>
      </tp>
      <tp t="s">
        <v>SPY 100 (Weeklys) 18 NOV 20 357 PUT</v>
        <stp/>
        <stp>DESCRIPTION</stp>
        <stp>.SPY201118P357</stp>
        <tr r="B600" s="1"/>
      </tp>
      <tp t="s">
        <v>SPY 100 (Weeklys) 18 NOV 20 356 CALL</v>
        <stp/>
        <stp>DESCRIPTION</stp>
        <stp>.SPY201118C356</stp>
        <tr r="B597" s="1"/>
      </tp>
      <tp t="s">
        <v>SPY 100 (Weeklys) 18 NOV 20 356 PUT</v>
        <stp/>
        <stp>DESCRIPTION</stp>
        <stp>.SPY201118P356</stp>
        <tr r="B598" s="1"/>
      </tp>
      <tp t="s">
        <v>SPY 100 (Weeklys) 18 NOV 20 355 CALL</v>
        <stp/>
        <stp>DESCRIPTION</stp>
        <stp>.SPY201118C355</stp>
        <tr r="B595" s="1"/>
      </tp>
      <tp t="s">
        <v>SPY 100 (Weeklys) 18 NOV 20 355 PUT</v>
        <stp/>
        <stp>DESCRIPTION</stp>
        <stp>.SPY201118P355</stp>
        <tr r="B596" s="1"/>
      </tp>
      <tp t="s">
        <v>SPY 100 (Weeklys) 18 NOV 20 354 CALL</v>
        <stp/>
        <stp>DESCRIPTION</stp>
        <stp>.SPY201118C354</stp>
        <tr r="B593" s="1"/>
      </tp>
      <tp t="s">
        <v>SPY 100 (Weeklys) 18 NOV 20 354 PUT</v>
        <stp/>
        <stp>DESCRIPTION</stp>
        <stp>.SPY201118P354</stp>
        <tr r="B594" s="1"/>
      </tp>
      <tp t="s">
        <v>SPY 100 (Weeklys) 18 NOV 20 353 CALL</v>
        <stp/>
        <stp>DESCRIPTION</stp>
        <stp>.SPY201118C353</stp>
        <tr r="B591" s="1"/>
      </tp>
      <tp t="s">
        <v>SPY 100 (Weeklys) 18 NOV 20 353 PUT</v>
        <stp/>
        <stp>DESCRIPTION</stp>
        <stp>.SPY201118P353</stp>
        <tr r="B592" s="1"/>
      </tp>
      <tp t="s">
        <v>SPY 100 20 NOV 20 357 CALL</v>
        <stp/>
        <stp>DESCRIPTION</stp>
        <stp>.SPY201120C357</stp>
        <tr r="B617" s="1"/>
      </tp>
      <tp t="s">
        <v>SPY 100 20 NOV 20 357 PUT</v>
        <stp/>
        <stp>DESCRIPTION</stp>
        <stp>.SPY201120P357</stp>
        <tr r="B618" s="1"/>
      </tp>
      <tp t="s">
        <v>SPY 100 20 NOV 20 356 CALL</v>
        <stp/>
        <stp>DESCRIPTION</stp>
        <stp>.SPY201120C356</stp>
        <tr r="B615" s="1"/>
      </tp>
      <tp t="s">
        <v>SPY 100 20 NOV 20 356 PUT</v>
        <stp/>
        <stp>DESCRIPTION</stp>
        <stp>.SPY201120P356</stp>
        <tr r="B616" s="1"/>
      </tp>
      <tp t="s">
        <v>SPY 100 20 NOV 20 355 CALL</v>
        <stp/>
        <stp>DESCRIPTION</stp>
        <stp>.SPY201120C355</stp>
        <tr r="B613" s="1"/>
      </tp>
      <tp t="s">
        <v>SPY 100 20 NOV 20 355 PUT</v>
        <stp/>
        <stp>DESCRIPTION</stp>
        <stp>.SPY201120P355</stp>
        <tr r="B614" s="1"/>
      </tp>
      <tp t="s">
        <v>SPY 100 20 NOV 20 354 CALL</v>
        <stp/>
        <stp>DESCRIPTION</stp>
        <stp>.SPY201120C354</stp>
        <tr r="B611" s="1"/>
      </tp>
      <tp t="s">
        <v>SPY 100 20 NOV 20 354 PUT</v>
        <stp/>
        <stp>DESCRIPTION</stp>
        <stp>.SPY201120P354</stp>
        <tr r="B612" s="1"/>
      </tp>
      <tp t="s">
        <v>SPY 100 20 NOV 20 353 CALL</v>
        <stp/>
        <stp>DESCRIPTION</stp>
        <stp>.SPY201120C353</stp>
        <tr r="B609" s="1"/>
      </tp>
      <tp t="s">
        <v>SPY 100 20 NOV 20 353 PUT</v>
        <stp/>
        <stp>DESCRIPTION</stp>
        <stp>.SPY201120P353</stp>
        <tr r="B610" s="1"/>
      </tp>
      <tp t="s">
        <v>SPY 100 20 NOV 20 359 CALL</v>
        <stp/>
        <stp>DESCRIPTION</stp>
        <stp>.SPY201120C359</stp>
        <tr r="B623" s="1"/>
      </tp>
      <tp t="s">
        <v>SPY 100 20 NOV 20 359 PUT</v>
        <stp/>
        <stp>DESCRIPTION</stp>
        <stp>.SPY201120P359</stp>
        <tr r="B624" s="1"/>
      </tp>
      <tp t="s">
        <v>SPY 100 (Weeklys) 18 NOV 20 360 CALL</v>
        <stp/>
        <stp>DESCRIPTION</stp>
        <stp>.SPY201118C360</stp>
        <tr r="B605" s="1"/>
      </tp>
      <tp t="s">
        <v>SPY 100 20 NOV 20 358 CALL</v>
        <stp/>
        <stp>DESCRIPTION</stp>
        <stp>.SPY201120C358</stp>
        <tr r="B621" s="1"/>
      </tp>
      <tp t="s">
        <v>SPY 100 (Weeklys) 18 NOV 20 360 PUT</v>
        <stp/>
        <stp>DESCRIPTION</stp>
        <stp>.SPY201118P360</stp>
        <tr r="B606" s="1"/>
      </tp>
      <tp t="s">
        <v>SPY 100 20 NOV 20 358 PUT</v>
        <stp/>
        <stp>DESCRIPTION</stp>
        <stp>.SPY201120P358</stp>
        <tr r="B622" s="1"/>
      </tp>
      <tp>
        <v>1.19</v>
        <stp/>
        <stp>ASK</stp>
        <stp>.XLP201120P67</stp>
        <tr r="I845" s="1"/>
      </tp>
      <tp t="s">
        <v>N/A</v>
        <stp/>
        <stp>PROB_OF_TOUCHING</stp>
        <stp>.GDXJ201120C53.5</stp>
        <tr r="V209" s="1"/>
      </tp>
      <tp t="s">
        <v>N/A</v>
        <stp/>
        <stp>PROB_OF_TOUCHING</stp>
        <stp>.GDXJ201120P53.5</stp>
        <tr r="V210" s="1"/>
      </tp>
      <tp t="s">
        <v>N/A</v>
        <stp/>
        <stp>PROB_OTM</stp>
        <stp>EWA</stp>
        <tr r="U120" s="1"/>
      </tp>
      <tp t="s">
        <v>N/A</v>
        <stp/>
        <stp>PROB_OTM</stp>
        <stp>EWC</stp>
        <tr r="U123" s="1"/>
      </tp>
      <tp t="s">
        <v>N/A</v>
        <stp/>
        <stp>PROB_OTM</stp>
        <stp>EWG</stp>
        <tr r="U126" s="1"/>
      </tp>
      <tp t="s">
        <v>N/A</v>
        <stp/>
        <stp>PROB_OTM</stp>
        <stp>EWI</stp>
        <tr r="U132" s="1"/>
      </tp>
      <tp t="s">
        <v>N/A</v>
        <stp/>
        <stp>PROB_OTM</stp>
        <stp>EWH</stp>
        <tr r="U129" s="1"/>
      </tp>
      <tp t="s">
        <v>N/A</v>
        <stp/>
        <stp>PROB_OTM</stp>
        <stp>EWJ</stp>
        <tr r="U135" s="1"/>
      </tp>
      <tp t="s">
        <v>N/A</v>
        <stp/>
        <stp>PROB_OTM</stp>
        <stp>EWL</stp>
        <tr r="U142" s="1"/>
      </tp>
      <tp t="s">
        <v>N/A</v>
        <stp/>
        <stp>PROB_OTM</stp>
        <stp>EWP</stp>
        <tr r="U145" s="1"/>
      </tp>
      <tp>
        <v>0</v>
        <stp/>
        <stp>OPEN_INT</stp>
        <stp>AGG</stp>
        <tr r="G15" s="1"/>
      </tp>
      <tp t="s">
        <v>N/A</v>
        <stp/>
        <stp>PROB_OTM</stp>
        <stp>EWU</stp>
        <tr r="U151" s="1"/>
      </tp>
      <tp t="s">
        <v>N/A</v>
        <stp/>
        <stp>PROB_OTM</stp>
        <stp>EWT</stp>
        <tr r="U148" s="1"/>
      </tp>
      <tp t="s">
        <v>N/A</v>
        <stp/>
        <stp>PROB_OTM</stp>
        <stp>EWW</stp>
        <tr r="U154" s="1"/>
      </tp>
      <tp t="s">
        <v>N/A</v>
        <stp/>
        <stp>PROB_OTM</stp>
        <stp>EWY</stp>
        <tr r="U161" s="1"/>
      </tp>
      <tp t="s">
        <v>N/A</v>
        <stp/>
        <stp>PROB_OTM</stp>
        <stp>EWZ</stp>
        <tr r="U172" s="1"/>
      </tp>
      <tp t="s">
        <v>N/A</v>
        <stp/>
        <stp>VOLUME</stp>
        <stp>.IYR201120C84.5</stp>
        <tr r="F369" s="1"/>
      </tp>
      <tp t="s">
        <v>N/A</v>
        <stp/>
        <stp>VOLUME</stp>
        <stp>.ITB201120C54.5</stp>
        <tr r="F289" s="1"/>
      </tp>
      <tp t="s">
        <v>N/A</v>
        <stp/>
        <stp>VOLUME</stp>
        <stp>.IYR201120P84.5</stp>
        <tr r="F370" s="1"/>
      </tp>
      <tp t="s">
        <v>N/A</v>
        <stp/>
        <stp>VOLUME</stp>
        <stp>.ITB201120P54.5</stp>
        <tr r="F290" s="1"/>
      </tp>
      <tp t="s">
        <v>N/A</v>
        <stp/>
        <stp>PROB_OTM</stp>
        <stp>EZU</stp>
        <tr r="U177" s="1"/>
      </tp>
      <tp t="s">
        <v>N/A</v>
        <stp/>
        <stp>PROB_OF_EXPIRING</stp>
        <stp>TLT</stp>
        <tr r="T689" s="1"/>
      </tp>
      <tp t="s">
        <v>N/A</v>
        <stp/>
        <stp>PROB_OTM</stp>
        <stp>EFA</stp>
        <tr r="U101" s="1"/>
      </tp>
      <tp t="s">
        <v>N/A</v>
        <stp/>
        <stp>PROB_OTM</stp>
        <stp>EFV</stp>
        <tr r="U108" s="1"/>
      </tp>
      <tp t="s">
        <v>N/A</v>
        <stp/>
        <stp>VOLUME</stp>
        <stp>.XLI201120P84.5</stp>
        <tr r="F817" s="1"/>
      </tp>
      <tp>
        <v>557</v>
        <stp/>
        <stp>VOLUME</stp>
        <stp>.XLE201120P34.5</stp>
        <tr r="F809" s="1"/>
      </tp>
      <tp t="s">
        <v>N/A</v>
        <stp/>
        <stp>VOLUME</stp>
        <stp>.XRT201120C54.5</stp>
        <tr r="F905" s="1"/>
      </tp>
      <tp t="s">
        <v>N/A</v>
        <stp/>
        <stp>VOLUME</stp>
        <stp>.XLI201120C84.5</stp>
        <tr r="F816" s="1"/>
      </tp>
      <tp>
        <v>496</v>
        <stp/>
        <stp>VOLUME</stp>
        <stp>.XLE201120C34.5</stp>
        <tr r="F808" s="1"/>
      </tp>
      <tp t="s">
        <v>N/A</v>
        <stp/>
        <stp>VOLUME</stp>
        <stp>.XRT201120P54.5</stp>
        <tr r="F906" s="1"/>
      </tp>
      <tp t="s">
        <v>N/A</v>
        <stp/>
        <stp>PROB_OTM</stp>
        <stp>EEM</stp>
        <tr r="U94" s="1"/>
      </tp>
      <tp t="s">
        <v>N/A</v>
        <stp/>
        <stp>PROB_OF_EXPIRING</stp>
        <stp>TIP</stp>
        <tr r="T686" s="1"/>
      </tp>
      <tp t="s">
        <v>N/A</v>
        <stp/>
        <stp>VOLUME</stp>
        <stp>.TAN201120P74.5</stp>
        <tr r="F669" s="1"/>
      </tp>
      <tp t="s">
        <v>N/A</v>
        <stp/>
        <stp>VOLUME</stp>
        <stp>.TAN201120C74.5</stp>
        <tr r="F668" s="1"/>
      </tp>
      <tp t="s">
        <v>N/A</v>
        <stp/>
        <stp>PROB_OF_EXPIRING</stp>
        <stp>TBF</stp>
        <tr r="T680" s="1"/>
      </tp>
      <tp t="s">
        <v>N/A</v>
        <stp/>
        <stp>PROB_OF_EXPIRING</stp>
        <stp>TBT</stp>
        <tr r="T683" s="1"/>
      </tp>
      <tp t="s">
        <v>N/A</v>
        <stp/>
        <stp>VOLUME</stp>
        <stp>.SSO201120C84.5</stp>
        <tr r="F657" s="1"/>
      </tp>
      <tp t="s">
        <v>N/A</v>
        <stp/>
        <stp>VOLUME</stp>
        <stp>.SSO201120P84.5</stp>
        <tr r="F658" s="1"/>
      </tp>
      <tp t="s">
        <v>N/A</v>
        <stp/>
        <stp>PROB_OTM</stp>
        <stp>EMB</stp>
        <tr r="U111" s="1"/>
      </tp>
      <tp t="s">
        <v>N/A</v>
        <stp/>
        <stp>PROB_OF_EXPIRING</stp>
        <stp>TAN</stp>
        <tr r="T659" s="1"/>
      </tp>
      <tp t="s">
        <v>N/A</v>
        <stp/>
        <stp>INTRINSIC</stp>
        <stp>GDXJ</stp>
        <tr r="R202" s="1"/>
      </tp>
      <tp t="s">
        <v>N/A</v>
        <stp/>
        <stp>PROB_OF_TOUCHING</stp>
        <stp>.XBI201120P123.5</stp>
        <tr r="V771" s="1"/>
      </tp>
      <tp t="s">
        <v>N/A</v>
        <stp/>
        <stp>PROB_OTM</stp>
        <stp>.TLT201120P156.5</stp>
        <tr r="U697" s="1"/>
      </tp>
      <tp t="s">
        <v>N/A</v>
        <stp/>
        <stp>IMPL_VOL</stp>
        <stp>.QQQ201120C287.5</stp>
        <tr r="D480" s="1"/>
      </tp>
      <tp t="s">
        <v>N/A</v>
        <stp/>
        <stp>OPEN</stp>
        <stp>.FEZ201120C39.5</stp>
        <tr r="L181" s="1"/>
      </tp>
      <tp>
        <v>0</v>
        <stp/>
        <stp>OPEN</stp>
        <stp>.FEZ201120P39.5</stp>
        <tr r="L182" s="1"/>
      </tp>
      <tp t="s">
        <v>N/A</v>
        <stp/>
        <stp>OPEN</stp>
        <stp>.EFA201120C69.5</stp>
        <tr r="L104" s="1"/>
      </tp>
      <tp t="s">
        <v>N/A</v>
        <stp/>
        <stp>OPEN</stp>
        <stp>.EWW201120P39.5</stp>
        <tr r="L160" s="1"/>
      </tp>
      <tp t="s">
        <v>N/A</v>
        <stp/>
        <stp>OPEN</stp>
        <stp>.EWW201120C39.5</stp>
        <tr r="L159" s="1"/>
      </tp>
      <tp t="s">
        <v>N/A</v>
        <stp/>
        <stp>OPEN</stp>
        <stp>.EFA201120P69.5</stp>
        <tr r="L105" s="1"/>
      </tp>
      <tp t="s">
        <v>N/A</v>
        <stp/>
        <stp>EXTRINSIC</stp>
        <stp>GDXJ</stp>
        <tr r="S202" s="1"/>
      </tp>
      <tp t="s">
        <v>N/A</v>
        <stp/>
        <stp>IMPL_VOL</stp>
        <stp>.SMH201120P195.5</stp>
        <tr r="D565" s="1"/>
      </tp>
      <tp t="s">
        <v>N/A</v>
        <stp/>
        <stp>PROB_OF_TOUCHING</stp>
        <stp>.XLY201120P153.5</stp>
        <tr r="V877" s="1"/>
      </tp>
      <tp t="s">
        <v>N/A</v>
        <stp/>
        <stp>PROB_OF_TOUCHING</stp>
        <stp>.SMH201120P198.5</stp>
        <tr r="V577" s="1"/>
      </tp>
      <tp t="s">
        <v>N/A</v>
        <stp/>
        <stp>IMPL_VOL</stp>
        <stp>.QQQ201120P287.5</stp>
        <tr r="D481" s="1"/>
      </tp>
      <tp t="s">
        <v>N/A</v>
        <stp/>
        <stp>PROB_OF_TOUCHING</stp>
        <stp>.XBI201120C123.5</stp>
        <tr r="V770" s="1"/>
      </tp>
      <tp t="s">
        <v>N/A</v>
        <stp/>
        <stp>PROB_OTM</stp>
        <stp>.TLT201120C156.5</stp>
        <tr r="U696" s="1"/>
      </tp>
      <tp t="s">
        <v>N/A</v>
        <stp/>
        <stp>PROB_OF_TOUCHING</stp>
        <stp>.XLV201120P112</stp>
        <tr r="V866" s="1"/>
      </tp>
      <tp t="s">
        <v>N/A</v>
        <stp/>
        <stp>PROB_OF_TOUCHING</stp>
        <stp>.XLV201120C112</stp>
        <tr r="V865" s="1"/>
      </tp>
      <tp t="s">
        <v>N/A</v>
        <stp/>
        <stp>PROB_OF_TOUCHING</stp>
        <stp>.XLV201120P111</stp>
        <tr r="V862" s="1"/>
      </tp>
      <tp t="s">
        <v>N/A</v>
        <stp/>
        <stp>PROB_OF_TOUCHING</stp>
        <stp>.XLV201120C111</stp>
        <tr r="V861" s="1"/>
      </tp>
      <tp t="s">
        <v>N/A</v>
        <stp/>
        <stp>PROB_OF_TOUCHING</stp>
        <stp>.XLV201120P110</stp>
        <tr r="V858" s="1"/>
      </tp>
      <tp t="s">
        <v>N/A</v>
        <stp/>
        <stp>PROB_OF_TOUCHING</stp>
        <stp>.XLV201120C110</stp>
        <tr r="V857" s="1"/>
      </tp>
      <tp t="s">
        <v>N/A</v>
        <stp/>
        <stp>EXTRINSIC</stp>
        <stp>PDBC</stp>
        <tr r="S451" s="1"/>
      </tp>
      <tp t="s">
        <v>N/A</v>
        <stp/>
        <stp>OPEN</stp>
        <stp>.XOP201120C49.5</stp>
        <tr r="L900" s="1"/>
      </tp>
      <tp>
        <v>0</v>
        <stp/>
        <stp>OPEN</stp>
        <stp>.XLB201120C69.5</stp>
        <tr r="L792" s="1"/>
      </tp>
      <tp t="s">
        <v>N/A</v>
        <stp/>
        <stp>INTRINSIC</stp>
        <stp>PDBC</stp>
        <tr r="R451" s="1"/>
      </tp>
      <tp t="s">
        <v>N/A</v>
        <stp/>
        <stp>OPEN</stp>
        <stp>.XLB201120P69.5</stp>
        <tr r="L793" s="1"/>
      </tp>
      <tp>
        <v>3.44</v>
        <stp/>
        <stp>OPEN</stp>
        <stp>.XOP201120P49.5</stp>
        <tr r="L901" s="1"/>
      </tp>
      <tp t="s">
        <v>N/A</v>
        <stp/>
        <stp>PROB_OF_TOUCHING</stp>
        <stp>.SMH201120C198.5</stp>
        <tr r="V576" s="1"/>
      </tp>
      <tp t="s">
        <v>N/A</v>
        <stp/>
        <stp>IMPL_VOL</stp>
        <stp>.SMH201120C195.5</stp>
        <tr r="D564" s="1"/>
      </tp>
      <tp t="s">
        <v>N/A</v>
        <stp/>
        <stp>PROB_OF_TOUCHING</stp>
        <stp>.XLY201120C153.5</stp>
        <tr r="V876" s="1"/>
      </tp>
      <tp t="s">
        <v>N/A</v>
        <stp/>
        <stp>STRIKE</stp>
        <stp>.INDA201120P36</stp>
        <tr r="W282" s="1"/>
      </tp>
      <tp t="s">
        <v>N/A</v>
        <stp/>
        <stp>VOLUME</stp>
        <stp>.VCIT201120C96</stp>
        <tr r="F702" s="1"/>
      </tp>
      <tp t="s">
        <v>N/A</v>
        <stp/>
        <stp>STRIKE</stp>
        <stp>.ACWI201120C86</stp>
        <tr r="W10" s="1"/>
      </tp>
      <tp t="s">
        <v>N/A</v>
        <stp/>
        <stp>STRIKE</stp>
        <stp>.ACWI201120C85</stp>
        <tr r="W8" s="1"/>
      </tp>
      <tp>
        <v>1</v>
        <stp/>
        <stp>DELTA</stp>
        <stp>MJ</stp>
        <tr r="M423" s="1"/>
      </tp>
      <tp t="s">
        <v>N/A</v>
        <stp/>
        <stp>VOLUME</stp>
        <stp>.VGIT201120C70</stp>
        <tr r="F719" s="1"/>
      </tp>
      <tp t="s">
        <v>N/A</v>
        <stp/>
        <stp>RHO</stp>
        <stp>.XOP201120C47.5</stp>
        <tr r="Q892" s="1"/>
      </tp>
      <tp t="s">
        <v>N/A</v>
        <stp/>
        <stp>RHO</stp>
        <stp>.XOP201120P47.5</stp>
        <tr r="Q893" s="1"/>
      </tp>
      <tp>
        <v>114</v>
        <stp/>
        <stp>VOLUME</stp>
        <stp>.DRIP201120C45</stp>
        <tr r="F82" s="1"/>
      </tp>
      <tp t="s">
        <v>N/A</v>
        <stp/>
        <stp>STRIKE</stp>
        <stp>.SPDW201120P32</stp>
        <tr r="W580" s="1"/>
      </tp>
      <tp>
        <v>3</v>
        <stp/>
        <stp>VOLUME</stp>
        <stp>.NAIL201120C48</stp>
        <tr r="F447" s="1"/>
      </tp>
      <tp>
        <v>6</v>
        <stp/>
        <stp>VOLUME</stp>
        <stp>.NAIL201120C49</stp>
        <tr r="F449" s="1"/>
      </tp>
      <tp>
        <v>111</v>
        <stp/>
        <stp>VOLUME</stp>
        <stp>.NAIL201120C46</stp>
        <tr r="F443" s="1"/>
      </tp>
      <tp t="s">
        <v>N/A</v>
        <stp/>
        <stp>INTRINSIC</stp>
        <stp>.XBI201120C124</stp>
        <tr r="R772" s="1"/>
      </tp>
      <tp t="s">
        <v>N/A</v>
        <stp/>
        <stp>INTRINSIC</stp>
        <stp>.XBI201120P124</stp>
        <tr r="R773" s="1"/>
      </tp>
      <tp>
        <v>73</v>
        <stp/>
        <stp>VOLUME</stp>
        <stp>.NAIL201120C47</stp>
        <tr r="F445" s="1"/>
      </tp>
      <tp t="s">
        <v>N/A</v>
        <stp/>
        <stp>INTRINSIC</stp>
        <stp>.XBI201120C125</stp>
        <tr r="R776" s="1"/>
      </tp>
      <tp t="s">
        <v>N/A</v>
        <stp/>
        <stp>INTRINSIC</stp>
        <stp>.XBI201120P125</stp>
        <tr r="R777" s="1"/>
      </tp>
      <tp>
        <v>28</v>
        <stp/>
        <stp>VOLUME</stp>
        <stp>.NAIL201120C44</stp>
        <tr r="F439" s="1"/>
      </tp>
      <tp>
        <v>116</v>
        <stp/>
        <stp>VOLUME</stp>
        <stp>.NAIL201120C45</stp>
        <tr r="F441" s="1"/>
      </tp>
      <tp t="s">
        <v>N/A</v>
        <stp/>
        <stp>INTRINSIC</stp>
        <stp>.XBI201120C122</stp>
        <tr r="R764" s="1"/>
      </tp>
      <tp t="s">
        <v>N/A</v>
        <stp/>
        <stp>INTRINSIC</stp>
        <stp>.XBI201120P122</stp>
        <tr r="R765" s="1"/>
      </tp>
      <tp t="s">
        <v>N/A</v>
        <stp/>
        <stp>INTRINSIC</stp>
        <stp>.XBI201120C123</stp>
        <tr r="R768" s="1"/>
      </tp>
      <tp t="s">
        <v>N/A</v>
        <stp/>
        <stp>INTRINSIC</stp>
        <stp>.XBI201120P123</stp>
        <tr r="R769" s="1"/>
      </tp>
      <tp>
        <v>1</v>
        <stp/>
        <stp>DELTA</stp>
        <stp>VT</stp>
        <tr r="M734" s="1"/>
      </tp>
      <tp t="s">
        <v>N/A</v>
        <stp/>
        <stp>RHO</stp>
        <stp>.EEM201120C47.5</stp>
        <tr r="Q95" s="1"/>
      </tp>
      <tp t="s">
        <v>N/A</v>
        <stp/>
        <stp>RHO</stp>
        <stp>.EEM201120P47.5</stp>
        <tr r="Q96" s="1"/>
      </tp>
      <tp>
        <v>1</v>
        <stp/>
        <stp>DELTA</stp>
        <stp>SH</stp>
        <tr r="M542" s="1"/>
      </tp>
      <tp t="s">
        <v>N/A</v>
        <stp/>
        <stp>RHO</stp>
        <stp>.GDX201120C37.5</stp>
        <tr r="Q200" s="1"/>
      </tp>
      <tp t="s">
        <v>N/A</v>
        <stp/>
        <stp>RHO</stp>
        <stp>.GDX201120P37.5</stp>
        <tr r="Q201" s="1"/>
      </tp>
      <tp t="s">
        <v>N/A</v>
        <stp/>
        <stp>RHO</stp>
        <stp>.FXI201120P47.5</stp>
        <tr r="Q192" s="1"/>
      </tp>
      <tp t="s">
        <v>N/A</v>
        <stp/>
        <stp>RHO</stp>
        <stp>.FXI201120C47.5</stp>
        <tr r="Q191" s="1"/>
      </tp>
      <tp t="s">
        <v>N/A</v>
        <stp/>
        <stp>INTRINSIC</stp>
        <stp>.VTI201120P182</stp>
        <tr r="R743" s="1"/>
      </tp>
      <tp t="s">
        <v>N/A</v>
        <stp/>
        <stp>INTRINSIC</stp>
        <stp>.VTI201120C182</stp>
        <tr r="R742" s="1"/>
      </tp>
      <tp t="s">
        <v>N/A</v>
        <stp/>
        <stp>INTRINSIC</stp>
        <stp>.VTI201120P183</stp>
        <tr r="R745" s="1"/>
      </tp>
      <tp t="s">
        <v>N/A</v>
        <stp/>
        <stp>INTRINSIC</stp>
        <stp>.VTI201120C183</stp>
        <tr r="R744" s="1"/>
      </tp>
      <tp t="s">
        <v>N/A</v>
        <stp/>
        <stp>INTRINSIC</stp>
        <stp>.VTI201120P181</stp>
        <tr r="R741" s="1"/>
      </tp>
      <tp t="s">
        <v>N/A</v>
        <stp/>
        <stp>INTRINSIC</stp>
        <stp>.VTI201120C181</stp>
        <tr r="R740" s="1"/>
      </tp>
      <tp t="s">
        <v>N/A</v>
        <stp/>
        <stp>INTRINSIC</stp>
        <stp>.VTI201120P184</stp>
        <tr r="R747" s="1"/>
      </tp>
      <tp t="s">
        <v>N/A</v>
        <stp/>
        <stp>INTRINSIC</stp>
        <stp>.VTI201120C184</stp>
        <tr r="R746" s="1"/>
      </tp>
      <tp t="s">
        <v>N/A</v>
        <stp/>
        <stp>RHO</stp>
        <stp>.KRE201120P47.5</stp>
        <tr r="Q396" s="1"/>
      </tp>
      <tp t="s">
        <v>N/A</v>
        <stp/>
        <stp>RHO</stp>
        <stp>.KRE201120C47.5</stp>
        <tr r="Q395" s="1"/>
      </tp>
      <tp t="s">
        <v>N/A</v>
        <stp/>
        <stp>STRIKE</stp>
        <stp>.ACWX201120C50</stp>
        <tr r="W13" s="1"/>
      </tp>
      <tp t="s">
        <v>N/A</v>
        <stp/>
        <stp>PUT_CALL_RATIO</stp>
        <stp>.ITOT201120P81</stp>
        <tr r="C301" s="1"/>
      </tp>
      <tp t="s">
        <v>N/A</v>
        <stp/>
        <stp>PUT_CALL_RATIO</stp>
        <stp>.ITOT201120P80</stp>
        <tr r="C299" s="1"/>
      </tp>
      <tp t="s">
        <v>N/A</v>
        <stp/>
        <stp>STRIKE</stp>
        <stp>.INDY201120P38</stp>
        <tr r="W287" s="1"/>
      </tp>
      <tp t="s">
        <v>N/A</v>
        <stp/>
        <stp>VOLUME</stp>
        <stp>.IGIB201120C61</stp>
        <tr r="F262" s="1"/>
      </tp>
      <tp>
        <v>2.72</v>
        <stp/>
        <stp>ASK</stp>
        <stp>.SPY201120C357</stp>
        <tr r="I617" s="1"/>
      </tp>
      <tp t="s">
        <v>N/A</v>
        <stp/>
        <stp>LOW</stp>
        <stp>.MDY201120C385</stp>
        <tr r="K419" s="1"/>
      </tp>
      <tp>
        <v>5.92</v>
        <stp/>
        <stp>ASK</stp>
        <stp>.SPY201120P357</stp>
        <tr r="I618" s="1"/>
      </tp>
      <tp>
        <v>0</v>
        <stp/>
        <stp>LOW</stp>
        <stp>.MDY201120P385</stp>
        <tr r="K420" s="1"/>
      </tp>
      <tp>
        <v>3.2</v>
        <stp/>
        <stp>ASK</stp>
        <stp>.SPY201120C356</stp>
        <tr r="I615" s="1"/>
      </tp>
      <tp>
        <v>5.38</v>
        <stp/>
        <stp>ASK</stp>
        <stp>.SPY201120P356</stp>
        <tr r="I616" s="1"/>
      </tp>
      <tp>
        <v>3.73</v>
        <stp/>
        <stp>ASK</stp>
        <stp>.SPY201120C355</stp>
        <tr r="I613" s="1"/>
      </tp>
      <tp>
        <v>4.8899999999999997</v>
        <stp/>
        <stp>ASK</stp>
        <stp>.SPY201120P355</stp>
        <tr r="I614" s="1"/>
      </tp>
      <tp>
        <v>4.3</v>
        <stp/>
        <stp>ASK</stp>
        <stp>.SPY201120C354</stp>
        <tr r="I611" s="1"/>
      </tp>
      <tp>
        <v>4.47</v>
        <stp/>
        <stp>ASK</stp>
        <stp>.SPY201120P354</stp>
        <tr r="I612" s="1"/>
      </tp>
      <tp>
        <v>4.9000000000000004</v>
        <stp/>
        <stp>ASK</stp>
        <stp>.SPY201120C353</stp>
        <tr r="I609" s="1"/>
      </tp>
      <tp>
        <v>4.08</v>
        <stp/>
        <stp>ASK</stp>
        <stp>.SPY201120P353</stp>
        <tr r="I610" s="1"/>
      </tp>
      <tp t="s">
        <v>N/A</v>
        <stp/>
        <stp>LOW</stp>
        <stp>.MDY201120C380</stp>
        <tr r="K415" s="1"/>
      </tp>
      <tp t="s">
        <v>N/A</v>
        <stp/>
        <stp>LOW</stp>
        <stp>.MDY201120P380</stp>
        <tr r="K416" s="1"/>
      </tp>
      <tp>
        <v>1.89</v>
        <stp/>
        <stp>ASK</stp>
        <stp>.SPY201120C359</stp>
        <tr r="I623" s="1"/>
      </tp>
      <tp>
        <v>7.09</v>
        <stp/>
        <stp>ASK</stp>
        <stp>.SPY201120P359</stp>
        <tr r="I624" s="1"/>
      </tp>
      <tp>
        <v>0.95</v>
        <stp/>
        <stp>ASK</stp>
        <stp>.SPY201118C360</stp>
        <tr r="I605" s="1"/>
      </tp>
      <tp>
        <v>2.2799999999999998</v>
        <stp/>
        <stp>ASK</stp>
        <stp>.SPY201120C358</stp>
        <tr r="I621" s="1"/>
      </tp>
      <tp>
        <v>7.19</v>
        <stp/>
        <stp>ASK</stp>
        <stp>.SPY201118P360</stp>
        <tr r="I606" s="1"/>
      </tp>
      <tp>
        <v>6.48</v>
        <stp/>
        <stp>ASK</stp>
        <stp>.SPY201120P358</stp>
        <tr r="I622" s="1"/>
      </tp>
      <tp>
        <v>2.88</v>
        <stp/>
        <stp>BID</stp>
        <stp>.SPY201118C355</stp>
        <tr r="H595" s="1"/>
      </tp>
      <tp>
        <v>4.05</v>
        <stp/>
        <stp>BID</stp>
        <stp>.SPY201118P355</stp>
        <tr r="H596" s="1"/>
      </tp>
      <tp>
        <v>3.43</v>
        <stp/>
        <stp>BID</stp>
        <stp>.SPY201118C354</stp>
        <tr r="H593" s="1"/>
      </tp>
      <tp>
        <v>3.63</v>
        <stp/>
        <stp>BID</stp>
        <stp>.SPY201118P354</stp>
        <tr r="H594" s="1"/>
      </tp>
      <tp>
        <v>1.93</v>
        <stp/>
        <stp>BID</stp>
        <stp>.SPY201118C357</stp>
        <tr r="H599" s="1"/>
      </tp>
      <tp>
        <v>5.09</v>
        <stp/>
        <stp>BID</stp>
        <stp>.SPY201118P357</stp>
        <tr r="H600" s="1"/>
      </tp>
      <tp>
        <v>2.38</v>
        <stp/>
        <stp>BID</stp>
        <stp>.SPY201118C356</stp>
        <tr r="H597" s="1"/>
      </tp>
      <tp>
        <v>4.55</v>
        <stp/>
        <stp>BID</stp>
        <stp>.SPY201118P356</stp>
        <tr r="H598" s="1"/>
      </tp>
      <tp>
        <v>4.03</v>
        <stp/>
        <stp>BID</stp>
        <stp>.SPY201118C353</stp>
        <tr r="H591" s="1"/>
      </tp>
      <tp>
        <v>3.22</v>
        <stp/>
        <stp>BID</stp>
        <stp>.SPY201118P353</stp>
        <tr r="H592" s="1"/>
      </tp>
      <tp>
        <v>1.21</v>
        <stp/>
        <stp>BID</stp>
        <stp>.SPY201118C359</stp>
        <tr r="H603" s="1"/>
      </tp>
      <tp>
        <v>1.23</v>
        <stp/>
        <stp>BID</stp>
        <stp>.SPY201120C361</stp>
        <tr r="H627" s="1"/>
      </tp>
      <tp>
        <v>6.36</v>
        <stp/>
        <stp>BID</stp>
        <stp>.SPY201118P359</stp>
        <tr r="H604" s="1"/>
      </tp>
      <tp>
        <v>8.35</v>
        <stp/>
        <stp>BID</stp>
        <stp>.SPY201120P361</stp>
        <tr r="H628" s="1"/>
      </tp>
      <tp>
        <v>1.54</v>
        <stp/>
        <stp>BID</stp>
        <stp>.SPY201118C358</stp>
        <tr r="H601" s="1"/>
      </tp>
      <tp>
        <v>1.52</v>
        <stp/>
        <stp>BID</stp>
        <stp>.SPY201120C360</stp>
        <tr r="H625" s="1"/>
      </tp>
      <tp>
        <v>5.7</v>
        <stp/>
        <stp>BID</stp>
        <stp>.SPY201118P358</stp>
        <tr r="H602" s="1"/>
      </tp>
      <tp>
        <v>7.64</v>
        <stp/>
        <stp>BID</stp>
        <stp>.SPY201120P360</stp>
        <tr r="H626" s="1"/>
      </tp>
      <tp t="s">
        <v>N/A</v>
        <stp/>
        <stp>RHO</stp>
        <stp>.EWL201120P43</stp>
        <tr r="Q144" s="1"/>
      </tp>
      <tp>
        <v>1.23</v>
        <stp/>
        <stp>ASK</stp>
        <stp>.SPY201118C359</stp>
        <tr r="I603" s="1"/>
      </tp>
      <tp>
        <v>1.25</v>
        <stp/>
        <stp>ASK</stp>
        <stp>.SPY201120C361</stp>
        <tr r="I627" s="1"/>
      </tp>
      <tp>
        <v>6.46</v>
        <stp/>
        <stp>ASK</stp>
        <stp>.SPY201118P359</stp>
        <tr r="I604" s="1"/>
      </tp>
      <tp>
        <v>8.4600000000000009</v>
        <stp/>
        <stp>ASK</stp>
        <stp>.SPY201120P361</stp>
        <tr r="I628" s="1"/>
      </tp>
      <tp>
        <v>1.57</v>
        <stp/>
        <stp>ASK</stp>
        <stp>.SPY201118C358</stp>
        <tr r="I601" s="1"/>
      </tp>
      <tp>
        <v>1.55</v>
        <stp/>
        <stp>ASK</stp>
        <stp>.SPY201120C360</stp>
        <tr r="I625" s="1"/>
      </tp>
      <tp>
        <v>5.79</v>
        <stp/>
        <stp>ASK</stp>
        <stp>.SPY201118P358</stp>
        <tr r="I602" s="1"/>
      </tp>
      <tp>
        <v>7.75</v>
        <stp/>
        <stp>ASK</stp>
        <stp>.SPY201120P360</stp>
        <tr r="I626" s="1"/>
      </tp>
      <tp>
        <v>1.96</v>
        <stp/>
        <stp>ASK</stp>
        <stp>.SPY201118C357</stp>
        <tr r="I599" s="1"/>
      </tp>
      <tp>
        <v>5.18</v>
        <stp/>
        <stp>ASK</stp>
        <stp>.SPY201118P357</stp>
        <tr r="I600" s="1"/>
      </tp>
      <tp>
        <v>2.41</v>
        <stp/>
        <stp>ASK</stp>
        <stp>.SPY201118C356</stp>
        <tr r="I597" s="1"/>
      </tp>
      <tp>
        <v>4.62</v>
        <stp/>
        <stp>ASK</stp>
        <stp>.SPY201118P356</stp>
        <tr r="I598" s="1"/>
      </tp>
      <tp>
        <v>2.91</v>
        <stp/>
        <stp>ASK</stp>
        <stp>.SPY201118C355</stp>
        <tr r="I595" s="1"/>
      </tp>
      <tp>
        <v>4.12</v>
        <stp/>
        <stp>ASK</stp>
        <stp>.SPY201118P355</stp>
        <tr r="I596" s="1"/>
      </tp>
      <tp>
        <v>3.46</v>
        <stp/>
        <stp>ASK</stp>
        <stp>.SPY201118C354</stp>
        <tr r="I593" s="1"/>
      </tp>
      <tp>
        <v>3.66</v>
        <stp/>
        <stp>ASK</stp>
        <stp>.SPY201118P354</stp>
        <tr r="I594" s="1"/>
      </tp>
      <tp>
        <v>4.0599999999999996</v>
        <stp/>
        <stp>ASK</stp>
        <stp>.SPY201118C353</stp>
        <tr r="I591" s="1"/>
      </tp>
      <tp>
        <v>3.26</v>
        <stp/>
        <stp>ASK</stp>
        <stp>.SPY201118P353</stp>
        <tr r="I592" s="1"/>
      </tp>
      <tp>
        <v>1.87</v>
        <stp/>
        <stp>BID</stp>
        <stp>.SPY201120C359</stp>
        <tr r="H623" s="1"/>
      </tp>
      <tp>
        <v>6.99</v>
        <stp/>
        <stp>BID</stp>
        <stp>.SPY201120P359</stp>
        <tr r="H624" s="1"/>
      </tp>
      <tp>
        <v>0.93</v>
        <stp/>
        <stp>BID</stp>
        <stp>.SPY201118C360</stp>
        <tr r="H605" s="1"/>
      </tp>
      <tp>
        <v>2.25</v>
        <stp/>
        <stp>BID</stp>
        <stp>.SPY201120C358</stp>
        <tr r="H621" s="1"/>
      </tp>
      <tp>
        <v>7.08</v>
        <stp/>
        <stp>BID</stp>
        <stp>.SPY201118P360</stp>
        <tr r="H606" s="1"/>
      </tp>
      <tp>
        <v>6.39</v>
        <stp/>
        <stp>BID</stp>
        <stp>.SPY201120P358</stp>
        <tr r="H622" s="1"/>
      </tp>
      <tp>
        <v>3.7</v>
        <stp/>
        <stp>BID</stp>
        <stp>.SPY201120C355</stp>
        <tr r="H613" s="1"/>
      </tp>
      <tp>
        <v>4.88</v>
        <stp/>
        <stp>BID</stp>
        <stp>.SPY201120P355</stp>
        <tr r="H614" s="1"/>
      </tp>
      <tp>
        <v>4.26</v>
        <stp/>
        <stp>BID</stp>
        <stp>.SPY201120C354</stp>
        <tr r="H611" s="1"/>
      </tp>
      <tp>
        <v>4.4400000000000004</v>
        <stp/>
        <stp>BID</stp>
        <stp>.SPY201120P354</stp>
        <tr r="H612" s="1"/>
      </tp>
      <tp>
        <v>2.69</v>
        <stp/>
        <stp>BID</stp>
        <stp>.SPY201120C357</stp>
        <tr r="H617" s="1"/>
      </tp>
      <tp>
        <v>5.83</v>
        <stp/>
        <stp>BID</stp>
        <stp>.SPY201120P357</stp>
        <tr r="H618" s="1"/>
      </tp>
      <tp>
        <v>3.17</v>
        <stp/>
        <stp>BID</stp>
        <stp>.SPY201120C356</stp>
        <tr r="H615" s="1"/>
      </tp>
      <tp>
        <v>5.33</v>
        <stp/>
        <stp>BID</stp>
        <stp>.SPY201120P356</stp>
        <tr r="H616" s="1"/>
      </tp>
      <tp>
        <v>4.87</v>
        <stp/>
        <stp>BID</stp>
        <stp>.SPY201120C353</stp>
        <tr r="H609" s="1"/>
      </tp>
      <tp>
        <v>4.05</v>
        <stp/>
        <stp>BID</stp>
        <stp>.SPY201120P353</stp>
        <tr r="H610" s="1"/>
      </tp>
      <tp t="s">
        <v>N/A</v>
        <stp/>
        <stp>RHO</stp>
        <stp>.VWO201120P47</stp>
        <tr r="Q752" s="1"/>
      </tp>
      <tp t="s">
        <v>N/A</v>
        <stp/>
        <stp>RHO</stp>
        <stp>.EWI201120P27</stp>
        <tr r="Q134" s="1"/>
      </tp>
      <tp t="s">
        <v>N/A</v>
        <stp/>
        <stp>RHO</stp>
        <stp>.EWH201120P24</stp>
        <tr r="Q131" s="1"/>
      </tp>
      <tp>
        <v>4801544</v>
        <stp/>
        <stp>VOLUME</stp>
        <stp>SPYG</stp>
        <tr r="F629" s="1"/>
      </tp>
      <tp>
        <v>3173897</v>
        <stp/>
        <stp>VOLUME</stp>
        <stp>SPYV</stp>
        <tr r="F634" s="1"/>
      </tp>
      <tp t="s">
        <v>N/A</v>
        <stp/>
        <stp>DESCRIPTION</stp>
        <stp>.EFV201120C45</stp>
        <tr r="B109" s="1"/>
      </tp>
      <tp t="s">
        <v>N/A</v>
        <stp/>
        <stp>RHO</stp>
        <stp>.EWJ201120P64</stp>
        <tr r="Q141" s="1"/>
      </tp>
      <tp t="s">
        <v>N/A</v>
        <stp/>
        <stp>RHO</stp>
        <stp>.EWJ201120P63</stp>
        <tr r="Q137" s="1"/>
      </tp>
      <tp t="s">
        <v>N/A</v>
        <stp/>
        <stp>RHO</stp>
        <stp>.RWM201120P29</stp>
        <tr r="Q519" s="1"/>
      </tp>
      <tp t="s">
        <v>N/A</v>
        <stp/>
        <stp>RHO</stp>
        <stp>.EWC201120P29</stp>
        <tr r="Q125" s="1"/>
      </tp>
      <tp t="s">
        <v>N/A</v>
        <stp/>
        <stp>RHO</stp>
        <stp>.EWA201120P22</stp>
        <tr r="Q122" s="1"/>
      </tp>
      <tp t="s">
        <v>N/A</v>
        <stp/>
        <stp>STRIKE</stp>
        <stp>USMV</stp>
        <tr r="W698" s="1"/>
      </tp>
      <tp>
        <v>5.37</v>
        <stp/>
        <stp>LOW</stp>
        <stp>.SPY201120P359</stp>
        <tr r="K624" s="1"/>
      </tp>
      <tp>
        <v>1.45</v>
        <stp/>
        <stp>LOW</stp>
        <stp>.SPY201120C359</stp>
        <tr r="K623" s="1"/>
      </tp>
      <tp>
        <v>5.52</v>
        <stp/>
        <stp>LOW</stp>
        <stp>.SPY201118P360</stp>
        <tr r="K606" s="1"/>
      </tp>
      <tp>
        <v>4.76</v>
        <stp/>
        <stp>LOW</stp>
        <stp>.SPY201120P358</stp>
        <tr r="K622" s="1"/>
      </tp>
      <tp>
        <v>0.69</v>
        <stp/>
        <stp>LOW</stp>
        <stp>.SPY201118C360</stp>
        <tr r="K605" s="1"/>
      </tp>
      <tp>
        <v>1.77</v>
        <stp/>
        <stp>LOW</stp>
        <stp>.SPY201120C358</stp>
        <tr r="K621" s="1"/>
      </tp>
      <tp>
        <v>2.8</v>
        <stp/>
        <stp>LOW</stp>
        <stp>.SPY201120P353</stp>
        <tr r="K610" s="1"/>
      </tp>
      <tp>
        <v>3.96</v>
        <stp/>
        <stp>LOW</stp>
        <stp>.SPY201120C353</stp>
        <tr r="K609" s="1"/>
      </tp>
      <tp t="s">
        <v>N/A</v>
        <stp/>
        <stp>ASK</stp>
        <stp>.MDY201120P380</stp>
        <tr r="I416" s="1"/>
      </tp>
      <tp t="s">
        <v>N/A</v>
        <stp/>
        <stp>ASK</stp>
        <stp>.MDY201120C380</stp>
        <tr r="I415" s="1"/>
      </tp>
      <tp>
        <v>12.4</v>
        <stp/>
        <stp>ASK</stp>
        <stp>.MDY201120P385</stp>
        <tr r="I420" s="1"/>
      </tp>
      <tp>
        <v>4.25</v>
        <stp/>
        <stp>LOW</stp>
        <stp>.SPY201120P357</stp>
        <tr r="K618" s="1"/>
      </tp>
      <tp t="s">
        <v>N/A</v>
        <stp/>
        <stp>ASK</stp>
        <stp>.MDY201120C385</stp>
        <tr r="I419" s="1"/>
      </tp>
      <tp>
        <v>2.14</v>
        <stp/>
        <stp>LOW</stp>
        <stp>.SPY201120C357</stp>
        <tr r="K617" s="1"/>
      </tp>
      <tp>
        <v>3.84</v>
        <stp/>
        <stp>LOW</stp>
        <stp>.SPY201120P356</stp>
        <tr r="K616" s="1"/>
      </tp>
      <tp>
        <v>2.52</v>
        <stp/>
        <stp>LOW</stp>
        <stp>.SPY201120C356</stp>
        <tr r="K615" s="1"/>
      </tp>
      <tp>
        <v>3.46</v>
        <stp/>
        <stp>LOW</stp>
        <stp>.SPY201120P355</stp>
        <tr r="K614" s="1"/>
      </tp>
      <tp>
        <v>2.93</v>
        <stp/>
        <stp>LOW</stp>
        <stp>.SPY201120C355</stp>
        <tr r="K613" s="1"/>
      </tp>
      <tp>
        <v>3.11</v>
        <stp/>
        <stp>LOW</stp>
        <stp>.SPY201120P354</stp>
        <tr r="K612" s="1"/>
      </tp>
      <tp>
        <v>3.43</v>
        <stp/>
        <stp>LOW</stp>
        <stp>.SPY201120C354</stp>
        <tr r="K611" s="1"/>
      </tp>
      <tp t="s">
        <v>N/A</v>
        <stp/>
        <stp>RHO</stp>
        <stp>.EWG201120P30</stp>
        <tr r="Q128" s="1"/>
      </tp>
      <tp t="s">
        <v>N/A</v>
        <stp/>
        <stp>STRIKE</stp>
        <stp>ASHR</stp>
        <tr r="W43" s="1"/>
      </tp>
      <tp>
        <v>3.8</v>
        <stp/>
        <stp>ASK</stp>
        <stp>.SSO201120P84</stp>
        <tr r="I656" s="1"/>
      </tp>
      <tp>
        <v>2.15</v>
        <stp/>
        <stp>ASK</stp>
        <stp>.SSO201120P81</stp>
        <tr r="I644" s="1"/>
      </tp>
      <tp t="s">
        <v>N/A</v>
        <stp/>
        <stp>ASK</stp>
        <stp>.SSO201120P82</stp>
        <tr r="I648" s="1"/>
      </tp>
      <tp t="s">
        <v>N/A</v>
        <stp/>
        <stp>ASK</stp>
        <stp>.SSO201120P83</stp>
        <tr r="I652" s="1"/>
      </tp>
      <tp t="s">
        <v>N/A</v>
        <stp/>
        <stp>BID</stp>
        <stp>.MDY201120P380</stp>
        <tr r="H416" s="1"/>
      </tp>
      <tp t="s">
        <v>N/A</v>
        <stp/>
        <stp>BID</stp>
        <stp>.MDY201120C380</stp>
        <tr r="H415" s="1"/>
      </tp>
      <tp>
        <v>8.6999999999999993</v>
        <stp/>
        <stp>BID</stp>
        <stp>.MDY201120P385</stp>
        <tr r="H420" s="1"/>
      </tp>
      <tp t="s">
        <v>N/A</v>
        <stp/>
        <stp>BID</stp>
        <stp>.MDY201120C385</stp>
        <tr r="H419" s="1"/>
      </tp>
      <tp>
        <v>2.1</v>
        <stp/>
        <stp>LOW</stp>
        <stp>.SPY201118P353</stp>
        <tr r="K592" s="1"/>
      </tp>
      <tp>
        <v>3.16</v>
        <stp/>
        <stp>LOW</stp>
        <stp>.SPY201118C353</stp>
        <tr r="K591" s="1"/>
      </tp>
      <tp>
        <v>3.59</v>
        <stp/>
        <stp>LOW</stp>
        <stp>.SPY201118P357</stp>
        <tr r="K600" s="1"/>
      </tp>
      <tp>
        <v>1.45</v>
        <stp/>
        <stp>LOW</stp>
        <stp>.SPY201118C357</stp>
        <tr r="K599" s="1"/>
      </tp>
      <tp>
        <v>3.16</v>
        <stp/>
        <stp>LOW</stp>
        <stp>.SPY201118P356</stp>
        <tr r="K598" s="1"/>
      </tp>
      <tp>
        <v>1.8</v>
        <stp/>
        <stp>LOW</stp>
        <stp>.SPY201118C356</stp>
        <tr r="K597" s="1"/>
      </tp>
      <tp>
        <v>2.75</v>
        <stp/>
        <stp>LOW</stp>
        <stp>.SPY201118P355</stp>
        <tr r="K596" s="1"/>
      </tp>
      <tp>
        <v>2.2000000000000002</v>
        <stp/>
        <stp>LOW</stp>
        <stp>.SPY201118C355</stp>
        <tr r="K595" s="1"/>
      </tp>
      <tp>
        <v>2.4</v>
        <stp/>
        <stp>LOW</stp>
        <stp>.SPY201118P354</stp>
        <tr r="K594" s="1"/>
      </tp>
      <tp>
        <v>2.65</v>
        <stp/>
        <stp>LOW</stp>
        <stp>.SPY201118C354</stp>
        <tr r="K593" s="1"/>
      </tp>
      <tp>
        <v>4.87</v>
        <stp/>
        <stp>LOW</stp>
        <stp>.SPY201118P359</stp>
        <tr r="K604" s="1"/>
      </tp>
      <tp>
        <v>6.45</v>
        <stp/>
        <stp>LOW</stp>
        <stp>.SPY201120P361</stp>
        <tr r="K628" s="1"/>
      </tp>
      <tp>
        <v>0.9</v>
        <stp/>
        <stp>LOW</stp>
        <stp>.SPY201118C359</stp>
        <tr r="K603" s="1"/>
      </tp>
      <tp>
        <v>0.96</v>
        <stp/>
        <stp>LOW</stp>
        <stp>.SPY201120C361</stp>
        <tr r="K627" s="1"/>
      </tp>
      <tp>
        <v>4.22</v>
        <stp/>
        <stp>LOW</stp>
        <stp>.SPY201118P358</stp>
        <tr r="K602" s="1"/>
      </tp>
      <tp>
        <v>5.84</v>
        <stp/>
        <stp>LOW</stp>
        <stp>.SPY201120P360</stp>
        <tr r="K626" s="1"/>
      </tp>
      <tp>
        <v>1.18</v>
        <stp/>
        <stp>LOW</stp>
        <stp>.SPY201118C358</stp>
        <tr r="K601" s="1"/>
      </tp>
      <tp>
        <v>1.17</v>
        <stp/>
        <stp>LOW</stp>
        <stp>.SPY201120C360</stp>
        <tr r="K625" s="1"/>
      </tp>
      <tp t="s">
        <v>N/A</v>
        <stp/>
        <stp>RHO</stp>
        <stp>.EWZ201120P32</stp>
        <tr r="Q176" s="1"/>
      </tp>
      <tp t="s">
        <v>N/A</v>
        <stp/>
        <stp>DESCRIPTION</stp>
        <stp>.EFA201120C70</stp>
        <tr r="B106" s="1"/>
      </tp>
      <tp>
        <v>2337973</v>
        <stp/>
        <stp>VOLUME</stp>
        <stp>SPLG</stp>
        <tr r="F584" s="1"/>
      </tp>
      <tp>
        <v>0.03</v>
        <stp/>
        <stp>RHO</stp>
        <stp>.SPY201118C354</stp>
        <tr r="Q593" s="1"/>
      </tp>
      <tp>
        <v>-0.03</v>
        <stp/>
        <stp>RHO</stp>
        <stp>.SPY201118P354</stp>
        <tr r="Q594" s="1"/>
      </tp>
      <tp>
        <v>0.02</v>
        <stp/>
        <stp>RHO</stp>
        <stp>.SPY201118C355</stp>
        <tr r="Q595" s="1"/>
      </tp>
      <tp>
        <v>-0.03</v>
        <stp/>
        <stp>RHO</stp>
        <stp>.SPY201118P355</stp>
        <tr r="Q596" s="1"/>
      </tp>
      <tp>
        <v>0.02</v>
        <stp/>
        <stp>RHO</stp>
        <stp>.SPY201118C356</stp>
        <tr r="Q597" s="1"/>
      </tp>
      <tp>
        <v>-0.04</v>
        <stp/>
        <stp>RHO</stp>
        <stp>.SPY201118P356</stp>
        <tr r="Q598" s="1"/>
      </tp>
      <tp>
        <v>0.02</v>
        <stp/>
        <stp>RHO</stp>
        <stp>.SPY201118C357</stp>
        <tr r="Q599" s="1"/>
      </tp>
      <tp>
        <v>-0.04</v>
        <stp/>
        <stp>RHO</stp>
        <stp>.SPY201118P357</stp>
        <tr r="Q600" s="1"/>
      </tp>
      <tp>
        <v>3716126</v>
        <stp/>
        <stp>VOLUME</stp>
        <stp>SPLV</stp>
        <tr r="F587" s="1"/>
      </tp>
      <tp>
        <v>0.03</v>
        <stp/>
        <stp>RHO</stp>
        <stp>.SPY201118C353</stp>
        <tr r="Q591" s="1"/>
      </tp>
      <tp>
        <v>-0.03</v>
        <stp/>
        <stp>RHO</stp>
        <stp>.SPY201118P353</stp>
        <tr r="Q592" s="1"/>
      </tp>
      <tp>
        <v>0.02</v>
        <stp/>
        <stp>RHO</stp>
        <stp>.SPY201118C358</stp>
        <tr r="Q601" s="1"/>
      </tp>
      <tp>
        <v>0.02</v>
        <stp/>
        <stp>RHO</stp>
        <stp>.SPY201120C360</stp>
        <tr r="Q625" s="1"/>
      </tp>
      <tp>
        <v>-0.04</v>
        <stp/>
        <stp>RHO</stp>
        <stp>.SPY201118P358</stp>
        <tr r="Q602" s="1"/>
      </tp>
      <tp>
        <v>-0.06</v>
        <stp/>
        <stp>RHO</stp>
        <stp>.SPY201120P360</stp>
        <tr r="Q626" s="1"/>
      </tp>
      <tp>
        <v>0.01</v>
        <stp/>
        <stp>RHO</stp>
        <stp>.SPY201118C359</stp>
        <tr r="Q603" s="1"/>
      </tp>
      <tp>
        <v>0.02</v>
        <stp/>
        <stp>RHO</stp>
        <stp>.SPY201120C361</stp>
        <tr r="Q627" s="1"/>
      </tp>
      <tp>
        <v>-0.05</v>
        <stp/>
        <stp>RHO</stp>
        <stp>.SPY201118P359</stp>
        <tr r="Q604" s="1"/>
      </tp>
      <tp>
        <v>-7.0000000000000007E-2</v>
        <stp/>
        <stp>RHO</stp>
        <stp>.SPY201120P361</stp>
        <tr r="Q628" s="1"/>
      </tp>
      <tp t="s">
        <v>N/A</v>
        <stp/>
        <stp>DESCRIPTION</stp>
        <stp>.EFA201120C69</stp>
        <tr r="B102" s="1"/>
      </tp>
      <tp>
        <v>0.01</v>
        <stp/>
        <stp>RHO</stp>
        <stp>.SPY201118C360</stp>
        <tr r="Q605" s="1"/>
      </tp>
      <tp>
        <v>0.03</v>
        <stp/>
        <stp>RHO</stp>
        <stp>.SPY201120C358</stp>
        <tr r="Q621" s="1"/>
      </tp>
      <tp>
        <v>-0.05</v>
        <stp/>
        <stp>RHO</stp>
        <stp>.SPY201118P360</stp>
        <tr r="Q606" s="1"/>
      </tp>
      <tp>
        <v>-0.05</v>
        <stp/>
        <stp>RHO</stp>
        <stp>.SPY201120P358</stp>
        <tr r="Q622" s="1"/>
      </tp>
      <tp>
        <v>0.02</v>
        <stp/>
        <stp>RHO</stp>
        <stp>.SPY201120C359</stp>
        <tr r="Q623" s="1"/>
      </tp>
      <tp>
        <v>-0.06</v>
        <stp/>
        <stp>RHO</stp>
        <stp>.SPY201120P359</stp>
        <tr r="Q624" s="1"/>
      </tp>
      <tp>
        <v>0.04</v>
        <stp/>
        <stp>RHO</stp>
        <stp>.SPY201120C354</stp>
        <tr r="Q611" s="1"/>
      </tp>
      <tp>
        <v>-0.04</v>
        <stp/>
        <stp>RHO</stp>
        <stp>.SPY201120P354</stp>
        <tr r="Q612" s="1"/>
      </tp>
      <tp>
        <v>0.03</v>
        <stp/>
        <stp>RHO</stp>
        <stp>.SPY201120C355</stp>
        <tr r="Q613" s="1"/>
      </tp>
      <tp>
        <v>-0.04</v>
        <stp/>
        <stp>RHO</stp>
        <stp>.SPY201120P355</stp>
        <tr r="Q614" s="1"/>
      </tp>
      <tp>
        <v>0.03</v>
        <stp/>
        <stp>RHO</stp>
        <stp>.SPY201120C356</stp>
        <tr r="Q615" s="1"/>
      </tp>
      <tp>
        <v>-0.05</v>
        <stp/>
        <stp>RHO</stp>
        <stp>.SPY201120P356</stp>
        <tr r="Q616" s="1"/>
      </tp>
      <tp>
        <v>0.03</v>
        <stp/>
        <stp>RHO</stp>
        <stp>.SPY201120C357</stp>
        <tr r="Q617" s="1"/>
      </tp>
      <tp>
        <v>-0.05</v>
        <stp/>
        <stp>RHO</stp>
        <stp>.SPY201120P357</stp>
        <tr r="Q618" s="1"/>
      </tp>
      <tp>
        <v>0.04</v>
        <stp/>
        <stp>RHO</stp>
        <stp>.SPY201120C353</stp>
        <tr r="Q609" s="1"/>
      </tp>
      <tp>
        <v>-0.04</v>
        <stp/>
        <stp>RHO</stp>
        <stp>.SPY201120P353</stp>
        <tr r="Q610" s="1"/>
      </tp>
      <tp t="s">
        <v>N/A</v>
        <stp/>
        <stp>RHO</stp>
        <stp>.GDX201120C37</stp>
        <tr r="Q198" s="1"/>
      </tp>
      <tp>
        <v>0.38</v>
        <stp/>
        <stp>ASK</stp>
        <stp>.RSX201120P22</stp>
        <tr r="I514" s="1"/>
      </tp>
      <tp>
        <v>1198128</v>
        <stp/>
        <stp>VOLUME</stp>
        <stp>SPHD</stp>
        <tr r="F581" s="1"/>
      </tp>
      <tp t="s">
        <v>N/A</v>
        <stp/>
        <stp>RHO</stp>
        <stp>.EWY201120P73</stp>
        <tr r="Q169" s="1"/>
      </tp>
      <tp t="s">
        <v>N/A</v>
        <stp/>
        <stp>RHO</stp>
        <stp>.EWY201120P72</stp>
        <tr r="Q165" s="1"/>
      </tp>
      <tp t="s">
        <v>N/A</v>
        <stp/>
        <stp>DESCRIPTION</stp>
        <stp>.IWD201120C129</stp>
        <tr r="B336" s="1"/>
      </tp>
      <tp t="s">
        <v>N/A</v>
        <stp/>
        <stp>DESCRIPTION</stp>
        <stp>.IWD201120P129</stp>
        <tr r="B337" s="1"/>
      </tp>
      <tp t="s">
        <v>N/A</v>
        <stp/>
        <stp>DESCRIPTION</stp>
        <stp>.IWD201120C128</stp>
        <tr r="B334" s="1"/>
      </tp>
      <tp t="s">
        <v>N/A</v>
        <stp/>
        <stp>DESCRIPTION</stp>
        <stp>.IWD201120P128</stp>
        <tr r="B335" s="1"/>
      </tp>
      <tp t="s">
        <v>N/A</v>
        <stp/>
        <stp>DESCRIPTION</stp>
        <stp>.VFH201120C66</stp>
        <tr r="B714" s="1"/>
      </tp>
      <tp t="s">
        <v>N/A</v>
        <stp/>
        <stp>DESCRIPTION</stp>
        <stp>.VFH201120C67</stp>
        <tr r="B716" s="1"/>
      </tp>
      <tp t="s">
        <v>N/A</v>
        <stp/>
        <stp>DESCRIPTION</stp>
        <stp>.IWD201120C130</stp>
        <tr r="B338" s="1"/>
      </tp>
      <tp t="s">
        <v>N/A</v>
        <stp/>
        <stp>DESCRIPTION</stp>
        <stp>.LQD201120C135</stp>
        <tr r="B407" s="1"/>
      </tp>
      <tp t="s">
        <v>N/A</v>
        <stp/>
        <stp>DESCRIPTION</stp>
        <stp>.IWD201120P130</stp>
        <tr r="B339" s="1"/>
      </tp>
      <tp t="s">
        <v>N/A</v>
        <stp/>
        <stp>DESCRIPTION</stp>
        <stp>.LQD201120P135</stp>
        <tr r="B408" s="1"/>
      </tp>
      <tp>
        <v>16688545</v>
        <stp/>
        <stp>VOLUME</stp>
        <stp>SPDW</stp>
        <tr r="F578" s="1"/>
      </tp>
      <tp t="s">
        <v>N/A</v>
        <stp/>
        <stp>RHO</stp>
        <stp>.EWT201120P48</stp>
        <tr r="Q150" s="1"/>
      </tp>
      <tp>
        <v>0.75</v>
        <stp/>
        <stp>PUT_CALL_RATIO</stp>
        <stp>INDY</stp>
        <tr r="C285" s="1"/>
      </tp>
      <tp t="s">
        <v>N/A</v>
        <stp/>
        <stp>DESCRIPTION</stp>
        <stp>.QLD201120P101</stp>
        <tr r="B474" s="1"/>
      </tp>
      <tp t="s">
        <v>N/A</v>
        <stp/>
        <stp>DESCRIPTION</stp>
        <stp>.QLD201120C101</stp>
        <tr r="B473" s="1"/>
      </tp>
      <tp>
        <v>0.877</v>
        <stp/>
        <stp>PUT_CALL_RATIO</stp>
        <stp>INDA</stp>
        <tr r="C280" s="1"/>
      </tp>
      <tp t="s">
        <v>N/A</v>
        <stp/>
        <stp>DESCRIPTION</stp>
        <stp>.QLD201120P100</stp>
        <tr r="B472" s="1"/>
      </tp>
      <tp t="s">
        <v>N/A</v>
        <stp/>
        <stp>DESCRIPTION</stp>
        <stp>.QLD201120C100</stp>
        <tr r="B471" s="1"/>
      </tp>
      <tp t="s">
        <v>N/A</v>
        <stp/>
        <stp>RHO</stp>
        <stp>.EWP201120P26</stp>
        <tr r="Q147" s="1"/>
      </tp>
      <tp t="s">
        <v>N/A</v>
        <stp/>
        <stp>RHO</stp>
        <stp>.SDS201120C14</stp>
        <tr r="Q540" s="1"/>
      </tp>
      <tp t="s">
        <v>N/A</v>
        <stp/>
        <stp>LOW</stp>
        <stp>.XOP201120P49</stp>
        <tr r="K899" s="1"/>
      </tp>
      <tp t="s">
        <v>N/A</v>
        <stp/>
        <stp>BID</stp>
        <stp>.XOP201120C47</stp>
        <tr r="H890" s="1"/>
      </tp>
      <tp t="s">
        <v>N/A</v>
        <stp/>
        <stp>LOW</stp>
        <stp>.XOP201120P48</stp>
        <tr r="K895" s="1"/>
      </tp>
      <tp t="s">
        <v>N/A</v>
        <stp/>
        <stp>LOW</stp>
        <stp>.XOP201120P47</stp>
        <tr r="K891" s="1"/>
      </tp>
      <tp>
        <v>0.48</v>
        <stp/>
        <stp>BID</stp>
        <stp>.XOP201120C49</stp>
        <tr r="H898" s="1"/>
      </tp>
      <tp t="s">
        <v>N/A</v>
        <stp/>
        <stp>BID</stp>
        <stp>.XOP201120C48</stp>
        <tr r="H894" s="1"/>
      </tp>
      <tp t="s">
        <v>N/A</v>
        <stp/>
        <stp>RHO</stp>
        <stp>.EWW201120P39</stp>
        <tr r="Q158" s="1"/>
      </tp>
      <tp t="s">
        <v>N/A</v>
        <stp/>
        <stp>RHO</stp>
        <stp>.MDY201120P380</stp>
        <tr r="Q416" s="1"/>
      </tp>
      <tp t="s">
        <v>N/A</v>
        <stp/>
        <stp>RHO</stp>
        <stp>.MDY201120C380</stp>
        <tr r="Q415" s="1"/>
      </tp>
      <tp t="s">
        <v>N/A</v>
        <stp/>
        <stp>RHO</stp>
        <stp>.MDY201120P385</stp>
        <tr r="Q420" s="1"/>
      </tp>
      <tp t="s">
        <v>N/A</v>
        <stp/>
        <stp>RHO</stp>
        <stp>.MDY201120C385</stp>
        <tr r="Q419" s="1"/>
      </tp>
      <tp t="s">
        <v>N/A</v>
        <stp/>
        <stp>PUT_CALL_RATIO</stp>
        <stp>.SSO201120C81.5</stp>
        <tr r="C645" s="1"/>
      </tp>
      <tp t="s">
        <v>N/A</v>
        <stp/>
        <stp>PUT_CALL_RATIO</stp>
        <stp>.SSO201120P81.5</stp>
        <tr r="C646" s="1"/>
      </tp>
      <tp t="s">
        <v>N/A</v>
        <stp/>
        <stp>STRIKE</stp>
        <stp>.KRE201120P47.5</stp>
        <tr r="W396" s="1"/>
      </tp>
      <tp t="s">
        <v>N/A</v>
        <stp/>
        <stp>STRIKE</stp>
        <stp>.KRE201120C47.5</stp>
        <tr r="W395" s="1"/>
      </tp>
      <tp t="s">
        <v>N/A</v>
        <stp/>
        <stp>STRIKE</stp>
        <stp>.EEM201120C47.5</stp>
        <tr r="W95" s="1"/>
      </tp>
      <tp t="s">
        <v>N/A</v>
        <stp/>
        <stp>STRIKE</stp>
        <stp>.EEM201120P47.5</stp>
        <tr r="W96" s="1"/>
      </tp>
      <tp t="s">
        <v>N/A</v>
        <stp/>
        <stp>STRIKE</stp>
        <stp>.GDX201120C37.5</stp>
        <tr r="W200" s="1"/>
      </tp>
      <tp t="s">
        <v>N/A</v>
        <stp/>
        <stp>STRIKE</stp>
        <stp>.GDX201120P37.5</stp>
        <tr r="W201" s="1"/>
      </tp>
      <tp t="s">
        <v>N/A</v>
        <stp/>
        <stp>STRIKE</stp>
        <stp>.FXI201120P47.5</stp>
        <tr r="W192" s="1"/>
      </tp>
      <tp t="s">
        <v>N/A</v>
        <stp/>
        <stp>STRIKE</stp>
        <stp>.FXI201120C47.5</stp>
        <tr r="W191" s="1"/>
      </tp>
      <tp t="s">
        <v>N/A</v>
        <stp/>
        <stp>PROB_OF_EXPIRING</stp>
        <stp>KRE</stp>
        <tr r="T388" s="1"/>
      </tp>
      <tp t="s">
        <v>N/A</v>
        <stp/>
        <stp>PUT_CALL_RATIO</stp>
        <stp>.EWY201120C71.5</stp>
        <tr r="C162" s="1"/>
      </tp>
      <tp t="s">
        <v>N/A</v>
        <stp/>
        <stp>STRIKE</stp>
        <stp>.XOP201120C47.5</stp>
        <tr r="W892" s="1"/>
      </tp>
      <tp t="s">
        <v>N/A</v>
        <stp/>
        <stp>PUT_CALL_RATIO</stp>
        <stp>.EWZ201120C31.5</stp>
        <tr r="C173" s="1"/>
      </tp>
      <tp t="s">
        <v>N/A</v>
        <stp/>
        <stp>PUT_CALL_RATIO</stp>
        <stp>.EWY201120P71.5</stp>
        <tr r="C163" s="1"/>
      </tp>
      <tp t="s">
        <v>N/A</v>
        <stp/>
        <stp>STRIKE</stp>
        <stp>.XOP201120P47.5</stp>
        <tr r="W893" s="1"/>
      </tp>
      <tp t="s">
        <v>N/A</v>
        <stp/>
        <stp>PUT_CALL_RATIO</stp>
        <stp>.EWZ201120P31.5</stp>
        <tr r="C174" s="1"/>
      </tp>
      <tp>
        <v>2</v>
        <stp/>
        <stp>OPEN_INT</stp>
        <stp>.AMLP201120P23.5</stp>
        <tr r="G22" s="1"/>
      </tp>
      <tp t="s">
        <v>N/A</v>
        <stp/>
        <stp>OPEN_INT</stp>
        <stp>.AMLP201120C23.5</stp>
        <tr r="G21" s="1"/>
      </tp>
      <tp t="s">
        <v>N/A</v>
        <stp/>
        <stp>PROB_OF_EXPIRING</stp>
        <stp>KBE</stp>
        <tr r="T385" s="1"/>
      </tp>
      <tp t="s">
        <v>N/A</v>
        <stp/>
        <stp>EXTRINSIC</stp>
        <stp>JETS</stp>
        <tr r="S375" s="1"/>
      </tp>
      <tp>
        <v>0.62</v>
        <stp/>
        <stp>HIGH</stp>
        <stp>.MJ201120C13</stp>
        <tr r="J424" s="1"/>
      </tp>
      <tp>
        <v>100</v>
        <stp/>
        <stp>OPEN_INT</stp>
        <stp>.DIA201120C297.5</stp>
        <tr r="G79" s="1"/>
      </tp>
      <tp t="s">
        <v>N/A</v>
        <stp/>
        <stp>PROB_OF_TOUCHING</stp>
        <stp>.XBI201120P122.5</stp>
        <tr r="V767" s="1"/>
      </tp>
      <tp>
        <v>0.3</v>
        <stp/>
        <stp>OPEN</stp>
        <stp>.EEM201120C48.5</stp>
        <tr r="L99" s="1"/>
      </tp>
      <tp t="s">
        <v>N/A</v>
        <stp/>
        <stp>OPEN</stp>
        <stp>.EWU201120P28.5</stp>
        <tr r="L153" s="1"/>
      </tp>
      <tp t="s">
        <v>N/A</v>
        <stp/>
        <stp>OPEN</stp>
        <stp>.EWW201120P38.5</stp>
        <tr r="L156" s="1"/>
      </tp>
      <tp t="s">
        <v>N/A</v>
        <stp/>
        <stp>OPEN</stp>
        <stp>.EWU201120C28.5</stp>
        <tr r="L152" s="1"/>
      </tp>
      <tp t="s">
        <v>N/A</v>
        <stp/>
        <stp>OPEN</stp>
        <stp>.EWW201120C38.5</stp>
        <tr r="L155" s="1"/>
      </tp>
      <tp>
        <v>0.62</v>
        <stp/>
        <stp>OPEN</stp>
        <stp>.EEM201120P48.5</stp>
        <tr r="L100" s="1"/>
      </tp>
      <tp>
        <v>86.77</v>
        <stp/>
        <stp>HIGH</stp>
        <stp>VT</stp>
        <tr r="J734" s="1"/>
      </tp>
      <tp t="s">
        <v>N/A</v>
        <stp/>
        <stp>VEGA</stp>
        <stp>.MJ201120C13</stp>
        <tr r="P424" s="1"/>
      </tp>
      <tp t="s">
        <v>N/A</v>
        <stp/>
        <stp>IMPL_VOL</stp>
        <stp>.IVW201120P61.25</stp>
        <tr r="D332" s="1"/>
      </tp>
      <tp t="s">
        <v>N/A</v>
        <stp/>
        <stp>INTRINSIC</stp>
        <stp>JETS</stp>
        <tr r="R375" s="1"/>
      </tp>
      <tp t="s">
        <v>N/A</v>
        <stp/>
        <stp>IMPL_VOL</stp>
        <stp>.SMH201120P194.5</stp>
        <tr r="D561" s="1"/>
      </tp>
      <tp t="s">
        <v>N/A</v>
        <stp/>
        <stp>PROB_OTM</stp>
        <stp>.QQQ201120C292.5</stp>
        <tr r="U492" s="1"/>
      </tp>
      <tp t="s">
        <v>N/A</v>
        <stp/>
        <stp>PROB_OF_TOUCHING</stp>
        <stp>.XLK201120P122.5</stp>
        <tr r="V838" s="1"/>
      </tp>
      <tp t="s">
        <v>N/A</v>
        <stp/>
        <stp>PROB_OF_TOUCHING</stp>
        <stp>.XLY201120P152.5</stp>
        <tr r="V873" s="1"/>
      </tp>
      <tp>
        <v>19.260000000000002</v>
        <stp/>
        <stp>HIGH</stp>
        <stp>SH</stp>
        <tr r="J542" s="1"/>
      </tp>
      <tp t="s">
        <v>N/A</v>
        <stp/>
        <stp>OPEN_INT</stp>
        <stp>.IGV201120C315</stp>
        <tr r="G265" s="1"/>
      </tp>
      <tp t="s">
        <v>N/A</v>
        <stp/>
        <stp>OPEN_INT</stp>
        <stp>.IGV201120P315</stp>
        <tr r="G266" s="1"/>
      </tp>
      <tp t="s">
        <v>N/A</v>
        <stp/>
        <stp>PROB_OF_TOUCHING</stp>
        <stp>.XBI201120C122.5</stp>
        <tr r="V766" s="1"/>
      </tp>
      <tp t="s">
        <v>N/A</v>
        <stp/>
        <stp>EXTRINSIC</stp>
        <stp>IEFA</stp>
        <tr r="S251" s="1"/>
      </tp>
      <tp t="s">
        <v>N/A</v>
        <stp/>
        <stp>OPEN_INT</stp>
        <stp>.IGV201120C320</stp>
        <tr r="G267" s="1"/>
      </tp>
      <tp t="s">
        <v>N/A</v>
        <stp/>
        <stp>OPEN_INT</stp>
        <stp>.IGV201120P320</stp>
        <tr r="G268" s="1"/>
      </tp>
      <tp t="s">
        <v>N/A</v>
        <stp/>
        <stp>OPEN_INT</stp>
        <stp>.IGV201120C325</stp>
        <tr r="G269" s="1"/>
      </tp>
      <tp t="s">
        <v>N/A</v>
        <stp/>
        <stp>OPEN_INT</stp>
        <stp>.IGV201120P325</stp>
        <tr r="G270" s="1"/>
      </tp>
      <tp>
        <v>205</v>
        <stp/>
        <stp>OPEN_INT</stp>
        <stp>.DIA201120P297.5</stp>
        <tr r="G80" s="1"/>
      </tp>
      <tp>
        <v>13.1999</v>
        <stp/>
        <stp>HIGH</stp>
        <stp>MJ</stp>
        <tr r="J423" s="1"/>
      </tp>
      <tp t="s">
        <v>N/A</v>
        <stp/>
        <stp>PROB_OTM</stp>
        <stp>.JNK201120P107</stp>
        <tr r="U384" s="1"/>
      </tp>
      <tp t="s">
        <v>N/A</v>
        <stp/>
        <stp>PROB_OTM</stp>
        <stp>.JNK201120C107</stp>
        <tr r="U383" s="1"/>
      </tp>
      <tp>
        <v>3678</v>
        <stp/>
        <stp>OPEN_INT</stp>
        <stp>.TLT201120C156</stp>
        <tr r="G694" s="1"/>
      </tp>
      <tp>
        <v>25998</v>
        <stp/>
        <stp>OPEN_INT</stp>
        <stp>.TLT201120P156</stp>
        <tr r="G695" s="1"/>
      </tp>
      <tp>
        <v>1024</v>
        <stp/>
        <stp>OPEN_INT</stp>
        <stp>.TLT201120C155</stp>
        <tr r="G690" s="1"/>
      </tp>
      <tp>
        <v>21466</v>
        <stp/>
        <stp>OPEN_INT</stp>
        <stp>.TLT201120P155</stp>
        <tr r="G691" s="1"/>
      </tp>
      <tp t="s">
        <v>N/A</v>
        <stp/>
        <stp>PROB_OTM</stp>
        <stp>.IJH201120P210</stp>
        <tr r="U273" s="1"/>
      </tp>
      <tp t="s">
        <v>N/A</v>
        <stp/>
        <stp>PROB_OTM</stp>
        <stp>.IJH201120C210</stp>
        <tr r="U272" s="1"/>
      </tp>
      <tp>
        <v>0</v>
        <stp/>
        <stp>OPEN_INT</stp>
        <stp>.IVV201120P359</stp>
        <tr r="G323" s="1"/>
      </tp>
      <tp>
        <v>4</v>
        <stp/>
        <stp>OPEN_INT</stp>
        <stp>.IVV201120C359</stp>
        <tr r="G322" s="1"/>
      </tp>
      <tp>
        <v>0</v>
        <stp/>
        <stp>OPEN_INT</stp>
        <stp>.IVV201120P358</stp>
        <tr r="G321" s="1"/>
      </tp>
      <tp>
        <v>0</v>
        <stp/>
        <stp>OPEN_INT</stp>
        <stp>.IVV201120C358</stp>
        <tr r="G320" s="1"/>
      </tp>
      <tp t="s">
        <v>N/A</v>
        <stp/>
        <stp>INTRINSIC</stp>
        <stp>IEMG</stp>
        <tr r="R256" s="1"/>
      </tp>
      <tp>
        <v>0</v>
        <stp/>
        <stp>OPEN_INT</stp>
        <stp>.IVV201120P357</stp>
        <tr r="G317" s="1"/>
      </tp>
      <tp>
        <v>0</v>
        <stp/>
        <stp>OPEN_INT</stp>
        <stp>.IVV201120C357</stp>
        <tr r="G316" s="1"/>
      </tp>
      <tp>
        <v>1</v>
        <stp/>
        <stp>OPEN_INT</stp>
        <stp>.IVV201120P356</stp>
        <tr r="G315" s="1"/>
      </tp>
      <tp>
        <v>153</v>
        <stp/>
        <stp>OPEN_INT</stp>
        <stp>.IVV201120C356</stp>
        <tr r="G314" s="1"/>
      </tp>
      <tp>
        <v>5</v>
        <stp/>
        <stp>OPEN_INT</stp>
        <stp>.IVV201120P355</stp>
        <tr r="G313" s="1"/>
      </tp>
      <tp>
        <v>24</v>
        <stp/>
        <stp>OPEN_INT</stp>
        <stp>.IVV201120C355</stp>
        <tr r="G312" s="1"/>
      </tp>
      <tp>
        <v>0</v>
        <stp/>
        <stp>OPEN_INT</stp>
        <stp>.IVV201120P354</stp>
        <tr r="G311" s="1"/>
      </tp>
      <tp>
        <v>3</v>
        <stp/>
        <stp>OPEN_INT</stp>
        <stp>.IVV201120C354</stp>
        <tr r="G310" s="1"/>
      </tp>
      <tp t="s">
        <v>N/A</v>
        <stp/>
        <stp>PROB_OTM</stp>
        <stp>.XLK201120P122</stp>
        <tr r="U836" s="1"/>
      </tp>
      <tp t="s">
        <v>N/A</v>
        <stp/>
        <stp>PROB_OTM</stp>
        <stp>.XLK201120C122</stp>
        <tr r="U835" s="1"/>
      </tp>
      <tp>
        <v>0</v>
        <stp/>
        <stp>OPEN_INT</stp>
        <stp>.IVV201120P362</stp>
        <tr r="G329" s="1"/>
      </tp>
      <tp t="s">
        <v>N/A</v>
        <stp/>
        <stp>PROB_OTM</stp>
        <stp>.XLK201120P123</stp>
        <tr r="U840" s="1"/>
      </tp>
      <tp>
        <v>0</v>
        <stp/>
        <stp>OPEN_INT</stp>
        <stp>.IVV201120C362</stp>
        <tr r="G328" s="1"/>
      </tp>
      <tp t="s">
        <v>N/A</v>
        <stp/>
        <stp>PROB_OTM</stp>
        <stp>.XLK201120C123</stp>
        <tr r="U839" s="1"/>
      </tp>
      <tp>
        <v>1</v>
        <stp/>
        <stp>OPEN_INT</stp>
        <stp>.IVV201120P361</stp>
        <tr r="G327" s="1"/>
      </tp>
      <tp t="s">
        <v>N/A</v>
        <stp/>
        <stp>PROB_OTM</stp>
        <stp>.XLK201120P120</stp>
        <tr r="U828" s="1"/>
      </tp>
      <tp>
        <v>1</v>
        <stp/>
        <stp>OPEN_INT</stp>
        <stp>.IVV201120C361</stp>
        <tr r="G326" s="1"/>
      </tp>
      <tp t="s">
        <v>N/A</v>
        <stp/>
        <stp>PROB_OTM</stp>
        <stp>.XLK201120C120</stp>
        <tr r="U827" s="1"/>
      </tp>
      <tp>
        <v>1</v>
        <stp/>
        <stp>OPEN_INT</stp>
        <stp>.IVV201120P360</stp>
        <tr r="G325" s="1"/>
      </tp>
      <tp t="s">
        <v>N/A</v>
        <stp/>
        <stp>PROB_OTM</stp>
        <stp>.XLK201120P121</stp>
        <tr r="U832" s="1"/>
      </tp>
      <tp>
        <v>56</v>
        <stp/>
        <stp>OPEN_INT</stp>
        <stp>.IVV201120C360</stp>
        <tr r="G324" s="1"/>
      </tp>
      <tp t="s">
        <v>N/A</v>
        <stp/>
        <stp>PROB_OTM</stp>
        <stp>.XLK201120C121</stp>
        <tr r="U831" s="1"/>
      </tp>
      <tp t="s">
        <v>N/A</v>
        <stp/>
        <stp>IMPL_VOL</stp>
        <stp>.IVW201120C61.25</stp>
        <tr r="D331" s="1"/>
      </tp>
      <tp t="s">
        <v>N/A</v>
        <stp/>
        <stp>EXTRINSIC</stp>
        <stp>IEMG</stp>
        <tr r="S256" s="1"/>
      </tp>
      <tp>
        <v>0.93</v>
        <stp/>
        <stp>OPEN</stp>
        <stp>.XOP201120C48.5</stp>
        <tr r="L896" s="1"/>
      </tp>
      <tp>
        <v>0.66</v>
        <stp/>
        <stp>OPEN</stp>
        <stp>.XLB201120C68.5</stp>
        <tr r="L788" s="1"/>
      </tp>
      <tp t="s">
        <v>N/A</v>
        <stp/>
        <stp>IMPL_VOL</stp>
        <stp>.QQQ201120C287</stp>
        <tr r="D478" s="1"/>
      </tp>
      <tp t="s">
        <v>N/A</v>
        <stp/>
        <stp>IMPL_VOL</stp>
        <stp>.QQQ201120P287</stp>
        <tr r="D479" s="1"/>
      </tp>
      <tp t="s">
        <v>N/A</v>
        <stp/>
        <stp>IMPL_VOL</stp>
        <stp>.QQQ201120C286</stp>
        <tr r="D476" s="1"/>
      </tp>
      <tp t="s">
        <v>N/A</v>
        <stp/>
        <stp>IMPL_VOL</stp>
        <stp>.QQQ201120P286</stp>
        <tr r="D477" s="1"/>
      </tp>
      <tp t="s">
        <v>N/A</v>
        <stp/>
        <stp>OPEN</stp>
        <stp>.XLB201120P68.5</stp>
        <tr r="L789" s="1"/>
      </tp>
      <tp>
        <v>0</v>
        <stp/>
        <stp>OPEN</stp>
        <stp>.XOP201120P48.5</stp>
        <tr r="L897" s="1"/>
      </tp>
      <tp t="s">
        <v>N/A</v>
        <stp/>
        <stp>IMPL_VOL</stp>
        <stp>.QQQ201120C289</stp>
        <tr r="D484" s="1"/>
      </tp>
      <tp t="s">
        <v>N/A</v>
        <stp/>
        <stp>IMPL_VOL</stp>
        <stp>.QQQ201120P289</stp>
        <tr r="D485" s="1"/>
      </tp>
      <tp t="s">
        <v>N/A</v>
        <stp/>
        <stp>IMPL_VOL</stp>
        <stp>.QQQ201120C288</stp>
        <tr r="D482" s="1"/>
      </tp>
      <tp t="s">
        <v>N/A</v>
        <stp/>
        <stp>IMPL_VOL</stp>
        <stp>.QQQ201120P288</stp>
        <tr r="D483" s="1"/>
      </tp>
      <tp t="s">
        <v>N/A</v>
        <stp/>
        <stp>IMPL_VOL</stp>
        <stp>.QQQ201120C294</stp>
        <tr r="D496" s="1"/>
      </tp>
      <tp t="s">
        <v>N/A</v>
        <stp/>
        <stp>IMPL_VOL</stp>
        <stp>.QQQ201120P294</stp>
        <tr r="D497" s="1"/>
      </tp>
      <tp t="s">
        <v>N/A</v>
        <stp/>
        <stp>IMPL_VOL</stp>
        <stp>.QQQ201120C293</stp>
        <tr r="D494" s="1"/>
      </tp>
      <tp t="s">
        <v>N/A</v>
        <stp/>
        <stp>IMPL_VOL</stp>
        <stp>.QQQ201120P293</stp>
        <tr r="D495" s="1"/>
      </tp>
      <tp t="s">
        <v>N/A</v>
        <stp/>
        <stp>IMPL_VOL</stp>
        <stp>.QQQ201120C292</stp>
        <tr r="D490" s="1"/>
      </tp>
      <tp t="s">
        <v>N/A</v>
        <stp/>
        <stp>IMPL_VOL</stp>
        <stp>.QQQ201120P292</stp>
        <tr r="D491" s="1"/>
      </tp>
      <tp t="s">
        <v>N/A</v>
        <stp/>
        <stp>IMPL_VOL</stp>
        <stp>.QQQ201120C291</stp>
        <tr r="D488" s="1"/>
      </tp>
      <tp t="s">
        <v>N/A</v>
        <stp/>
        <stp>IMPL_VOL</stp>
        <stp>.QQQ201120P291</stp>
        <tr r="D489" s="1"/>
      </tp>
      <tp t="s">
        <v>N/A</v>
        <stp/>
        <stp>IMPL_VOL</stp>
        <stp>.QQQ201120C290</stp>
        <tr r="D486" s="1"/>
      </tp>
      <tp t="s">
        <v>N/A</v>
        <stp/>
        <stp>IMPL_VOL</stp>
        <stp>.QQQ201120P290</stp>
        <tr r="D487" s="1"/>
      </tp>
      <tp t="s">
        <v>N/A</v>
        <stp/>
        <stp>INTRINSIC</stp>
        <stp>IEFA</stp>
        <tr r="R251" s="1"/>
      </tp>
      <tp t="s">
        <v>N/A</v>
        <stp/>
        <stp>IMPL_VOL</stp>
        <stp>.SMH201120C194.5</stp>
        <tr r="D560" s="1"/>
      </tp>
      <tp t="s">
        <v>N/A</v>
        <stp/>
        <stp>PROB_OTM</stp>
        <stp>.QQQ201120P292.5</stp>
        <tr r="U493" s="1"/>
      </tp>
      <tp t="s">
        <v>N/A</v>
        <stp/>
        <stp>PROB_OF_TOUCHING</stp>
        <stp>.XLK201120C122.5</stp>
        <tr r="V837" s="1"/>
      </tp>
      <tp t="s">
        <v>N/A</v>
        <stp/>
        <stp>PROB_OF_TOUCHING</stp>
        <stp>.XLY201120C152.5</stp>
        <tr r="V872" s="1"/>
      </tp>
      <tp t="s">
        <v>N/A</v>
        <stp/>
        <stp>RHO</stp>
        <stp>.SHY201120C86.5</stp>
        <tr r="Q546" s="1"/>
      </tp>
      <tp t="s">
        <v>N/A</v>
        <stp/>
        <stp>RHO</stp>
        <stp>.SHY201120P86.5</stp>
        <tr r="Q547" s="1"/>
      </tp>
      <tp t="s">
        <v>N/A</v>
        <stp/>
        <stp>STRIKE</stp>
        <stp>.KWEB201120P72</stp>
        <tr r="W399" s="1"/>
      </tp>
      <tp t="s">
        <v>N/A</v>
        <stp/>
        <stp>STRIKE</stp>
        <stp>.KWEB201120P73</stp>
        <tr r="W401" s="1"/>
      </tp>
      <tp t="s">
        <v>N/A</v>
        <stp/>
        <stp>STRIKE</stp>
        <stp>.KWEB201120P74</stp>
        <tr r="W403" s="1"/>
      </tp>
      <tp t="s">
        <v>N/A</v>
        <stp/>
        <stp>RHO</stp>
        <stp>.TAN201120C76.5</stp>
        <tr r="Q676" s="1"/>
      </tp>
      <tp t="s">
        <v>N/A</v>
        <stp/>
        <stp>RHO</stp>
        <stp>.TAN201120P76.5</stp>
        <tr r="Q677" s="1"/>
      </tp>
      <tp t="s">
        <v>N/A</v>
        <stp/>
        <stp>RHO</stp>
        <stp>.VWO201120P46.5</stp>
        <tr r="Q750" s="1"/>
      </tp>
      <tp t="s">
        <v>N/A</v>
        <stp/>
        <stp>RHO</stp>
        <stp>.VWO201120C46.5</stp>
        <tr r="Q749" s="1"/>
      </tp>
      <tp t="s">
        <v>N/A</v>
        <stp/>
        <stp>RHO</stp>
        <stp>.XME201120C26.5</stp>
        <tr r="Q885" s="1"/>
      </tp>
      <tp t="s">
        <v>N/A</v>
        <stp/>
        <stp>RHO</stp>
        <stp>.XLU201120C66.5</stp>
        <tr r="Q852" s="1"/>
      </tp>
      <tp t="s">
        <v>N/A</v>
        <stp/>
        <stp>RHO</stp>
        <stp>.XLP201120C66.5</stp>
        <tr r="Q842" s="1"/>
      </tp>
      <tp t="s">
        <v>N/A</v>
        <stp/>
        <stp>STRIKE</stp>
        <stp>.DFEN201120P14</stp>
        <tr r="W58" s="1"/>
      </tp>
      <tp t="s">
        <v>N/A</v>
        <stp/>
        <stp>STRIKE</stp>
        <stp>.DFEN201120P13</stp>
        <tr r="W56" s="1"/>
      </tp>
      <tp t="s">
        <v>N/A</v>
        <stp/>
        <stp>RHO</stp>
        <stp>.XLU201120P66.5</stp>
        <tr r="Q853" s="1"/>
      </tp>
      <tp t="s">
        <v>N/A</v>
        <stp/>
        <stp>RHO</stp>
        <stp>.XLP201120P66.5</stp>
        <tr r="Q843" s="1"/>
      </tp>
      <tp t="s">
        <v>N/A</v>
        <stp/>
        <stp>RHO</stp>
        <stp>.XME201120P26.5</stp>
        <tr r="Q886" s="1"/>
      </tp>
      <tp>
        <v>554</v>
        <stp/>
        <stp>VOLUME</stp>
        <stp>.ASHR201120C38</stp>
        <tr r="F46" s="1"/>
      </tp>
      <tp>
        <v>0</v>
        <stp/>
        <stp>VOLUME</stp>
        <stp>.SCHP201120C61</stp>
        <tr r="F532" s="1"/>
      </tp>
      <tp t="s">
        <v>N/A</v>
        <stp/>
        <stp>RHO</stp>
        <stp>.GDX201120C36.5</stp>
        <tr r="Q196" s="1"/>
      </tp>
      <tp t="s">
        <v>N/A</v>
        <stp/>
        <stp>RHO</stp>
        <stp>.GDX201120P36.5</stp>
        <tr r="Q197" s="1"/>
      </tp>
      <tp t="s">
        <v>N/A</v>
        <stp/>
        <stp>STRIKE</stp>
        <stp>.SRVR201120C35</stp>
        <tr r="W638" s="1"/>
      </tp>
      <tp t="s">
        <v>N/A</v>
        <stp/>
        <stp>STRIKE</stp>
        <stp>.SRVR201120C36</stp>
        <tr r="W640" s="1"/>
      </tp>
      <tp t="s">
        <v>N/A</v>
        <stp/>
        <stp>VOLUME</stp>
        <stp>.SCHD201120C62</stp>
        <tr r="F523" s="1"/>
      </tp>
      <tp t="s">
        <v>N/A</v>
        <stp/>
        <stp>VOLUME</stp>
        <stp>.SCHD201120C61</stp>
        <tr r="F521" s="1"/>
      </tp>
      <tp t="s">
        <v>N/A</v>
        <stp/>
        <stp>INTRINSIC</stp>
        <stp>.SMH201120C197</stp>
        <tr r="R570" s="1"/>
      </tp>
      <tp t="s">
        <v>N/A</v>
        <stp/>
        <stp>INTRINSIC</stp>
        <stp>.SMH201120P197</stp>
        <tr r="R571" s="1"/>
      </tp>
      <tp t="s">
        <v>N/A</v>
        <stp/>
        <stp>INTRINSIC</stp>
        <stp>.SMH201120C196</stp>
        <tr r="R566" s="1"/>
      </tp>
      <tp t="s">
        <v>N/A</v>
        <stp/>
        <stp>INTRINSIC</stp>
        <stp>.SMH201120P196</stp>
        <tr r="R567" s="1"/>
      </tp>
      <tp t="s">
        <v>N/A</v>
        <stp/>
        <stp>INTRINSIC</stp>
        <stp>.SMH201120C195</stp>
        <tr r="R562" s="1"/>
      </tp>
      <tp t="s">
        <v>N/A</v>
        <stp/>
        <stp>INTRINSIC</stp>
        <stp>.SMH201120P195</stp>
        <tr r="R563" s="1"/>
      </tp>
      <tp t="s">
        <v>N/A</v>
        <stp/>
        <stp>INTRINSIC</stp>
        <stp>.SMH201120C194</stp>
        <tr r="R558" s="1"/>
      </tp>
      <tp t="s">
        <v>N/A</v>
        <stp/>
        <stp>INTRINSIC</stp>
        <stp>.SMH201120P194</stp>
        <tr r="R559" s="1"/>
      </tp>
      <tp t="s">
        <v>N/A</v>
        <stp/>
        <stp>INTRINSIC</stp>
        <stp>.SMH201120C193</stp>
        <tr r="R554" s="1"/>
      </tp>
      <tp t="s">
        <v>N/A</v>
        <stp/>
        <stp>INTRINSIC</stp>
        <stp>.SMH201120P193</stp>
        <tr r="R555" s="1"/>
      </tp>
      <tp t="s">
        <v>N/A</v>
        <stp/>
        <stp>INTRINSIC</stp>
        <stp>.SMH201120C198</stp>
        <tr r="R574" s="1"/>
      </tp>
      <tp t="s">
        <v>N/A</v>
        <stp/>
        <stp>INTRINSIC</stp>
        <stp>.SMH201120P198</stp>
        <tr r="R575" s="1"/>
      </tp>
      <tp t="s">
        <v>N/A</v>
        <stp/>
        <stp>RHO</stp>
        <stp>.KRE201120P46.5</stp>
        <tr r="Q392" s="1"/>
      </tp>
      <tp t="s">
        <v>N/A</v>
        <stp/>
        <stp>RHO</stp>
        <stp>.KRE201120C46.5</stp>
        <tr r="Q391" s="1"/>
      </tp>
      <tp t="s">
        <v>N/A</v>
        <stp/>
        <stp>VOLUME</stp>
        <stp>.MCHI201120C80</stp>
        <tr r="F412" s="1"/>
      </tp>
      <tp t="s">
        <v>N/A</v>
        <stp/>
        <stp>VOLUME</stp>
        <stp>.SPHD201120C36</stp>
        <tr r="F582" s="1"/>
      </tp>
      <tp t="s">
        <v>N/A</v>
        <stp/>
        <stp>VOLUME</stp>
        <stp>.SCHE201120C29</stp>
        <tr r="F526" s="1"/>
      </tp>
      <tp t="s">
        <v>N/A</v>
        <stp/>
        <stp>VOLUME</stp>
        <stp>.SCHF201120C34</stp>
        <tr r="F529" s="1"/>
      </tp>
      <tp>
        <v>2.25</v>
        <stp/>
        <stp>ASK</stp>
        <stp>.TAN201120C74</stp>
        <tr r="I666" s="1"/>
      </tp>
      <tp>
        <v>1.85</v>
        <stp/>
        <stp>ASK</stp>
        <stp>.TAN201120C75</stp>
        <tr r="I670" s="1"/>
      </tp>
      <tp t="s">
        <v>N/A</v>
        <stp/>
        <stp>ASK</stp>
        <stp>.TAN201120C76</stp>
        <tr r="I674" s="1"/>
      </tp>
      <tp>
        <v>1.2</v>
        <stp/>
        <stp>ASK</stp>
        <stp>.TAN201120C77</stp>
        <tr r="I678" s="1"/>
      </tp>
      <tp t="s">
        <v>N/A</v>
        <stp/>
        <stp>ASK</stp>
        <stp>.TAN201120C73</stp>
        <tr r="I662" s="1"/>
      </tp>
      <tp t="s">
        <v>N/A</v>
        <stp/>
        <stp>RHO</stp>
        <stp>.EEM201120C48</stp>
        <tr r="Q97" s="1"/>
      </tp>
      <tp>
        <v>5</v>
        <stp/>
        <stp>ASK</stp>
        <stp>.KRE201120P46</stp>
        <tr r="I390" s="1"/>
      </tp>
      <tp>
        <v>5</v>
        <stp/>
        <stp>ASK</stp>
        <stp>.KRE201120P47</stp>
        <tr r="I394" s="1"/>
      </tp>
      <tp t="s">
        <v>N/A</v>
        <stp/>
        <stp>RHO</stp>
        <stp>.VEA201120C44</stp>
        <tr r="Q708" s="1"/>
      </tp>
      <tp t="s">
        <v>N/A</v>
        <stp/>
        <stp>STRIKE</stp>
        <stp>ARKW</stp>
        <tr r="W34" s="1"/>
      </tp>
      <tp t="s">
        <v>N/A</v>
        <stp/>
        <stp>STRIKE</stp>
        <stp>ARKK</stp>
        <tr r="W25" s="1"/>
      </tp>
      <tp t="s">
        <v>N/A</v>
        <stp/>
        <stp>RHO</stp>
        <stp>.FVD201120P35</stp>
        <tr r="Q187" s="1"/>
      </tp>
      <tp t="s">
        <v>N/A</v>
        <stp/>
        <stp>STRIKE</stp>
        <stp>DRIP</stp>
        <tr r="W81" s="1"/>
      </tp>
      <tp t="s">
        <v>N/A</v>
        <stp/>
        <stp>DESCRIPTION</stp>
        <stp>.PGX201120C15</stp>
        <tr r="B455" s="1"/>
      </tp>
      <tp t="s">
        <v>N/A</v>
        <stp/>
        <stp>STRIKE</stp>
        <stp>SRVR</stp>
        <tr r="W637" s="1"/>
      </tp>
      <tp t="s">
        <v>N/A</v>
        <stp/>
        <stp>BID</stp>
        <stp>.VNQ201120C85</stp>
        <tr r="H727" s="1"/>
      </tp>
      <tp>
        <v>0.7</v>
        <stp/>
        <stp>BID</stp>
        <stp>.VNQ201120C84</stp>
        <tr r="H725" s="1"/>
      </tp>
      <tp t="s">
        <v>N/A</v>
        <stp/>
        <stp>LOW</stp>
        <stp>.VNQ201120P85</stp>
        <tr r="K728" s="1"/>
      </tp>
      <tp t="s">
        <v>N/A</v>
        <stp/>
        <stp>LOW</stp>
        <stp>.VNQ201120P84</stp>
        <tr r="K726" s="1"/>
      </tp>
      <tp t="s">
        <v>N/A</v>
        <stp/>
        <stp>DESCRIPTION</stp>
        <stp>.ITB201120P56</stp>
        <tr r="B296" s="1"/>
      </tp>
      <tp t="s">
        <v>N/A</v>
        <stp/>
        <stp>DESCRIPTION</stp>
        <stp>.ITB201120P55</stp>
        <tr r="B292" s="1"/>
      </tp>
      <tp t="s">
        <v>N/A</v>
        <stp/>
        <stp>RHO</stp>
        <stp>.FEZ201120C40</stp>
        <tr r="Q183" s="1"/>
      </tp>
      <tp t="s">
        <v>N/A</v>
        <stp/>
        <stp>DESCRIPTION</stp>
        <stp>.IWF201120C225</stp>
        <tr r="B341" s="1"/>
      </tp>
      <tp t="s">
        <v>N/A</v>
        <stp/>
        <stp>DESCRIPTION</stp>
        <stp>.IWF201120P225</stp>
        <tr r="B342" s="1"/>
      </tp>
      <tp t="s">
        <v>N/A</v>
        <stp/>
        <stp>DESCRIPTION</stp>
        <stp>.IVE201120C121</stp>
        <tr r="B303" s="1"/>
      </tp>
      <tp t="s">
        <v>N/A</v>
        <stp/>
        <stp>DESCRIPTION</stp>
        <stp>.IVE201120P121</stp>
        <tr r="B304" s="1"/>
      </tp>
      <tp t="s">
        <v>N/A</v>
        <stp/>
        <stp>DESCRIPTION</stp>
        <stp>.IVE201120C123</stp>
        <tr r="B307" s="1"/>
      </tp>
      <tp t="s">
        <v>N/A</v>
        <stp/>
        <stp>DESCRIPTION</stp>
        <stp>.IVE201120P123</stp>
        <tr r="B308" s="1"/>
      </tp>
      <tp t="s">
        <v>N/A</v>
        <stp/>
        <stp>DESCRIPTION</stp>
        <stp>.IVE201120C122</stp>
        <tr r="B305" s="1"/>
      </tp>
      <tp t="s">
        <v>N/A</v>
        <stp/>
        <stp>DESCRIPTION</stp>
        <stp>.IVE201120P122</stp>
        <tr r="B306" s="1"/>
      </tp>
      <tp t="s">
        <v>N/A</v>
        <stp/>
        <stp>ASK</stp>
        <stp>.XRT201120P54</stp>
        <tr r="I904" s="1"/>
      </tp>
      <tp t="s">
        <v>N/A</v>
        <stp/>
        <stp>ASK</stp>
        <stp>.XRT201120P55</stp>
        <tr r="I908" s="1"/>
      </tp>
      <tp t="s">
        <v>N/A</v>
        <stp/>
        <stp>DESCRIPTION</stp>
        <stp>.VGK201120C57</stp>
        <tr r="B722" s="1"/>
      </tp>
      <tp t="s">
        <v>N/A</v>
        <stp/>
        <stp>RHO</stp>
        <stp>.VEU201120C55</stp>
        <tr r="Q711" s="1"/>
      </tp>
      <tp t="s">
        <v>N/A</v>
        <stp/>
        <stp>RHO</stp>
        <stp>.DVY201120P93</stp>
        <tr r="Q90" s="1"/>
      </tp>
      <tp t="s">
        <v>N/A</v>
        <stp/>
        <stp>RHO</stp>
        <stp>.DVY201120P92</stp>
        <tr r="Q88" s="1"/>
      </tp>
      <tp t="s">
        <v>N/A</v>
        <stp/>
        <stp>RHO</stp>
        <stp>.DVY201120P91</stp>
        <tr r="Q86" s="1"/>
      </tp>
      <tp t="s">
        <v>N/A</v>
        <stp/>
        <stp>STRIKE</stp>
        <stp>.KRE201120P46.5</stp>
        <tr r="W392" s="1"/>
      </tp>
      <tp t="s">
        <v>N/A</v>
        <stp/>
        <stp>STRIKE</stp>
        <stp>.KRE201120C46.5</stp>
        <tr r="W391" s="1"/>
      </tp>
      <tp t="s">
        <v>N/A</v>
        <stp/>
        <stp>STRIKE</stp>
        <stp>.GDX201120C36.5</stp>
        <tr r="W196" s="1"/>
      </tp>
      <tp t="s">
        <v>N/A</v>
        <stp/>
        <stp>STRIKE</stp>
        <stp>.GDX201120P36.5</stp>
        <tr r="W197" s="1"/>
      </tp>
      <tp t="s">
        <v>N/A</v>
        <stp/>
        <stp>PROB_OF_EXPIRING</stp>
        <stp>JNK</stp>
        <tr r="T380" s="1"/>
      </tp>
      <tp t="s">
        <v>N/A</v>
        <stp/>
        <stp>STRIKE</stp>
        <stp>.XME201120C26.5</stp>
        <tr r="W885" s="1"/>
      </tp>
      <tp t="s">
        <v>N/A</v>
        <stp/>
        <stp>STRIKE</stp>
        <stp>.XLP201120C66.5</stp>
        <tr r="W842" s="1"/>
      </tp>
      <tp t="s">
        <v>N/A</v>
        <stp/>
        <stp>STRIKE</stp>
        <stp>.XLU201120C66.5</stp>
        <tr r="W852" s="1"/>
      </tp>
      <tp t="s">
        <v>N/A</v>
        <stp/>
        <stp>STRIKE</stp>
        <stp>.XLP201120P66.5</stp>
        <tr r="W843" s="1"/>
      </tp>
      <tp t="s">
        <v>N/A</v>
        <stp/>
        <stp>STRIKE</stp>
        <stp>.XLU201120P66.5</stp>
        <tr r="W853" s="1"/>
      </tp>
      <tp t="s">
        <v>N/A</v>
        <stp/>
        <stp>STRIKE</stp>
        <stp>.XME201120P26.5</stp>
        <tr r="W886" s="1"/>
      </tp>
      <tp t="s">
        <v>N/A</v>
        <stp/>
        <stp>STRIKE</stp>
        <stp>.TAN201120C76.5</stp>
        <tr r="W676" s="1"/>
      </tp>
      <tp t="s">
        <v>N/A</v>
        <stp/>
        <stp>STRIKE</stp>
        <stp>.TAN201120P76.5</stp>
        <tr r="W677" s="1"/>
      </tp>
      <tp t="s">
        <v>N/A</v>
        <stp/>
        <stp>STRIKE</stp>
        <stp>.VWO201120P46.5</stp>
        <tr r="W750" s="1"/>
      </tp>
      <tp t="s">
        <v>N/A</v>
        <stp/>
        <stp>STRIKE</stp>
        <stp>.VWO201120C46.5</stp>
        <tr r="W749" s="1"/>
      </tp>
      <tp t="s">
        <v>N/A</v>
        <stp/>
        <stp>STRIKE</stp>
        <stp>.SHY201120C86.5</stp>
        <tr r="W546" s="1"/>
      </tp>
      <tp t="s">
        <v>N/A</v>
        <stp/>
        <stp>STRIKE</stp>
        <stp>.SHY201120P86.5</stp>
        <tr r="W547" s="1"/>
      </tp>
      <tp>
        <v>889</v>
        <stp/>
        <stp>OPEN_INT</stp>
        <stp>.JETS201120C19.5</stp>
        <tr r="G376" s="1"/>
      </tp>
      <tp>
        <v>525</v>
        <stp/>
        <stp>OPEN_INT</stp>
        <stp>.JETS201120P19.5</stp>
        <tr r="G377" s="1"/>
      </tp>
      <tp t="s">
        <v>20.12%</v>
        <stp/>
        <stp>IMPL_VOL</stp>
        <stp>.SPY201120C357.5</stp>
        <tr r="D619" s="1"/>
      </tp>
      <tp t="s">
        <v>N/A</v>
        <stp/>
        <stp>PROB_OTM</stp>
        <stp>.SMH201120P193.5</stp>
        <tr r="U557" s="1"/>
      </tp>
      <tp t="s">
        <v>N/A</v>
        <stp/>
        <stp>PROB_OF_EXPIRING</stp>
        <stp>.XLY201120P154.5</stp>
        <tr r="T881" s="1"/>
      </tp>
      <tp t="s">
        <v>N/A</v>
        <stp/>
        <stp>PROB_OF_EXPIRING</stp>
        <stp>.XBI201120P124.5</stp>
        <tr r="T775" s="1"/>
      </tp>
      <tp t="s">
        <v>N/A</v>
        <stp/>
        <stp>OPEN_INT</stp>
        <stp>.IBB201120C139.5</stp>
        <tr r="G235" s="1"/>
      </tp>
      <tp t="s">
        <v>N/A</v>
        <stp/>
        <stp>IMPL_VOL</stp>
        <stp>.SMH201120P197.5</stp>
        <tr r="D573" s="1"/>
      </tp>
      <tp t="s">
        <v>N/A</v>
        <stp/>
        <stp>PROB_OF_TOUCHING</stp>
        <stp>.XLK201120P121.5</stp>
        <tr r="V834" s="1"/>
      </tp>
      <tp t="s">
        <v>N/A</v>
        <stp/>
        <stp>PROB_OF_TOUCHING</stp>
        <stp>.XLY201120P151.5</stp>
        <tr r="V869" s="1"/>
      </tp>
      <tp t="s">
        <v>N/A</v>
        <stp/>
        <stp>PROB_OF_TOUCHING</stp>
        <stp>.XLV201120P111.5</stp>
        <tr r="V864" s="1"/>
      </tp>
      <tp t="s">
        <v>N/A</v>
        <stp/>
        <stp>OPEN_INT</stp>
        <stp>.IEF201120C119.5</stp>
        <tr r="G249" s="1"/>
      </tp>
      <tp t="s">
        <v>N/A</v>
        <stp/>
        <stp>PROB_OF_TOUCHING</stp>
        <stp>.IGV201120P320</stp>
        <tr r="V268" s="1"/>
      </tp>
      <tp t="s">
        <v>N/A</v>
        <stp/>
        <stp>PROB_OF_TOUCHING</stp>
        <stp>.IGV201120C320</stp>
        <tr r="V267" s="1"/>
      </tp>
      <tp t="s">
        <v>N/A</v>
        <stp/>
        <stp>PROB_OF_TOUCHING</stp>
        <stp>.IGV201120P325</stp>
        <tr r="V270" s="1"/>
      </tp>
      <tp t="s">
        <v>N/A</v>
        <stp/>
        <stp>PROB_OF_TOUCHING</stp>
        <stp>.IGV201120C325</stp>
        <tr r="V269" s="1"/>
      </tp>
      <tp t="s">
        <v>N/A</v>
        <stp/>
        <stp>PROB_OTM</stp>
        <stp>.SMH201120C193.5</stp>
        <tr r="U556" s="1"/>
      </tp>
      <tp t="s">
        <v>N/A</v>
        <stp/>
        <stp>EXTRINSIC</stp>
        <stp>DFEN</stp>
        <tr r="S54" s="1"/>
      </tp>
      <tp t="s">
        <v>17.78%</v>
        <stp/>
        <stp>IMPL_VOL</stp>
        <stp>.SPY201120P357.5</stp>
        <tr r="D620" s="1"/>
      </tp>
      <tp t="s">
        <v>N/A</v>
        <stp/>
        <stp>PROB_OF_TOUCHING</stp>
        <stp>.IGV201120P315</stp>
        <tr r="V266" s="1"/>
      </tp>
      <tp t="s">
        <v>N/A</v>
        <stp/>
        <stp>PROB_OF_TOUCHING</stp>
        <stp>.IGV201120C315</stp>
        <tr r="V265" s="1"/>
      </tp>
      <tp t="s">
        <v>N/A</v>
        <stp/>
        <stp>PROB_OF_TOUCHING</stp>
        <stp>.IVV201120C362</stp>
        <tr r="V328" s="1"/>
      </tp>
      <tp t="s">
        <v>N/A</v>
        <stp/>
        <stp>PROB_OF_TOUCHING</stp>
        <stp>.IVV201120P362</stp>
        <tr r="V329" s="1"/>
      </tp>
      <tp t="s">
        <v>N/A</v>
        <stp/>
        <stp>PROB_OF_TOUCHING</stp>
        <stp>.IVV201120C360</stp>
        <tr r="V324" s="1"/>
      </tp>
      <tp t="s">
        <v>N/A</v>
        <stp/>
        <stp>PROB_OF_TOUCHING</stp>
        <stp>.IVV201120P360</stp>
        <tr r="V325" s="1"/>
      </tp>
      <tp t="s">
        <v>N/A</v>
        <stp/>
        <stp>PROB_OF_TOUCHING</stp>
        <stp>.IVV201120C361</stp>
        <tr r="V326" s="1"/>
      </tp>
      <tp t="s">
        <v>N/A</v>
        <stp/>
        <stp>PROB_OF_TOUCHING</stp>
        <stp>.IVV201120P361</stp>
        <tr r="V327" s="1"/>
      </tp>
      <tp t="s">
        <v>N/A</v>
        <stp/>
        <stp>PROB_OF_EXPIRING</stp>
        <stp>.XLY201120C154.5</stp>
        <tr r="T880" s="1"/>
      </tp>
      <tp t="s">
        <v>N/A</v>
        <stp/>
        <stp>PROB_OF_TOUCHING</stp>
        <stp>.IVV201120C356</stp>
        <tr r="V314" s="1"/>
      </tp>
      <tp t="s">
        <v>N/A</v>
        <stp/>
        <stp>PROB_OF_TOUCHING</stp>
        <stp>.IVV201120P356</stp>
        <tr r="V315" s="1"/>
      </tp>
      <tp t="s">
        <v>N/A</v>
        <stp/>
        <stp>PROB_OF_TOUCHING</stp>
        <stp>.IVV201120C357</stp>
        <tr r="V316" s="1"/>
      </tp>
      <tp t="s">
        <v>N/A</v>
        <stp/>
        <stp>PROB_OF_TOUCHING</stp>
        <stp>.IVV201120P357</stp>
        <tr r="V317" s="1"/>
      </tp>
      <tp t="s">
        <v>N/A</v>
        <stp/>
        <stp>PROB_OF_TOUCHING</stp>
        <stp>.IVV201120C354</stp>
        <tr r="V310" s="1"/>
      </tp>
      <tp t="s">
        <v>N/A</v>
        <stp/>
        <stp>PROB_OF_TOUCHING</stp>
        <stp>.IVV201120P354</stp>
        <tr r="V311" s="1"/>
      </tp>
      <tp t="s">
        <v>N/A</v>
        <stp/>
        <stp>PROB_OF_TOUCHING</stp>
        <stp>.IVV201120C355</stp>
        <tr r="V312" s="1"/>
      </tp>
      <tp t="s">
        <v>N/A</v>
        <stp/>
        <stp>PROB_OF_TOUCHING</stp>
        <stp>.IVV201120P355</stp>
        <tr r="V313" s="1"/>
      </tp>
      <tp t="s">
        <v>N/A</v>
        <stp/>
        <stp>PROB_OF_TOUCHING</stp>
        <stp>.IVV201120C358</stp>
        <tr r="V320" s="1"/>
      </tp>
      <tp t="s">
        <v>N/A</v>
        <stp/>
        <stp>PROB_OF_TOUCHING</stp>
        <stp>.IVV201120P358</stp>
        <tr r="V321" s="1"/>
      </tp>
      <tp t="s">
        <v>N/A</v>
        <stp/>
        <stp>PROB_OF_TOUCHING</stp>
        <stp>.IVV201120C359</stp>
        <tr r="V322" s="1"/>
      </tp>
      <tp t="s">
        <v>N/A</v>
        <stp/>
        <stp>PROB_OF_TOUCHING</stp>
        <stp>.IVV201120P359</stp>
        <tr r="V323" s="1"/>
      </tp>
      <tp t="s">
        <v>N/A</v>
        <stp/>
        <stp>PROB_OF_TOUCHING</stp>
        <stp>.TLT201120P156</stp>
        <tr r="V695" s="1"/>
      </tp>
      <tp t="s">
        <v>N/A</v>
        <stp/>
        <stp>PROB_OF_TOUCHING</stp>
        <stp>.TLT201120C156</stp>
        <tr r="V694" s="1"/>
      </tp>
      <tp t="s">
        <v>N/A</v>
        <stp/>
        <stp>PROB_OF_TOUCHING</stp>
        <stp>.TLT201120P155</stp>
        <tr r="V691" s="1"/>
      </tp>
      <tp t="s">
        <v>N/A</v>
        <stp/>
        <stp>PROB_OF_TOUCHING</stp>
        <stp>.TLT201120C155</stp>
        <tr r="V690" s="1"/>
      </tp>
      <tp>
        <v>13</v>
        <stp/>
        <stp>OPEN_INT</stp>
        <stp>.IBB201120P139.5</stp>
        <tr r="G236" s="1"/>
      </tp>
      <tp t="s">
        <v>N/A</v>
        <stp/>
        <stp>PROB_OF_EXPIRING</stp>
        <stp>.XBI201120C124.5</stp>
        <tr r="T774" s="1"/>
      </tp>
      <tp t="s">
        <v>N/A</v>
        <stp/>
        <stp>PROB_OTM</stp>
        <stp>.SMH201120P193</stp>
        <tr r="U555" s="1"/>
      </tp>
      <tp t="s">
        <v>N/A</v>
        <stp/>
        <stp>PROB_OTM</stp>
        <stp>.SMH201120C193</stp>
        <tr r="U554" s="1"/>
      </tp>
      <tp t="s">
        <v>N/A</v>
        <stp/>
        <stp>PROB_OTM</stp>
        <stp>.SMH201120P195</stp>
        <tr r="U563" s="1"/>
      </tp>
      <tp t="s">
        <v>N/A</v>
        <stp/>
        <stp>PROB_OTM</stp>
        <stp>.SMH201120C195</stp>
        <tr r="U562" s="1"/>
      </tp>
      <tp t="s">
        <v>N/A</v>
        <stp/>
        <stp>PROB_OTM</stp>
        <stp>.SMH201120P194</stp>
        <tr r="U559" s="1"/>
      </tp>
      <tp t="s">
        <v>N/A</v>
        <stp/>
        <stp>PROB_OTM</stp>
        <stp>.SMH201120C194</stp>
        <tr r="U558" s="1"/>
      </tp>
      <tp t="s">
        <v>N/A</v>
        <stp/>
        <stp>PROB_OTM</stp>
        <stp>.SMH201120P197</stp>
        <tr r="U571" s="1"/>
      </tp>
      <tp t="s">
        <v>N/A</v>
        <stp/>
        <stp>PROB_OTM</stp>
        <stp>.SMH201120C197</stp>
        <tr r="U570" s="1"/>
      </tp>
      <tp t="s">
        <v>N/A</v>
        <stp/>
        <stp>PROB_OTM</stp>
        <stp>.SMH201120P196</stp>
        <tr r="U567" s="1"/>
      </tp>
      <tp t="s">
        <v>N/A</v>
        <stp/>
        <stp>PROB_OTM</stp>
        <stp>.SMH201120C196</stp>
        <tr r="U566" s="1"/>
      </tp>
      <tp t="s">
        <v>N/A</v>
        <stp/>
        <stp>PROB_OTM</stp>
        <stp>.SMH201120P198</stp>
        <tr r="U575" s="1"/>
      </tp>
      <tp t="s">
        <v>N/A</v>
        <stp/>
        <stp>PROB_OTM</stp>
        <stp>.SMH201120C198</stp>
        <tr r="U574" s="1"/>
      </tp>
      <tp t="s">
        <v>N/A</v>
        <stp/>
        <stp>INTRINSIC</stp>
        <stp>DFEN</stp>
        <tr r="R54" s="1"/>
      </tp>
      <tp t="s">
        <v>N/A</v>
        <stp/>
        <stp>OPEN_INT</stp>
        <stp>.IEF201120P119.5</stp>
        <tr r="G250" s="1"/>
      </tp>
      <tp t="s">
        <v>N/A</v>
        <stp/>
        <stp>IMPL_VOL</stp>
        <stp>.SMH201120C197.5</stp>
        <tr r="D572" s="1"/>
      </tp>
      <tp t="s">
        <v>N/A</v>
        <stp/>
        <stp>PROB_OF_TOUCHING</stp>
        <stp>.XLK201120C121.5</stp>
        <tr r="V833" s="1"/>
      </tp>
      <tp t="s">
        <v>N/A</v>
        <stp/>
        <stp>PROB_OF_TOUCHING</stp>
        <stp>.XLY201120C151.5</stp>
        <tr r="V868" s="1"/>
      </tp>
      <tp t="s">
        <v>N/A</v>
        <stp/>
        <stp>PROB_OF_TOUCHING</stp>
        <stp>.XLV201120C111.5</stp>
        <tr r="V863" s="1"/>
      </tp>
      <tp t="s">
        <v>N/A</v>
        <stp/>
        <stp>STRIKE</stp>
        <stp>.IEFA201120P66</stp>
        <tr r="W255" s="1"/>
      </tp>
      <tp t="s">
        <v>N/A</v>
        <stp/>
        <stp>STRIKE</stp>
        <stp>.IEFA201120P65</stp>
        <tr r="W253" s="1"/>
      </tp>
      <tp t="s">
        <v>N/A</v>
        <stp/>
        <stp>PUT_CALL_RATIO</stp>
        <stp>.IEMG201120P57</stp>
        <tr r="C258" s="1"/>
      </tp>
      <tp t="s">
        <v>N/A</v>
        <stp/>
        <stp>DESCRIPTION</stp>
        <stp>.XOP201120C48.5</stp>
        <tr r="B896" s="1"/>
      </tp>
      <tp t="s">
        <v>N/A</v>
        <stp/>
        <stp>DESCRIPTION</stp>
        <stp>.XLB201120C68.5</stp>
        <tr r="B788" s="1"/>
      </tp>
      <tp t="s">
        <v>N/A</v>
        <stp/>
        <stp>PUT_CALL_RATIO</stp>
        <stp>.IEMG201120P58</stp>
        <tr r="C260" s="1"/>
      </tp>
      <tp t="s">
        <v>N/A</v>
        <stp/>
        <stp>DESCRIPTION</stp>
        <stp>.XLB201120P68.5</stp>
        <tr r="B789" s="1"/>
      </tp>
      <tp t="s">
        <v>N/A</v>
        <stp/>
        <stp>DESCRIPTION</stp>
        <stp>.XOP201120P48.5</stp>
        <tr r="B897" s="1"/>
      </tp>
      <tp t="s">
        <v>N/A</v>
        <stp/>
        <stp>RHO</stp>
        <stp>.TAN201120C75.5</stp>
        <tr r="Q672" s="1"/>
      </tp>
      <tp t="s">
        <v>N/A</v>
        <stp/>
        <stp>RHO</stp>
        <stp>.TAN201120P75.5</stp>
        <tr r="Q673" s="1"/>
      </tp>
      <tp t="s">
        <v>N/A</v>
        <stp/>
        <stp>RHO</stp>
        <stp>.XRT201120P55.5</stp>
        <tr r="Q910" s="1"/>
      </tp>
      <tp t="s">
        <v>N/A</v>
        <stp/>
        <stp>RHO</stp>
        <stp>.XHB201120C55.5</stp>
        <tr r="Q783" s="1"/>
      </tp>
      <tp t="s">
        <v>N/A</v>
        <stp/>
        <stp>RHO</stp>
        <stp>.XLI201120C85.5</stp>
        <tr r="Q820" s="1"/>
      </tp>
      <tp t="s">
        <v>N/A</v>
        <stp/>
        <stp>STRIKE</stp>
        <stp>.EUFN201120P16</stp>
        <tr r="W119" s="1"/>
      </tp>
      <tp t="s">
        <v>N/A</v>
        <stp/>
        <stp>RHO</stp>
        <stp>.XRT201120C55.5</stp>
        <tr r="Q909" s="1"/>
      </tp>
      <tp t="s">
        <v>N/A</v>
        <stp/>
        <stp>RHO</stp>
        <stp>.XHB201120P55.5</stp>
        <tr r="Q784" s="1"/>
      </tp>
      <tp t="s">
        <v>N/A</v>
        <stp/>
        <stp>RHO</stp>
        <stp>.XLI201120P85.5</stp>
        <tr r="Q821" s="1"/>
      </tp>
      <tp t="s">
        <v>N/A</v>
        <stp/>
        <stp>STRIKE</stp>
        <stp>.VXUS201120C57</stp>
        <tr r="W756" s="1"/>
      </tp>
      <tp t="s">
        <v>N/A</v>
        <stp/>
        <stp>STRIKE</stp>
        <stp>.VXUS201120C56</stp>
        <tr r="W754" s="1"/>
      </tp>
      <tp t="s">
        <v>N/A</v>
        <stp/>
        <stp>INTRINSIC</stp>
        <stp>.JNK201120C107</stp>
        <tr r="R383" s="1"/>
      </tp>
      <tp t="s">
        <v>N/A</v>
        <stp/>
        <stp>INTRINSIC</stp>
        <stp>.JNK201120P107</stp>
        <tr r="R384" s="1"/>
      </tp>
      <tp t="s">
        <v>N/A</v>
        <stp/>
        <stp>PUT_CALL_RATIO</stp>
        <stp>.USMV201120P67</stp>
        <tr r="C700" s="1"/>
      </tp>
      <tp t="s">
        <v>N/A</v>
        <stp/>
        <stp>INTRINSIC</stp>
        <stp>.IJH201120C210</stp>
        <tr r="R272" s="1"/>
      </tp>
      <tp t="s">
        <v>N/A</v>
        <stp/>
        <stp>INTRINSIC</stp>
        <stp>.IJH201120P210</stp>
        <tr r="R273" s="1"/>
      </tp>
      <tp t="s">
        <v>N/A</v>
        <stp/>
        <stp>INTRINSIC</stp>
        <stp>.XLK201120C120</stp>
        <tr r="R827" s="1"/>
      </tp>
      <tp t="s">
        <v>N/A</v>
        <stp/>
        <stp>INTRINSIC</stp>
        <stp>.XLK201120P120</stp>
        <tr r="R828" s="1"/>
      </tp>
      <tp t="s">
        <v>N/A</v>
        <stp/>
        <stp>INTRINSIC</stp>
        <stp>.XLK201120C121</stp>
        <tr r="R831" s="1"/>
      </tp>
      <tp t="s">
        <v>N/A</v>
        <stp/>
        <stp>INTRINSIC</stp>
        <stp>.XLK201120P121</stp>
        <tr r="R832" s="1"/>
      </tp>
      <tp t="s">
        <v>N/A</v>
        <stp/>
        <stp>INTRINSIC</stp>
        <stp>.XLK201120C122</stp>
        <tr r="R835" s="1"/>
      </tp>
      <tp t="s">
        <v>N/A</v>
        <stp/>
        <stp>INTRINSIC</stp>
        <stp>.XLK201120P122</stp>
        <tr r="R836" s="1"/>
      </tp>
      <tp t="s">
        <v>N/A</v>
        <stp/>
        <stp>INTRINSIC</stp>
        <stp>.XLK201120C123</stp>
        <tr r="R839" s="1"/>
      </tp>
      <tp t="s">
        <v>N/A</v>
        <stp/>
        <stp>INTRINSIC</stp>
        <stp>.XLK201120P123</stp>
        <tr r="R840" s="1"/>
      </tp>
      <tp t="s">
        <v>N/A</v>
        <stp/>
        <stp>STRIKE</stp>
        <stp>.IXUS201120C63</stp>
        <tr r="W361" s="1"/>
      </tp>
      <tp>
        <v>57</v>
        <stp/>
        <stp>VOLUME</stp>
        <stp>.GDXJ201120P54</stp>
        <tr r="F212" s="1"/>
      </tp>
      <tp>
        <v>78</v>
        <stp/>
        <stp>VOLUME</stp>
        <stp>.GDXJ201120P53</stp>
        <tr r="F208" s="1"/>
      </tp>
      <tp>
        <v>32</v>
        <stp/>
        <stp>VOLUME</stp>
        <stp>.GDXJ201120P52</stp>
        <tr r="F204" s="1"/>
      </tp>
      <tp t="s">
        <v>N/A</v>
        <stp/>
        <stp>RHO</stp>
        <stp>.ITB201120P55.5</stp>
        <tr r="Q294" s="1"/>
      </tp>
      <tp t="s">
        <v>N/A</v>
        <stp/>
        <stp>RHO</stp>
        <stp>.IYR201120P85.5</stp>
        <tr r="Q374" s="1"/>
      </tp>
      <tp t="s">
        <v>N/A</v>
        <stp/>
        <stp>VOLUME</stp>
        <stp>.AAXJ201120P83</stp>
        <tr r="F4" s="1"/>
      </tp>
      <tp t="s">
        <v>N/A</v>
        <stp/>
        <stp>RHO</stp>
        <stp>.ITB201120C55.5</stp>
        <tr r="Q293" s="1"/>
      </tp>
      <tp>
        <v>0</v>
        <stp/>
        <stp>VOLUME</stp>
        <stp>.AAXJ201120P84</stp>
        <tr r="F6" s="1"/>
      </tp>
      <tp>
        <v>8</v>
        <stp/>
        <stp>VOLUME</stp>
        <stp>.ARKK201120C97</stp>
        <tr r="F26" s="1"/>
      </tp>
      <tp>
        <v>35</v>
        <stp/>
        <stp>VOLUME</stp>
        <stp>.ARKK201120C99</stp>
        <tr r="F30" s="1"/>
      </tp>
      <tp t="s">
        <v>N/A</v>
        <stp/>
        <stp>RHO</stp>
        <stp>.IYR201120C85.5</stp>
        <tr r="Q373" s="1"/>
      </tp>
      <tp>
        <v>44</v>
        <stp/>
        <stp>VOLUME</stp>
        <stp>.ARKK201120C98</stp>
        <tr r="F28" s="1"/>
      </tp>
      <tp t="s">
        <v>N/A</v>
        <stp/>
        <stp>RHO</stp>
        <stp>.HYG201120P85.5</stp>
        <tr r="Q222" s="1"/>
      </tp>
      <tp t="s">
        <v>N/A</v>
        <stp/>
        <stp>RHO</stp>
        <stp>.HYG201120C85.5</stp>
        <tr r="Q221" s="1"/>
      </tp>
      <tp t="s">
        <v>N/A</v>
        <stp/>
        <stp>DESCRIPTION</stp>
        <stp>.EEM201120C48.5</stp>
        <tr r="B99" s="1"/>
      </tp>
      <tp t="s">
        <v>N/A</v>
        <stp/>
        <stp>DESCRIPTION</stp>
        <stp>.EWW201120P38.5</stp>
        <tr r="B156" s="1"/>
      </tp>
      <tp t="s">
        <v>N/A</v>
        <stp/>
        <stp>DESCRIPTION</stp>
        <stp>.EWU201120P28.5</stp>
        <tr r="B153" s="1"/>
      </tp>
      <tp t="s">
        <v>N/A</v>
        <stp/>
        <stp>DESCRIPTION</stp>
        <stp>.EWW201120C38.5</stp>
        <tr r="B155" s="1"/>
      </tp>
      <tp t="s">
        <v>N/A</v>
        <stp/>
        <stp>DESCRIPTION</stp>
        <stp>.EWU201120C28.5</stp>
        <tr r="B152" s="1"/>
      </tp>
      <tp t="s">
        <v>N/A</v>
        <stp/>
        <stp>DESCRIPTION</stp>
        <stp>.EEM201120P48.5</stp>
        <tr r="B100" s="1"/>
      </tp>
      <tp t="s">
        <v>N/A</v>
        <stp/>
        <stp>ASK</stp>
        <stp>.XLY201120P154</stp>
        <tr r="I879" s="1"/>
      </tp>
      <tp>
        <v>1.42</v>
        <stp/>
        <stp>ASK</stp>
        <stp>.XLY201120C154</stp>
        <tr r="I878" s="1"/>
      </tp>
      <tp t="s">
        <v>N/A</v>
        <stp/>
        <stp>ASK</stp>
        <stp>.XLY201120P155</stp>
        <tr r="I883" s="1"/>
      </tp>
      <tp>
        <v>1.1100000000000001</v>
        <stp/>
        <stp>ASK</stp>
        <stp>.XLY201120C155</stp>
        <tr r="I882" s="1"/>
      </tp>
      <tp t="s">
        <v>N/A</v>
        <stp/>
        <stp>ASK</stp>
        <stp>.XLY201120P152</stp>
        <tr r="I871" s="1"/>
      </tp>
      <tp>
        <v>2.25</v>
        <stp/>
        <stp>ASK</stp>
        <stp>.XLY201120C152</stp>
        <tr r="I870" s="1"/>
      </tp>
      <tp t="s">
        <v>N/A</v>
        <stp/>
        <stp>ASK</stp>
        <stp>.XLY201120P153</stp>
        <tr r="I875" s="1"/>
      </tp>
      <tp>
        <v>1.79</v>
        <stp/>
        <stp>ASK</stp>
        <stp>.XLY201120C153</stp>
        <tr r="I874" s="1"/>
      </tp>
      <tp t="s">
        <v>N/A</v>
        <stp/>
        <stp>BID</stp>
        <stp>.XLY201120P154</stp>
        <tr r="H879" s="1"/>
      </tp>
      <tp>
        <v>0.59</v>
        <stp/>
        <stp>BID</stp>
        <stp>.XLY201120C154</stp>
        <tr r="H878" s="1"/>
      </tp>
      <tp t="s">
        <v>N/A</v>
        <stp/>
        <stp>BID</stp>
        <stp>.XLY201120P155</stp>
        <tr r="H883" s="1"/>
      </tp>
      <tp>
        <v>0.54</v>
        <stp/>
        <stp>BID</stp>
        <stp>.XLY201120C155</stp>
        <tr r="H882" s="1"/>
      </tp>
      <tp t="s">
        <v>N/A</v>
        <stp/>
        <stp>BID</stp>
        <stp>.XLY201120P152</stp>
        <tr r="H871" s="1"/>
      </tp>
      <tp>
        <v>1.43</v>
        <stp/>
        <stp>BID</stp>
        <stp>.XLY201120C152</stp>
        <tr r="H870" s="1"/>
      </tp>
      <tp t="s">
        <v>N/A</v>
        <stp/>
        <stp>BID</stp>
        <stp>.XLY201120P153</stp>
        <tr r="H875" s="1"/>
      </tp>
      <tp>
        <v>1.24</v>
        <stp/>
        <stp>BID</stp>
        <stp>.XLY201120C153</stp>
        <tr r="H874" s="1"/>
      </tp>
      <tp t="s">
        <v>N/A</v>
        <stp/>
        <stp>DESCRIPTION</stp>
        <stp>.EWW201120P39</stp>
        <tr r="B158" s="1"/>
      </tp>
      <tp t="s">
        <v>N/A</v>
        <stp/>
        <stp>DESCRIPTION</stp>
        <stp>.EWP201120P26</stp>
        <tr r="B147" s="1"/>
      </tp>
      <tp t="s">
        <v>N/A</v>
        <stp/>
        <stp>DESCRIPTION</stp>
        <stp>.SDS201120C14</stp>
        <tr r="B540" s="1"/>
      </tp>
      <tp t="s">
        <v>N/A</v>
        <stp/>
        <stp>DESCRIPTION</stp>
        <stp>.EWT201120P48</stp>
        <tr r="B150" s="1"/>
      </tp>
      <tp t="s">
        <v>N/A</v>
        <stp/>
        <stp>RHO</stp>
        <stp>.VFH201120C67</stp>
        <tr r="Q716" s="1"/>
      </tp>
      <tp t="s">
        <v>N/A</v>
        <stp/>
        <stp>RHO</stp>
        <stp>.VFH201120C66</stp>
        <tr r="Q714" s="1"/>
      </tp>
      <tp t="s">
        <v>N/A</v>
        <stp/>
        <stp>DESCRIPTION</stp>
        <stp>.EWY201120P72</stp>
        <tr r="B165" s="1"/>
      </tp>
      <tp t="s">
        <v>N/A</v>
        <stp/>
        <stp>DESCRIPTION</stp>
        <stp>.EWY201120P73</stp>
        <tr r="B169" s="1"/>
      </tp>
      <tp>
        <v>2117625</v>
        <stp/>
        <stp>VOLUME</stp>
        <stp>SRVR</stp>
        <tr r="F637" s="1"/>
      </tp>
      <tp>
        <v>0.47799999999999998</v>
        <stp/>
        <stp>PUT_CALL_RATIO</stp>
        <stp>XLRE</stp>
        <tr r="C846" s="1"/>
      </tp>
      <tp>
        <v>1.37</v>
        <stp/>
        <stp>LOW</stp>
        <stp>.XLY201120C152</stp>
        <tr r="K870" s="1"/>
      </tp>
      <tp t="s">
        <v>N/A</v>
        <stp/>
        <stp>LOW</stp>
        <stp>.XLY201120P152</stp>
        <tr r="K871" s="1"/>
      </tp>
      <tp t="s">
        <v>N/A</v>
        <stp/>
        <stp>LOW</stp>
        <stp>.XLY201120C153</stp>
        <tr r="K874" s="1"/>
      </tp>
      <tp t="s">
        <v>N/A</v>
        <stp/>
        <stp>LOW</stp>
        <stp>.XLY201120P153</stp>
        <tr r="K875" s="1"/>
      </tp>
      <tp>
        <v>1.1399999999999999</v>
        <stp/>
        <stp>LOW</stp>
        <stp>.XLY201120C154</stp>
        <tr r="K878" s="1"/>
      </tp>
      <tp t="s">
        <v>N/A</v>
        <stp/>
        <stp>LOW</stp>
        <stp>.XLY201120P154</stp>
        <tr r="K879" s="1"/>
      </tp>
      <tp>
        <v>0.6</v>
        <stp/>
        <stp>LOW</stp>
        <stp>.XLY201120C155</stp>
        <tr r="K882" s="1"/>
      </tp>
      <tp t="s">
        <v>N/A</v>
        <stp/>
        <stp>LOW</stp>
        <stp>.XLY201120P155</stp>
        <tr r="K883" s="1"/>
      </tp>
      <tp t="s">
        <v>N/A</v>
        <stp/>
        <stp>DESCRIPTION</stp>
        <stp>.GDX201120C37</stp>
        <tr r="B198" s="1"/>
      </tp>
      <tp>
        <v>0.18</v>
        <stp/>
        <stp>BID</stp>
        <stp>.XME201120C27</stp>
        <tr r="H887" s="1"/>
      </tp>
      <tp t="s">
        <v>N/A</v>
        <stp/>
        <stp>ASK</stp>
        <stp>.TBF201120C16</stp>
        <tr r="I681" s="1"/>
      </tp>
      <tp>
        <v>0</v>
        <stp/>
        <stp>LOW</stp>
        <stp>.XME201120P27</stp>
        <tr r="K888" s="1"/>
      </tp>
      <tp t="s">
        <v>N/A</v>
        <stp/>
        <stp>RHO</stp>
        <stp>.EFA201120C69</stp>
        <tr r="Q102" s="1"/>
      </tp>
      <tp t="s">
        <v>N/A</v>
        <stp/>
        <stp>ASK</stp>
        <stp>.KBE201120C38</stp>
        <tr r="I386" s="1"/>
      </tp>
      <tp t="s">
        <v>N/A</v>
        <stp/>
        <stp>RHO</stp>
        <stp>.EFA201120C70</stp>
        <tr r="Q106" s="1"/>
      </tp>
      <tp t="s">
        <v>N/A</v>
        <stp/>
        <stp>DESCRIPTION</stp>
        <stp>.EWZ201120P32</stp>
        <tr r="B176" s="1"/>
      </tp>
      <tp t="s">
        <v>N/A</v>
        <stp/>
        <stp>RHO</stp>
        <stp>.XLY201120P155</stp>
        <tr r="Q883" s="1"/>
      </tp>
      <tp t="s">
        <v>N/A</v>
        <stp/>
        <stp>RHO</stp>
        <stp>.XLY201120C155</stp>
        <tr r="Q882" s="1"/>
      </tp>
      <tp t="s">
        <v>N/A</v>
        <stp/>
        <stp>RHO</stp>
        <stp>.XLY201120P154</stp>
        <tr r="Q879" s="1"/>
      </tp>
      <tp t="s">
        <v>N/A</v>
        <stp/>
        <stp>RHO</stp>
        <stp>.XLY201120C154</stp>
        <tr r="Q878" s="1"/>
      </tp>
      <tp t="s">
        <v>N/A</v>
        <stp/>
        <stp>RHO</stp>
        <stp>.XLY201120P153</stp>
        <tr r="Q875" s="1"/>
      </tp>
      <tp t="s">
        <v>N/A</v>
        <stp/>
        <stp>RHO</stp>
        <stp>.XLY201120C153</stp>
        <tr r="Q874" s="1"/>
      </tp>
      <tp t="s">
        <v>N/A</v>
        <stp/>
        <stp>RHO</stp>
        <stp>.XLY201120P152</stp>
        <tr r="Q871" s="1"/>
      </tp>
      <tp t="s">
        <v>N/A</v>
        <stp/>
        <stp>RHO</stp>
        <stp>.XLY201120C152</stp>
        <tr r="Q870" s="1"/>
      </tp>
      <tp t="s">
        <v>N/A</v>
        <stp/>
        <stp>DESCRIPTION</stp>
        <stp>.EWG201120P30</stp>
        <tr r="B128" s="1"/>
      </tp>
      <tp>
        <v>1153607</v>
        <stp/>
        <stp>VOLUME</stp>
        <stp>DRIP</stp>
        <tr r="F81" s="1"/>
      </tp>
      <tp t="s">
        <v>N/A</v>
        <stp/>
        <stp>DESCRIPTION</stp>
        <stp>.EWA201120P22</stp>
        <tr r="B122" s="1"/>
      </tp>
      <tp>
        <v>2493790</v>
        <stp/>
        <stp>VOLUME</stp>
        <stp>ARKK</stp>
        <tr r="F25" s="1"/>
      </tp>
      <tp>
        <v>1197061</v>
        <stp/>
        <stp>VOLUME</stp>
        <stp>ARKW</stp>
        <tr r="F34" s="1"/>
      </tp>
      <tp t="s">
        <v>N/A</v>
        <stp/>
        <stp>DESCRIPTION</stp>
        <stp>.EWC201120P29</stp>
        <tr r="B125" s="1"/>
      </tp>
      <tp t="s">
        <v>N/A</v>
        <stp/>
        <stp>DESCRIPTION</stp>
        <stp>.RWM201120P29</stp>
        <tr r="B519" s="1"/>
      </tp>
      <tp t="s">
        <v>N/A</v>
        <stp/>
        <stp>DESCRIPTION</stp>
        <stp>.EWJ201120P63</stp>
        <tr r="B137" s="1"/>
      </tp>
      <tp t="s">
        <v>N/A</v>
        <stp/>
        <stp>DESCRIPTION</stp>
        <stp>.EWJ201120P64</stp>
        <tr r="B141" s="1"/>
      </tp>
      <tp t="s">
        <v>N/A</v>
        <stp/>
        <stp>RHO</stp>
        <stp>.EFV201120C45</stp>
        <tr r="Q109" s="1"/>
      </tp>
      <tp t="s">
        <v>N/A</v>
        <stp/>
        <stp>ASK</stp>
        <stp>.TBT201120C17</stp>
        <tr r="I684" s="1"/>
      </tp>
      <tp t="s">
        <v>N/A</v>
        <stp/>
        <stp>DESCRIPTION</stp>
        <stp>.EWH201120P24</stp>
        <tr r="B131" s="1"/>
      </tp>
      <tp t="s">
        <v>N/A</v>
        <stp/>
        <stp>DESCRIPTION</stp>
        <stp>.VWO201120P47</stp>
        <tr r="B752" s="1"/>
      </tp>
      <tp t="s">
        <v>N/A</v>
        <stp/>
        <stp>DESCRIPTION</stp>
        <stp>.EWI201120P27</stp>
        <tr r="B134" s="1"/>
      </tp>
      <tp t="s">
        <v>N/A</v>
        <stp/>
        <stp>DESCRIPTION</stp>
        <stp>.EWL201120P43</stp>
        <tr r="B144" s="1"/>
      </tp>
      <tp t="s">
        <v>N/A</v>
        <stp/>
        <stp>PROB_OTM</stp>
        <stp>XRT</stp>
        <tr r="U902" s="1"/>
      </tp>
      <tp t="s">
        <v>N/A</v>
        <stp/>
        <stp>PUT_CALL_RATIO</stp>
        <stp>.SSO201120C83.5</stp>
        <tr r="C653" s="1"/>
      </tp>
      <tp t="s">
        <v>N/A</v>
        <stp/>
        <stp>PUT_CALL_RATIO</stp>
        <stp>.SDS201120P13.5</stp>
        <tr r="C539" s="1"/>
      </tp>
      <tp t="s">
        <v>N/A</v>
        <stp/>
        <stp>PUT_CALL_RATIO</stp>
        <stp>.SSO201120P83.5</stp>
        <tr r="C654" s="1"/>
      </tp>
      <tp t="s">
        <v>N/A</v>
        <stp/>
        <stp>PUT_CALL_RATIO</stp>
        <stp>.SDS201120C13.5</stp>
        <tr r="C538" s="1"/>
      </tp>
      <tp t="s">
        <v>N/A</v>
        <stp/>
        <stp>STRIKE</stp>
        <stp>.ITB201120P55.5</stp>
        <tr r="W294" s="1"/>
      </tp>
      <tp t="s">
        <v>N/A</v>
        <stp/>
        <stp>STRIKE</stp>
        <stp>.IYR201120P85.5</stp>
        <tr r="W374" s="1"/>
      </tp>
      <tp t="s">
        <v>N/A</v>
        <stp/>
        <stp>PUT_CALL_RATIO</stp>
        <stp>.TAN201120P73.5</stp>
        <tr r="C665" s="1"/>
      </tp>
      <tp t="s">
        <v>N/A</v>
        <stp/>
        <stp>STRIKE</stp>
        <stp>.ITB201120C55.5</stp>
        <tr r="W293" s="1"/>
      </tp>
      <tp t="s">
        <v>N/A</v>
        <stp/>
        <stp>STRIKE</stp>
        <stp>.IYR201120C85.5</stp>
        <tr r="W373" s="1"/>
      </tp>
      <tp t="s">
        <v>N/A</v>
        <stp/>
        <stp>PUT_CALL_RATIO</stp>
        <stp>.TAN201120C73.5</stp>
        <tr r="C664" s="1"/>
      </tp>
      <tp t="s">
        <v>N/A</v>
        <stp/>
        <stp>STRIKE</stp>
        <stp>.HYG201120P85.5</stp>
        <tr r="W222" s="1"/>
      </tp>
      <tp t="s">
        <v>N/A</v>
        <stp/>
        <stp>STRIKE</stp>
        <stp>.HYG201120C85.5</stp>
        <tr r="W221" s="1"/>
      </tp>
      <tp t="s">
        <v>N/A</v>
        <stp/>
        <stp>PROB_OF_EXPIRING</stp>
        <stp>IYE</stp>
        <tr r="T363" s="1"/>
      </tp>
      <tp t="s">
        <v>N/A</v>
        <stp/>
        <stp>PROB_OF_EXPIRING</stp>
        <stp>IYR</stp>
        <tr r="T366" s="1"/>
      </tp>
      <tp t="s">
        <v>N/A</v>
        <stp/>
        <stp>PUT_CALL_RATIO</stp>
        <stp>.XLE201120P33.5</stp>
        <tr r="C805" s="1"/>
      </tp>
      <tp t="s">
        <v>N/A</v>
        <stp/>
        <stp>PUT_CALL_RATIO</stp>
        <stp>.XLC201120P63.5</stp>
        <tr r="C800" s="1"/>
      </tp>
      <tp t="s">
        <v>N/A</v>
        <stp/>
        <stp>PUT_CALL_RATIO</stp>
        <stp>.XLE201120C33.5</stp>
        <tr r="C804" s="1"/>
      </tp>
      <tp t="s">
        <v>N/A</v>
        <stp/>
        <stp>PUT_CALL_RATIO</stp>
        <stp>.XLC201120C63.5</stp>
        <tr r="C799" s="1"/>
      </tp>
      <tp t="s">
        <v>N/A</v>
        <stp/>
        <stp>PROB_OF_EXPIRING</stp>
        <stp>IVE</stp>
        <tr r="T302" s="1"/>
      </tp>
      <tp t="s">
        <v>N/A</v>
        <stp/>
        <stp>PROB_OF_EXPIRING</stp>
        <stp>IVW</stp>
        <tr r="T330" s="1"/>
      </tp>
      <tp t="s">
        <v>N/A</v>
        <stp/>
        <stp>PROB_OF_EXPIRING</stp>
        <stp>IVV</stp>
        <tr r="T309" s="1"/>
      </tp>
      <tp t="s">
        <v>N/A</v>
        <stp/>
        <stp>PROB_OF_EXPIRING</stp>
        <stp>IWD</stp>
        <tr r="T333" s="1"/>
      </tp>
      <tp t="s">
        <v>N/A</v>
        <stp/>
        <stp>PROB_OF_EXPIRING</stp>
        <stp>IWF</stp>
        <tr r="T340" s="1"/>
      </tp>
      <tp t="s">
        <v>N/A</v>
        <stp/>
        <stp>PROB_OF_EXPIRING</stp>
        <stp>IWM</stp>
        <tr r="T345" s="1"/>
      </tp>
      <tp t="s">
        <v>N/A</v>
        <stp/>
        <stp>PROB_OF_EXPIRING</stp>
        <stp>ITB</stp>
        <tr r="T288" s="1"/>
      </tp>
      <tp t="s">
        <v>N/A</v>
        <stp/>
        <stp>PROB_OTM</stp>
        <stp>XBI</stp>
        <tr r="U763" s="1"/>
      </tp>
      <tp t="s">
        <v>N/A</v>
        <stp/>
        <stp>PROB_OF_EXPIRING</stp>
        <stp>ILF</stp>
        <tr r="T277" s="1"/>
      </tp>
      <tp t="s">
        <v>N/A</v>
        <stp/>
        <stp>PROB_OF_EXPIRING</stp>
        <stp>IJH</stp>
        <tr r="T271" s="1"/>
      </tp>
      <tp t="s">
        <v>N/A</v>
        <stp/>
        <stp>PROB_OF_EXPIRING</stp>
        <stp>IJR</stp>
        <tr r="T274" s="1"/>
      </tp>
      <tp t="s">
        <v>N/A</v>
        <stp/>
        <stp>STRIKE</stp>
        <stp>.XRT201120P55.5</stp>
        <tr r="W910" s="1"/>
      </tp>
      <tp t="s">
        <v>N/A</v>
        <stp/>
        <stp>STRIKE</stp>
        <stp>.XHB201120C55.5</stp>
        <tr r="W783" s="1"/>
      </tp>
      <tp t="s">
        <v>N/A</v>
        <stp/>
        <stp>STRIKE</stp>
        <stp>.XLI201120C85.5</stp>
        <tr r="W820" s="1"/>
      </tp>
      <tp t="s">
        <v>N/A</v>
        <stp/>
        <stp>PUT_CALL_RATIO</stp>
        <stp>.EWY201120C73.5</stp>
        <tr r="C170" s="1"/>
      </tp>
      <tp t="s">
        <v>N/A</v>
        <stp/>
        <stp>PUT_CALL_RATIO</stp>
        <stp>.EWJ201120C63.5</stp>
        <tr r="C138" s="1"/>
      </tp>
      <tp t="s">
        <v>N/A</v>
        <stp/>
        <stp>STRIKE</stp>
        <stp>.XRT201120C55.5</stp>
        <tr r="W909" s="1"/>
      </tp>
      <tp t="s">
        <v>N/A</v>
        <stp/>
        <stp>STRIKE</stp>
        <stp>.XHB201120P55.5</stp>
        <tr r="W784" s="1"/>
      </tp>
      <tp t="s">
        <v>N/A</v>
        <stp/>
        <stp>PUT_CALL_RATIO</stp>
        <stp>.EWY201120P73.5</stp>
        <tr r="C171" s="1"/>
      </tp>
      <tp t="s">
        <v>N/A</v>
        <stp/>
        <stp>PUT_CALL_RATIO</stp>
        <stp>.EWJ201120P63.5</stp>
        <tr r="C139" s="1"/>
      </tp>
      <tp t="s">
        <v>N/A</v>
        <stp/>
        <stp>STRIKE</stp>
        <stp>.XLI201120P85.5</stp>
        <tr r="W821" s="1"/>
      </tp>
      <tp t="s">
        <v>N/A</v>
        <stp/>
        <stp>STRIKE</stp>
        <stp>.TAN201120C75.5</stp>
        <tr r="W672" s="1"/>
      </tp>
      <tp t="s">
        <v>N/A</v>
        <stp/>
        <stp>STRIKE</stp>
        <stp>.TAN201120P75.5</stp>
        <tr r="W673" s="1"/>
      </tp>
      <tp t="s">
        <v>N/A</v>
        <stp/>
        <stp>PROB_OF_EXPIRING</stp>
        <stp>IGV</stp>
        <tr r="T264" s="1"/>
      </tp>
      <tp t="s">
        <v>N/A</v>
        <stp/>
        <stp>PROB_OTM</stp>
        <stp>XHB</stp>
        <tr r="U780" s="1"/>
      </tp>
      <tp t="s">
        <v>N/A</v>
        <stp/>
        <stp>PROB_OF_EXPIRING</stp>
        <stp>IEF</stp>
        <tr r="T248" s="1"/>
      </tp>
      <tp t="s">
        <v>N/A</v>
        <stp/>
        <stp>PROB_OF_EXPIRING</stp>
        <stp>IBB</stp>
        <tr r="T228" s="1"/>
      </tp>
      <tp t="s">
        <v>N/A</v>
        <stp/>
        <stp>PROB_OTM</stp>
        <stp>XOP</stp>
        <tr r="U889" s="1"/>
      </tp>
      <tp t="s">
        <v>N/A</v>
        <stp/>
        <stp>PROB_OTM</stp>
        <stp>XLC</stp>
        <tr r="U796" s="1"/>
      </tp>
      <tp t="s">
        <v>N/A</v>
        <stp/>
        <stp>PROB_OTM</stp>
        <stp>XLB</stp>
        <tr r="U787" s="1"/>
      </tp>
      <tp t="s">
        <v>N/A</v>
        <stp/>
        <stp>PROB_OTM</stp>
        <stp>XLE</stp>
        <tr r="U803" s="1"/>
      </tp>
      <tp t="s">
        <v>N/A</v>
        <stp/>
        <stp>PROB_OTM</stp>
        <stp>XLF</stp>
        <tr r="U810" s="1"/>
      </tp>
      <tp t="s">
        <v>N/A</v>
        <stp/>
        <stp>PROB_OTM</stp>
        <stp>XLI</stp>
        <tr r="U813" s="1"/>
      </tp>
      <tp t="s">
        <v>N/A</v>
        <stp/>
        <stp>PROB_OTM</stp>
        <stp>XLK</stp>
        <tr r="U824" s="1"/>
      </tp>
      <tp t="s">
        <v>N/A</v>
        <stp/>
        <stp>PROB_OTM</stp>
        <stp>XLP</stp>
        <tr r="U841" s="1"/>
      </tp>
      <tp t="s">
        <v>N/A</v>
        <stp/>
        <stp>PROB_OTM</stp>
        <stp>XLU</stp>
        <tr r="U849" s="1"/>
      </tp>
      <tp t="s">
        <v>N/A</v>
        <stp/>
        <stp>PROB_OTM</stp>
        <stp>XLV</stp>
        <tr r="U856" s="1"/>
      </tp>
      <tp t="s">
        <v>N/A</v>
        <stp/>
        <stp>PROB_OTM</stp>
        <stp>XLY</stp>
        <tr r="U867" s="1"/>
      </tp>
      <tp t="s">
        <v>N/A</v>
        <stp/>
        <stp>PROB_OTM</stp>
        <stp>XME</stp>
        <tr r="U884" s="1"/>
      </tp>
      <tp t="s">
        <v>N/A</v>
        <stp/>
        <stp>PROB_OTM</stp>
        <stp>.TLT201120P155.5</stp>
        <tr r="U693" s="1"/>
      </tp>
      <tp t="s">
        <v>N/A</v>
        <stp/>
        <stp>PROB_OTM</stp>
        <stp>.XLK201120P119.5</stp>
        <tr r="U826" s="1"/>
      </tp>
      <tp t="s">
        <v>N/A</v>
        <stp/>
        <stp>PROB_OTM</stp>
        <stp>.SMH201120P192.5</stp>
        <tr r="U553" s="1"/>
      </tp>
      <tp t="s">
        <v>N/A</v>
        <stp/>
        <stp>EXTRINSIC</stp>
        <stp>DGRO</stp>
        <tr r="S59" s="1"/>
      </tp>
      <tp>
        <v>0.41</v>
        <stp/>
        <stp>OPEN</stp>
        <stp>.MJ201120C13</stp>
        <tr r="L424" s="1"/>
      </tp>
      <tp t="s">
        <v>N/A</v>
        <stp/>
        <stp>PROB_OF_EXPIRING</stp>
        <stp>.XBI201120P125.5</stp>
        <tr r="T779" s="1"/>
      </tp>
      <tp t="s">
        <v>N/A</v>
        <stp/>
        <stp>INTRINSIC</stp>
        <stp>DGRO</stp>
        <tr r="R59" s="1"/>
      </tp>
      <tp t="s">
        <v>N/A</v>
        <stp/>
        <stp>OPEN_INT</stp>
        <stp>.IBB201120C138.5</stp>
        <tr r="G231" s="1"/>
      </tp>
      <tp t="s">
        <v>N/A</v>
        <stp/>
        <stp>IMPL_VOL</stp>
        <stp>.SMH201120P196.5</stp>
        <tr r="D569" s="1"/>
      </tp>
      <tp t="s">
        <v>N/A</v>
        <stp/>
        <stp>PROB_OF_TOUCHING</stp>
        <stp>.XLK201120P120.5</stp>
        <tr r="V830" s="1"/>
      </tp>
      <tp t="s">
        <v>N/A</v>
        <stp/>
        <stp>PROB_OF_TOUCHING</stp>
        <stp>.XLV201120P110.5</stp>
        <tr r="V860" s="1"/>
      </tp>
      <tp t="s">
        <v>47.71%</v>
        <stp/>
        <stp>PROB_OTM</stp>
        <stp>.SPY201120C352.5</stp>
        <tr r="U607" s="1"/>
      </tp>
      <tp t="s">
        <v>N/A</v>
        <stp/>
        <stp>IMPL_VOL</stp>
        <stp>.RSP201120C120</stp>
        <tr r="D510" s="1"/>
      </tp>
      <tp t="s">
        <v>N/A</v>
        <stp/>
        <stp>IMPL_VOL</stp>
        <stp>.RSP201120P120</stp>
        <tr r="D511" s="1"/>
      </tp>
      <tp t="s">
        <v>N/A</v>
        <stp/>
        <stp>IMPL_VOL</stp>
        <stp>.TIP201120P125</stp>
        <tr r="D688" s="1"/>
      </tp>
      <tp t="s">
        <v>N/A</v>
        <stp/>
        <stp>IMPL_VOL</stp>
        <stp>.TIP201120C125</stp>
        <tr r="D687" s="1"/>
      </tp>
      <tp t="s">
        <v>N/A</v>
        <stp/>
        <stp>PROB_OTM</stp>
        <stp>.SMH201120C192.5</stp>
        <tr r="U552" s="1"/>
      </tp>
      <tp t="s">
        <v>N/A</v>
        <stp/>
        <stp>INTRINSIC</stp>
        <stp>VGIT</stp>
        <tr r="R718" s="1"/>
      </tp>
      <tp>
        <v>2645</v>
        <stp/>
        <stp>OPEN_INT</stp>
        <stp>.XLV201120C112</stp>
        <tr r="G865" s="1"/>
      </tp>
      <tp>
        <v>671</v>
        <stp/>
        <stp>OPEN_INT</stp>
        <stp>.XLV201120P112</stp>
        <tr r="G866" s="1"/>
      </tp>
      <tp>
        <v>2666</v>
        <stp/>
        <stp>OPEN_INT</stp>
        <stp>.XLV201120C110</stp>
        <tr r="G857" s="1"/>
      </tp>
      <tp>
        <v>9251</v>
        <stp/>
        <stp>OPEN_INT</stp>
        <stp>.XLV201120P110</stp>
        <tr r="G858" s="1"/>
      </tp>
      <tp>
        <v>1458</v>
        <stp/>
        <stp>OPEN_INT</stp>
        <stp>.XLV201120C111</stp>
        <tr r="G861" s="1"/>
      </tp>
      <tp>
        <v>1846</v>
        <stp/>
        <stp>OPEN_INT</stp>
        <stp>.XLV201120P111</stp>
        <tr r="G862" s="1"/>
      </tp>
      <tp t="s">
        <v>N/A</v>
        <stp/>
        <stp>INTRINSIC</stp>
        <stp>IGIB</stp>
        <tr r="R261" s="1"/>
      </tp>
      <tp t="s">
        <v>N/A</v>
        <stp/>
        <stp>PROB_OTM</stp>
        <stp>.TLT201120C155.5</stp>
        <tr r="U692" s="1"/>
      </tp>
      <tp t="s">
        <v>N/A</v>
        <stp/>
        <stp>PROB_OTM</stp>
        <stp>.XLK201120C119.5</stp>
        <tr r="U825" s="1"/>
      </tp>
      <tp t="s">
        <v>N/A</v>
        <stp/>
        <stp>IMPL_VOL</stp>
        <stp>.RSP201120C118</stp>
        <tr r="D506" s="1"/>
      </tp>
      <tp t="s">
        <v>N/A</v>
        <stp/>
        <stp>IMPL_VOL</stp>
        <stp>.RSP201120P118</stp>
        <tr r="D507" s="1"/>
      </tp>
      <tp t="s">
        <v>N/A</v>
        <stp/>
        <stp>IMPL_VOL</stp>
        <stp>.RSP201120C119</stp>
        <tr r="D508" s="1"/>
      </tp>
      <tp t="s">
        <v>N/A</v>
        <stp/>
        <stp>IMPL_VOL</stp>
        <stp>.RSP201120P119</stp>
        <tr r="D509" s="1"/>
      </tp>
      <tp t="s">
        <v>N/A</v>
        <stp/>
        <stp>PROB_OTM</stp>
        <stp>.XBI201120P122</stp>
        <tr r="U765" s="1"/>
      </tp>
      <tp t="s">
        <v>N/A</v>
        <stp/>
        <stp>PROB_OTM</stp>
        <stp>.XBI201120C122</stp>
        <tr r="U764" s="1"/>
      </tp>
      <tp t="s">
        <v>N/A</v>
        <stp/>
        <stp>PROB_OTM</stp>
        <stp>.XBI201120P123</stp>
        <tr r="U769" s="1"/>
      </tp>
      <tp t="s">
        <v>N/A</v>
        <stp/>
        <stp>PROB_OTM</stp>
        <stp>.XBI201120C123</stp>
        <tr r="U768" s="1"/>
      </tp>
      <tp t="s">
        <v>N/A</v>
        <stp/>
        <stp>PROB_OTM</stp>
        <stp>.XBI201120P124</stp>
        <tr r="U773" s="1"/>
      </tp>
      <tp t="s">
        <v>N/A</v>
        <stp/>
        <stp>PROB_OTM</stp>
        <stp>.XBI201120C124</stp>
        <tr r="U772" s="1"/>
      </tp>
      <tp t="s">
        <v>N/A</v>
        <stp/>
        <stp>PROB_OTM</stp>
        <stp>.XBI201120P125</stp>
        <tr r="U777" s="1"/>
      </tp>
      <tp t="s">
        <v>N/A</v>
        <stp/>
        <stp>PROB_OTM</stp>
        <stp>.XBI201120C125</stp>
        <tr r="U776" s="1"/>
      </tp>
      <tp>
        <v>368</v>
        <stp/>
        <stp>OPEN_INT</stp>
        <stp>.IBB201120P138.5</stp>
        <tr r="G232" s="1"/>
      </tp>
      <tp t="s">
        <v>N/A</v>
        <stp/>
        <stp>PROB_OF_EXPIRING</stp>
        <stp>.XBI201120C125.5</stp>
        <tr r="T778" s="1"/>
      </tp>
      <tp t="s">
        <v>N/A</v>
        <stp/>
        <stp>PROB_OTM</stp>
        <stp>.VTI201120C184</stp>
        <tr r="U746" s="1"/>
      </tp>
      <tp t="s">
        <v>N/A</v>
        <stp/>
        <stp>PROB_OTM</stp>
        <stp>.VTI201120P184</stp>
        <tr r="U747" s="1"/>
      </tp>
      <tp t="s">
        <v>N/A</v>
        <stp/>
        <stp>PROB_OTM</stp>
        <stp>.VTI201120C181</stp>
        <tr r="U740" s="1"/>
      </tp>
      <tp t="s">
        <v>N/A</v>
        <stp/>
        <stp>PROB_OTM</stp>
        <stp>.VTI201120P181</stp>
        <tr r="U741" s="1"/>
      </tp>
      <tp t="s">
        <v>N/A</v>
        <stp/>
        <stp>PROB_OTM</stp>
        <stp>.VTI201120C182</stp>
        <tr r="U742" s="1"/>
      </tp>
      <tp t="s">
        <v>N/A</v>
        <stp/>
        <stp>PROB_OTM</stp>
        <stp>.VTI201120P182</stp>
        <tr r="U743" s="1"/>
      </tp>
      <tp t="s">
        <v>N/A</v>
        <stp/>
        <stp>PROB_OTM</stp>
        <stp>.VTI201120C183</stp>
        <tr r="U744" s="1"/>
      </tp>
      <tp t="s">
        <v>N/A</v>
        <stp/>
        <stp>PROB_OTM</stp>
        <stp>.VTI201120P183</stp>
        <tr r="U745" s="1"/>
      </tp>
      <tp t="s">
        <v>N/A</v>
        <stp/>
        <stp>EXTRINSIC</stp>
        <stp>IGIB</stp>
        <tr r="S261" s="1"/>
      </tp>
      <tp t="s">
        <v>N/A</v>
        <stp/>
        <stp>EXTRINSIC</stp>
        <stp>VGIT</stp>
        <tr r="S718" s="1"/>
      </tp>
      <tp t="s">
        <v>52.66%</v>
        <stp/>
        <stp>PROB_OTM</stp>
        <stp>.SPY201120P352.5</stp>
        <tr r="U608" s="1"/>
      </tp>
      <tp t="s">
        <v>N/A</v>
        <stp/>
        <stp>IMPL_VOL</stp>
        <stp>.SMH201120C196.5</stp>
        <tr r="D568" s="1"/>
      </tp>
      <tp t="s">
        <v>N/A</v>
        <stp/>
        <stp>PROB_OF_TOUCHING</stp>
        <stp>.XLK201120C120.5</stp>
        <tr r="V829" s="1"/>
      </tp>
      <tp t="s">
        <v>N/A</v>
        <stp/>
        <stp>PROB_OF_TOUCHING</stp>
        <stp>.XLV201120C110.5</stp>
        <tr r="V859" s="1"/>
      </tp>
      <tp t="s">
        <v>N/A</v>
        <stp/>
        <stp>PUT_CALL_RATIO</stp>
        <stp>.EMLC201120P32</stp>
        <tr r="C116" s="1"/>
      </tp>
      <tp t="s">
        <v>N/A</v>
        <stp/>
        <stp>RHO</stp>
        <stp>.SSO201120P84.5</stp>
        <tr r="Q658" s="1"/>
      </tp>
      <tp t="s">
        <v>N/A</v>
        <stp/>
        <stp>DESCRIPTION</stp>
        <stp>.XOP201120C49.5</stp>
        <tr r="B900" s="1"/>
      </tp>
      <tp t="s">
        <v>N/A</v>
        <stp/>
        <stp>DESCRIPTION</stp>
        <stp>.XLB201120C69.5</stp>
        <tr r="B792" s="1"/>
      </tp>
      <tp t="s">
        <v>N/A</v>
        <stp/>
        <stp>RHO</stp>
        <stp>.SSO201120C84.5</stp>
        <tr r="Q657" s="1"/>
      </tp>
      <tp t="s">
        <v>N/A</v>
        <stp/>
        <stp>DESCRIPTION</stp>
        <stp>.XLB201120P69.5</stp>
        <tr r="B793" s="1"/>
      </tp>
      <tp t="s">
        <v>N/A</v>
        <stp/>
        <stp>DESCRIPTION</stp>
        <stp>.XOP201120P49.5</stp>
        <tr r="B901" s="1"/>
      </tp>
      <tp t="s">
        <v>N/A</v>
        <stp/>
        <stp>PUT_CALL_RATIO</stp>
        <stp>.SPLG201120P42</stp>
        <tr r="C586" s="1"/>
      </tp>
      <tp t="s">
        <v>N/A</v>
        <stp/>
        <stp>RHO</stp>
        <stp>.TAN201120C74.5</stp>
        <tr r="Q668" s="1"/>
      </tp>
      <tp t="s">
        <v>N/A</v>
        <stp/>
        <stp>RHO</stp>
        <stp>.TAN201120P74.5</stp>
        <tr r="Q669" s="1"/>
      </tp>
      <tp t="s">
        <v>N/A</v>
        <stp/>
        <stp>PUT_CALL_RATIO</stp>
        <stp>.HYLB201120P49</stp>
        <tr r="C227" s="1"/>
      </tp>
      <tp t="s">
        <v>N/A</v>
        <stp/>
        <stp>RHO</stp>
        <stp>.XRT201120P54.5</stp>
        <tr r="Q906" s="1"/>
      </tp>
      <tp t="s">
        <v>N/A</v>
        <stp/>
        <stp>RHO</stp>
        <stp>.XLI201120C84.5</stp>
        <tr r="Q816" s="1"/>
      </tp>
      <tp t="s">
        <v>N/A</v>
        <stp/>
        <stp>RHO</stp>
        <stp>.XLE201120C34.5</stp>
        <tr r="Q808" s="1"/>
      </tp>
      <tp t="s">
        <v>N/A</v>
        <stp/>
        <stp>RHO</stp>
        <stp>.XRT201120C54.5</stp>
        <tr r="Q905" s="1"/>
      </tp>
      <tp t="s">
        <v>N/A</v>
        <stp/>
        <stp>RHO</stp>
        <stp>.XLI201120P84.5</stp>
        <tr r="Q817" s="1"/>
      </tp>
      <tp t="s">
        <v>N/A</v>
        <stp/>
        <stp>RHO</stp>
        <stp>.XLE201120P34.5</stp>
        <tr r="Q809" s="1"/>
      </tp>
      <tp t="s">
        <v>N/A</v>
        <stp/>
        <stp>PUT_CALL_RATIO</stp>
        <stp>.ICLN201120P22</stp>
        <tr r="C247" s="1"/>
      </tp>
      <tp t="s">
        <v>N/A</v>
        <stp/>
        <stp>PUT_CALL_RATIO</stp>
        <stp>.BKLN201120P22</stp>
        <tr r="C50" s="1"/>
      </tp>
      <tp t="s">
        <v>N/A</v>
        <stp/>
        <stp>VOLUME</stp>
        <stp>.SPYV201120P33</stp>
        <tr r="F636" s="1"/>
      </tp>
      <tp t="s">
        <v>N/A</v>
        <stp/>
        <stp>PUT_CALL_RATIO</stp>
        <stp>.AMLP201120P24</stp>
        <tr r="C24" s="1"/>
      </tp>
      <tp t="s">
        <v>N/A</v>
        <stp/>
        <stp>PUT_CALL_RATIO</stp>
        <stp>.AMLP201120P23</stp>
        <tr r="C20" s="1"/>
      </tp>
      <tp t="s">
        <v>N/A</v>
        <stp/>
        <stp>PUT_CALL_RATIO</stp>
        <stp>.SPLV201120P55</stp>
        <tr r="C589" s="1"/>
      </tp>
      <tp t="s">
        <v>N/A</v>
        <stp/>
        <stp>STRIKE</stp>
        <stp>.JETS201120C20</stp>
        <tr r="W378" s="1"/>
      </tp>
      <tp t="s">
        <v>N/A</v>
        <stp/>
        <stp>VOLUME</stp>
        <stp>.SPYG201120P53</stp>
        <tr r="F633" s="1"/>
      </tp>
      <tp t="s">
        <v>N/A</v>
        <stp/>
        <stp>VOLUME</stp>
        <stp>.SPYG201120P52</stp>
        <tr r="F631" s="1"/>
      </tp>
      <tp t="s">
        <v>N/A</v>
        <stp/>
        <stp>RHO</stp>
        <stp>.ITB201120P54.5</stp>
        <tr r="Q290" s="1"/>
      </tp>
      <tp t="s">
        <v>N/A</v>
        <stp/>
        <stp>RHO</stp>
        <stp>.IYR201120P84.5</stp>
        <tr r="Q370" s="1"/>
      </tp>
      <tp t="s">
        <v>N/A</v>
        <stp/>
        <stp>RHO</stp>
        <stp>.ITB201120C54.5</stp>
        <tr r="Q289" s="1"/>
      </tp>
      <tp t="s">
        <v>N/A</v>
        <stp/>
        <stp>RHO</stp>
        <stp>.IYR201120C84.5</stp>
        <tr r="Q369" s="1"/>
      </tp>
      <tp t="s">
        <v>N/A</v>
        <stp/>
        <stp>VOLUME</stp>
        <stp>.SHYG201120P45</stp>
        <tr r="F550" s="1"/>
      </tp>
      <tp t="s">
        <v>N/A</v>
        <stp/>
        <stp>DESCRIPTION</stp>
        <stp>.FEZ201120C39.5</stp>
        <tr r="B181" s="1"/>
      </tp>
      <tp t="s">
        <v>N/A</v>
        <stp/>
        <stp>DESCRIPTION</stp>
        <stp>.FEZ201120P39.5</stp>
        <tr r="B182" s="1"/>
      </tp>
      <tp t="s">
        <v>N/A</v>
        <stp/>
        <stp>DESCRIPTION</stp>
        <stp>.EFA201120C69.5</stp>
        <tr r="B104" s="1"/>
      </tp>
      <tp t="s">
        <v>N/A</v>
        <stp/>
        <stp>DESCRIPTION</stp>
        <stp>.EWW201120P39.5</stp>
        <tr r="B160" s="1"/>
      </tp>
      <tp t="s">
        <v>N/A</v>
        <stp/>
        <stp>DESCRIPTION</stp>
        <stp>.EWW201120C39.5</stp>
        <tr r="B159" s="1"/>
      </tp>
      <tp t="s">
        <v>N/A</v>
        <stp/>
        <stp>DESCRIPTION</stp>
        <stp>.EFA201120P69.5</stp>
        <tr r="B105" s="1"/>
      </tp>
      <tp t="s">
        <v>N/A</v>
        <stp/>
        <stp>STRIKE</stp>
        <stp>SPDW</stp>
        <tr r="W578" s="1"/>
      </tp>
      <tp>
        <v>0</v>
        <stp/>
        <stp>LOW</stp>
        <stp>.QLD201120P99</stp>
        <tr r="K470" s="1"/>
      </tp>
      <tp>
        <v>2.95</v>
        <stp/>
        <stp>BID</stp>
        <stp>.QLD201120C97</stp>
        <tr r="H465" s="1"/>
      </tp>
      <tp>
        <v>3.2</v>
        <stp/>
        <stp>LOW</stp>
        <stp>.QLD201120P98</stp>
        <tr r="K468" s="1"/>
      </tp>
      <tp>
        <v>3.7</v>
        <stp/>
        <stp>BID</stp>
        <stp>.QLD201120C96</stp>
        <tr r="H463" s="1"/>
      </tp>
      <tp>
        <v>2.25</v>
        <stp/>
        <stp>LOW</stp>
        <stp>.QLD201120P97</stp>
        <tr r="K466" s="1"/>
      </tp>
      <tp>
        <v>2</v>
        <stp/>
        <stp>BID</stp>
        <stp>.QLD201120C99</stp>
        <tr r="H469" s="1"/>
      </tp>
      <tp>
        <v>2.35</v>
        <stp/>
        <stp>LOW</stp>
        <stp>.QLD201120P96</stp>
        <tr r="K464" s="1"/>
      </tp>
      <tp>
        <v>2.5</v>
        <stp/>
        <stp>BID</stp>
        <stp>.QLD201120C98</stp>
        <tr r="H467" s="1"/>
      </tp>
      <tp t="s">
        <v>N/A</v>
        <stp/>
        <stp>DESCRIPTION</stp>
        <stp>.DVY201120P92</stp>
        <tr r="B88" s="1"/>
      </tp>
      <tp t="s">
        <v>N/A</v>
        <stp/>
        <stp>DESCRIPTION</stp>
        <stp>.DVY201120P93</stp>
        <tr r="B90" s="1"/>
      </tp>
      <tp t="s">
        <v>N/A</v>
        <stp/>
        <stp>DESCRIPTION</stp>
        <stp>.DVY201120P91</stp>
        <tr r="B86" s="1"/>
      </tp>
      <tp t="s">
        <v>N/A</v>
        <stp/>
        <stp>DESCRIPTION</stp>
        <stp>.VEU201120C55</stp>
        <tr r="B711" s="1"/>
      </tp>
      <tp t="s">
        <v>N/A</v>
        <stp/>
        <stp>RHO</stp>
        <stp>.VGK201120C57</stp>
        <tr r="Q722" s="1"/>
      </tp>
      <tp t="s">
        <v>N/A</v>
        <stp/>
        <stp>BID</stp>
        <stp>.XLI201120C86</stp>
        <tr r="H822" s="1"/>
      </tp>
      <tp>
        <v>0.54</v>
        <stp/>
        <stp>BID</stp>
        <stp>.XLI201120C85</stp>
        <tr r="H818" s="1"/>
      </tp>
      <tp t="s">
        <v>N/A</v>
        <stp/>
        <stp>BID</stp>
        <stp>.XLI201120C84</stp>
        <tr r="H814" s="1"/>
      </tp>
      <tp>
        <v>1.65</v>
        <stp/>
        <stp>LOW</stp>
        <stp>.XLI201120P85</stp>
        <tr r="K819" s="1"/>
      </tp>
      <tp t="s">
        <v>N/A</v>
        <stp/>
        <stp>LOW</stp>
        <stp>.XLI201120P84</stp>
        <tr r="K815" s="1"/>
      </tp>
      <tp t="s">
        <v>N/A</v>
        <stp/>
        <stp>LOW</stp>
        <stp>.XLI201120P86</stp>
        <tr r="K823" s="1"/>
      </tp>
      <tp t="s">
        <v>N/A</v>
        <stp/>
        <stp>DESCRIPTION</stp>
        <stp>.FEZ201120C40</stp>
        <tr r="B183" s="1"/>
      </tp>
      <tp t="s">
        <v>N/A</v>
        <stp/>
        <stp>STRIKE</stp>
        <stp>SPLV</stp>
        <tr r="W587" s="1"/>
      </tp>
      <tp t="s">
        <v>N/A</v>
        <stp/>
        <stp>STRIKE</stp>
        <stp>SPLG</stp>
        <tr r="W584" s="1"/>
      </tp>
      <tp>
        <v>0</v>
        <stp/>
        <stp>BID</stp>
        <stp>.XLC201120C64</stp>
        <tr r="H801" s="1"/>
      </tp>
      <tp>
        <v>0</v>
        <stp/>
        <stp>BID</stp>
        <stp>.XLC201120C63</stp>
        <tr r="H797" s="1"/>
      </tp>
      <tp>
        <v>0.2</v>
        <stp/>
        <stp>BID</stp>
        <stp>.XLB201120C70</stp>
        <tr r="H794" s="1"/>
      </tp>
      <tp t="s">
        <v>N/A</v>
        <stp/>
        <stp>LOW</stp>
        <stp>.XLB201120P70</stp>
        <tr r="K795" s="1"/>
      </tp>
      <tp t="s">
        <v>N/A</v>
        <stp/>
        <stp>LOW</stp>
        <stp>.XLC201120P63</stp>
        <tr r="K798" s="1"/>
      </tp>
      <tp t="s">
        <v>N/A</v>
        <stp/>
        <stp>LOW</stp>
        <stp>.XLC201120P64</stp>
        <tr r="K802" s="1"/>
      </tp>
      <tp>
        <v>1.02</v>
        <stp/>
        <stp>LOW</stp>
        <stp>.XLB201120P69</stp>
        <tr r="K791" s="1"/>
      </tp>
      <tp>
        <v>0.28000000000000003</v>
        <stp/>
        <stp>BID</stp>
        <stp>.XLF201120C27</stp>
        <tr r="H811" s="1"/>
      </tp>
      <tp t="s">
        <v>N/A</v>
        <stp/>
        <stp>BID</stp>
        <stp>.ILF201120C25</stp>
        <tr r="H278" s="1"/>
      </tp>
      <tp t="s">
        <v>N/A</v>
        <stp/>
        <stp>LOW</stp>
        <stp>.ILF201120P25</stp>
        <tr r="K279" s="1"/>
      </tp>
      <tp>
        <v>0.55000000000000004</v>
        <stp/>
        <stp>LOW</stp>
        <stp>.XLF201120P27</stp>
        <tr r="K812" s="1"/>
      </tp>
      <tp>
        <v>0.03</v>
        <stp/>
        <stp>BID</stp>
        <stp>.XLB201120C69</stp>
        <tr r="H790" s="1"/>
      </tp>
      <tp t="s">
        <v>N/A</v>
        <stp/>
        <stp>STRIKE</stp>
        <stp>SPHD</stp>
        <tr r="W581" s="1"/>
      </tp>
      <tp t="s">
        <v>N/A</v>
        <stp/>
        <stp>RHO</stp>
        <stp>.ITB201120P56</stp>
        <tr r="Q296" s="1"/>
      </tp>
      <tp t="s">
        <v>N/A</v>
        <stp/>
        <stp>RHO</stp>
        <stp>.ITB201120P55</stp>
        <tr r="Q292" s="1"/>
      </tp>
      <tp>
        <v>0.28999999999999998</v>
        <stp/>
        <stp>BID</stp>
        <stp>.XLE201120C34</stp>
        <tr r="H806" s="1"/>
      </tp>
      <tp>
        <v>1.02</v>
        <stp/>
        <stp>LOW</stp>
        <stp>.XLE201120P34</stp>
        <tr r="K807" s="1"/>
      </tp>
      <tp>
        <v>2514575</v>
        <stp/>
        <stp>VOLUME</stp>
        <stp>USMV</stp>
        <tr r="F698" s="1"/>
      </tp>
      <tp t="s">
        <v>N/A</v>
        <stp/>
        <stp>RHO</stp>
        <stp>.PGX201120C15</stp>
        <tr r="Q455" s="1"/>
      </tp>
      <tp t="s">
        <v>N/A</v>
        <stp/>
        <stp>DESCRIPTION</stp>
        <stp>.FVD201120P35</stp>
        <tr r="B187" s="1"/>
      </tp>
      <tp>
        <v>0.28000000000000003</v>
        <stp/>
        <stp>PUT_CALL_RATIO</stp>
        <stp>AMLP</stp>
        <tr r="C18" s="1"/>
      </tp>
      <tp>
        <v>0.11799999999999999</v>
        <stp/>
        <stp>PUT_CALL_RATIO</stp>
        <stp>EMLC</stp>
        <tr r="C114" s="1"/>
      </tp>
      <tp t="s">
        <v>N/A</v>
        <stp/>
        <stp>DESCRIPTION</stp>
        <stp>.VEA201120C44</stp>
        <tr r="B708" s="1"/>
      </tp>
      <tp>
        <v>2592182</v>
        <stp/>
        <stp>VOLUME</stp>
        <stp>ASHR</stp>
        <tr r="F43" s="1"/>
      </tp>
      <tp t="s">
        <v>N/A</v>
        <stp/>
        <stp>ASK</stp>
        <stp>.SCZ201120C63</stp>
        <tr r="I535" s="1"/>
      </tp>
      <tp>
        <v>0.09</v>
        <stp/>
        <stp>BID</stp>
        <stp>.XLU201120C67</stp>
        <tr r="H854" s="1"/>
      </tp>
      <tp>
        <v>0.24</v>
        <stp/>
        <stp>BID</stp>
        <stp>.XLU201120C66</stp>
        <tr r="H850" s="1"/>
      </tp>
      <tp>
        <v>0</v>
        <stp/>
        <stp>LOW</stp>
        <stp>.XLU201120P67</stp>
        <tr r="K855" s="1"/>
      </tp>
      <tp>
        <v>0.65</v>
        <stp/>
        <stp>LOW</stp>
        <stp>.XLU201120P66</stp>
        <tr r="K851" s="1"/>
      </tp>
      <tp t="s">
        <v>N/A</v>
        <stp/>
        <stp>DESCRIPTION</stp>
        <stp>.AGG201120P117</stp>
        <tr r="B17" s="1"/>
      </tp>
      <tp t="s">
        <v>N/A</v>
        <stp/>
        <stp>DESCRIPTION</stp>
        <stp>.AGG201120C117</stp>
        <tr r="B16" s="1"/>
      </tp>
      <tp t="s">
        <v>N/A</v>
        <stp/>
        <stp>STRIKE</stp>
        <stp>SPYV</stp>
        <tr r="W634" s="1"/>
      </tp>
      <tp t="s">
        <v>N/A</v>
        <stp/>
        <stp>STRIKE</stp>
        <stp>SPYG</stp>
        <tr r="W629" s="1"/>
      </tp>
      <tp>
        <v>0.4</v>
        <stp/>
        <stp>BID</stp>
        <stp>.XLP201120C67</stp>
        <tr r="H844" s="1"/>
      </tp>
      <tp>
        <v>1.1000000000000001</v>
        <stp/>
        <stp>LOW</stp>
        <stp>.XLP201120P67</stp>
        <tr r="K845" s="1"/>
      </tp>
      <tp t="s">
        <v>N/A</v>
        <stp/>
        <stp>DESCRIPTION</stp>
        <stp>.EEM201120C48</stp>
        <tr r="B97" s="1"/>
      </tp>
      <tp t="s">
        <v>N/A</v>
        <stp/>
        <stp>PUT_CALL_RATIO</stp>
        <stp>.RSX201120C22.5</stp>
        <tr r="C515" s="1"/>
      </tp>
      <tp t="s">
        <v>N/A</v>
        <stp/>
        <stp>PUT_CALL_RATIO</stp>
        <stp>.RSX201120P22.5</stp>
        <tr r="C516" s="1"/>
      </tp>
      <tp t="s">
        <v>N/A</v>
        <stp/>
        <stp>PUT_CALL_RATIO</stp>
        <stp>.SSO201120C82.5</stp>
        <tr r="C649" s="1"/>
      </tp>
      <tp t="s">
        <v>N/A</v>
        <stp/>
        <stp>PUT_CALL_RATIO</stp>
        <stp>.SSO201120P82.5</stp>
        <tr r="C650" s="1"/>
      </tp>
      <tp t="s">
        <v>N/A</v>
        <stp/>
        <stp>STRIKE</stp>
        <stp>.ITB201120P54.5</stp>
        <tr r="W290" s="1"/>
      </tp>
      <tp t="s">
        <v>N/A</v>
        <stp/>
        <stp>STRIKE</stp>
        <stp>.IYR201120P84.5</stp>
        <tr r="W370" s="1"/>
      </tp>
      <tp t="s">
        <v>N/A</v>
        <stp/>
        <stp>PUT_CALL_RATIO</stp>
        <stp>.TAN201120P72.5</stp>
        <tr r="C661" s="1"/>
      </tp>
      <tp t="s">
        <v>N/A</v>
        <stp/>
        <stp>STRIKE</stp>
        <stp>.ITB201120C54.5</stp>
        <tr r="W289" s="1"/>
      </tp>
      <tp t="s">
        <v>N/A</v>
        <stp/>
        <stp>STRIKE</stp>
        <stp>.IYR201120C84.5</stp>
        <tr r="W369" s="1"/>
      </tp>
      <tp t="s">
        <v>N/A</v>
        <stp/>
        <stp>PUT_CALL_RATIO</stp>
        <stp>.TAN201120C72.5</stp>
        <tr r="C660" s="1"/>
      </tp>
      <tp t="s">
        <v>N/A</v>
        <stp/>
        <stp>PROB_OF_EXPIRING</stp>
        <stp>HYG</stp>
        <tr r="T220" s="1"/>
      </tp>
      <tp t="s">
        <v>N/A</v>
        <stp/>
        <stp>STRIKE</stp>
        <stp>.XRT201120P54.5</stp>
        <tr r="W906" s="1"/>
      </tp>
      <tp t="s">
        <v>N/A</v>
        <stp/>
        <stp>STRIKE</stp>
        <stp>.XLE201120C34.5</stp>
        <tr r="W808" s="1"/>
      </tp>
      <tp t="s">
        <v>N/A</v>
        <stp/>
        <stp>STRIKE</stp>
        <stp>.XLI201120C84.5</stp>
        <tr r="W816" s="1"/>
      </tp>
      <tp t="s">
        <v>N/A</v>
        <stp/>
        <stp>PUT_CALL_RATIO</stp>
        <stp>.EWY201120C72.5</stp>
        <tr r="C166" s="1"/>
      </tp>
      <tp t="s">
        <v>N/A</v>
        <stp/>
        <stp>STRIKE</stp>
        <stp>.XRT201120C54.5</stp>
        <tr r="W905" s="1"/>
      </tp>
      <tp t="s">
        <v>N/A</v>
        <stp/>
        <stp>PUT_CALL_RATIO</stp>
        <stp>.EWY201120P72.5</stp>
        <tr r="C167" s="1"/>
      </tp>
      <tp t="s">
        <v>N/A</v>
        <stp/>
        <stp>STRIKE</stp>
        <stp>.XLE201120P34.5</stp>
        <tr r="W809" s="1"/>
      </tp>
      <tp t="s">
        <v>N/A</v>
        <stp/>
        <stp>STRIKE</stp>
        <stp>.XLI201120P84.5</stp>
        <tr r="W817" s="1"/>
      </tp>
      <tp t="s">
        <v>N/A</v>
        <stp/>
        <stp>STRIKE</stp>
        <stp>.TAN201120C74.5</stp>
        <tr r="W668" s="1"/>
      </tp>
      <tp t="s">
        <v>N/A</v>
        <stp/>
        <stp>STRIKE</stp>
        <stp>.TAN201120P74.5</stp>
        <tr r="W669" s="1"/>
      </tp>
      <tp t="s">
        <v>N/A</v>
        <stp/>
        <stp>STRIKE</stp>
        <stp>.SSO201120P84.5</stp>
        <tr r="W658" s="1"/>
      </tp>
      <tp t="s">
        <v>N/A</v>
        <stp/>
        <stp>STRIKE</stp>
        <stp>.SSO201120C84.5</stp>
        <tr r="W657" s="1"/>
      </tp>
      <tp t="s">
        <v>N/A</v>
        <stp/>
        <stp>PROB_OF_EXPIRING</stp>
        <stp>.XLY201120P154</stp>
        <tr r="T879" s="1"/>
      </tp>
      <tp t="s">
        <v>N/A</v>
        <stp/>
        <stp>PROB_OF_EXPIRING</stp>
        <stp>.XLY201120C154</stp>
        <tr r="T878" s="1"/>
      </tp>
      <tp t="s">
        <v>N/A</v>
        <stp/>
        <stp>PROB_OF_EXPIRING</stp>
        <stp>.XLY201120P155</stp>
        <tr r="T883" s="1"/>
      </tp>
      <tp t="s">
        <v>N/A</v>
        <stp/>
        <stp>PROB_OF_EXPIRING</stp>
        <stp>.XLY201120C155</stp>
        <tr r="T882" s="1"/>
      </tp>
      <tp t="s">
        <v>N/A</v>
        <stp/>
        <stp>PROB_OF_EXPIRING</stp>
        <stp>.XLY201120P152</stp>
        <tr r="T871" s="1"/>
      </tp>
      <tp t="s">
        <v>N/A</v>
        <stp/>
        <stp>PROB_OF_EXPIRING</stp>
        <stp>.XLY201120C152</stp>
        <tr r="T870" s="1"/>
      </tp>
      <tp t="s">
        <v>N/A</v>
        <stp/>
        <stp>PROB_OF_EXPIRING</stp>
        <stp>.XLY201120P153</stp>
        <tr r="T875" s="1"/>
      </tp>
      <tp t="s">
        <v>N/A</v>
        <stp/>
        <stp>PROB_OF_EXPIRING</stp>
        <stp>.XLY201120C153</stp>
        <tr r="T874" s="1"/>
      </tp>
      <tp>
        <v>122</v>
        <stp/>
        <stp>OPEN_INT</stp>
        <stp>.DIA201120C292.5</stp>
        <tr r="G67" s="1"/>
      </tp>
      <tp t="s">
        <v>N/A</v>
        <stp/>
        <stp>PROB_OTM</stp>
        <stp>.SMH201120P195.5</stp>
        <tr r="U565" s="1"/>
      </tp>
      <tp t="s">
        <v>N/A</v>
        <stp/>
        <stp>PROB_OF_EXPIRING</stp>
        <stp>.XLK201120P122.5</stp>
        <tr r="T838" s="1"/>
      </tp>
      <tp t="s">
        <v>N/A</v>
        <stp/>
        <stp>PROB_OF_EXPIRING</stp>
        <stp>.XLY201120P152.5</stp>
        <tr r="T873" s="1"/>
      </tp>
      <tp t="s">
        <v>N/A</v>
        <stp/>
        <stp>PROB_OF_EXPIRING</stp>
        <stp>.XBI201120P122.5</stp>
        <tr r="T767" s="1"/>
      </tp>
      <tp t="s">
        <v>N/A</v>
        <stp/>
        <stp>PROB_OTM</stp>
        <stp>.QQQ201120C287.5</stp>
        <tr r="U480" s="1"/>
      </tp>
      <tp t="s">
        <v>N/A</v>
        <stp/>
        <stp>IMPL_VOL</stp>
        <stp>.TLT201120P156.5</stp>
        <tr r="D697" s="1"/>
      </tp>
      <tp t="s">
        <v>N/A</v>
        <stp/>
        <stp>PROB_OTM</stp>
        <stp>.SMH201120C195.5</stp>
        <tr r="U564" s="1"/>
      </tp>
      <tp>
        <v>74</v>
        <stp/>
        <stp>OPEN_INT</stp>
        <stp>.DIA201120P292.5</stp>
        <tr r="G68" s="1"/>
      </tp>
      <tp t="s">
        <v>N/A</v>
        <stp/>
        <stp>PROB_OF_EXPIRING</stp>
        <stp>.XLK201120C122.5</stp>
        <tr r="T837" s="1"/>
      </tp>
      <tp t="s">
        <v>N/A</v>
        <stp/>
        <stp>PROB_OF_EXPIRING</stp>
        <stp>.XLY201120C152.5</stp>
        <tr r="T872" s="1"/>
      </tp>
      <tp t="s">
        <v>N/A</v>
        <stp/>
        <stp>PROB_OF_TOUCHING</stp>
        <stp>.QQQ201120C288</stp>
        <tr r="V482" s="1"/>
      </tp>
      <tp t="s">
        <v>N/A</v>
        <stp/>
        <stp>PROB_OF_TOUCHING</stp>
        <stp>.QQQ201120P288</stp>
        <tr r="V483" s="1"/>
      </tp>
      <tp t="s">
        <v>N/A</v>
        <stp/>
        <stp>PROB_OF_TOUCHING</stp>
        <stp>.QQQ201120C289</stp>
        <tr r="V484" s="1"/>
      </tp>
      <tp t="s">
        <v>N/A</v>
        <stp/>
        <stp>PROB_OF_TOUCHING</stp>
        <stp>.QQQ201120P289</stp>
        <tr r="V485" s="1"/>
      </tp>
      <tp t="s">
        <v>N/A</v>
        <stp/>
        <stp>PROB_OF_TOUCHING</stp>
        <stp>.QQQ201120C286</stp>
        <tr r="V476" s="1"/>
      </tp>
      <tp t="s">
        <v>N/A</v>
        <stp/>
        <stp>PROB_OF_TOUCHING</stp>
        <stp>.QQQ201120P286</stp>
        <tr r="V477" s="1"/>
      </tp>
      <tp t="s">
        <v>N/A</v>
        <stp/>
        <stp>PROB_OF_TOUCHING</stp>
        <stp>.QQQ201120C287</stp>
        <tr r="V478" s="1"/>
      </tp>
      <tp t="s">
        <v>N/A</v>
        <stp/>
        <stp>PROB_OF_TOUCHING</stp>
        <stp>.QQQ201120P287</stp>
        <tr r="V479" s="1"/>
      </tp>
      <tp t="s">
        <v>N/A</v>
        <stp/>
        <stp>PROB_OF_TOUCHING</stp>
        <stp>.QQQ201120C292</stp>
        <tr r="V490" s="1"/>
      </tp>
      <tp t="s">
        <v>N/A</v>
        <stp/>
        <stp>PROB_OF_TOUCHING</stp>
        <stp>.QQQ201120P292</stp>
        <tr r="V491" s="1"/>
      </tp>
      <tp t="s">
        <v>N/A</v>
        <stp/>
        <stp>PROB_OF_TOUCHING</stp>
        <stp>.QQQ201120C293</stp>
        <tr r="V494" s="1"/>
      </tp>
      <tp t="s">
        <v>N/A</v>
        <stp/>
        <stp>PROB_OF_TOUCHING</stp>
        <stp>.QQQ201120P293</stp>
        <tr r="V495" s="1"/>
      </tp>
      <tp t="s">
        <v>N/A</v>
        <stp/>
        <stp>PROB_OF_TOUCHING</stp>
        <stp>.QQQ201120C290</stp>
        <tr r="V486" s="1"/>
      </tp>
      <tp t="s">
        <v>N/A</v>
        <stp/>
        <stp>PROB_OF_TOUCHING</stp>
        <stp>.QQQ201120P290</stp>
        <tr r="V487" s="1"/>
      </tp>
      <tp t="s">
        <v>N/A</v>
        <stp/>
        <stp>PROB_OF_TOUCHING</stp>
        <stp>.QQQ201120C291</stp>
        <tr r="V488" s="1"/>
      </tp>
      <tp t="s">
        <v>N/A</v>
        <stp/>
        <stp>PROB_OF_TOUCHING</stp>
        <stp>.QQQ201120P291</stp>
        <tr r="V489" s="1"/>
      </tp>
      <tp t="s">
        <v>N/A</v>
        <stp/>
        <stp>PROB_OF_TOUCHING</stp>
        <stp>.QQQ201120C294</stp>
        <tr r="V496" s="1"/>
      </tp>
      <tp t="s">
        <v>N/A</v>
        <stp/>
        <stp>PROB_OF_TOUCHING</stp>
        <stp>.QQQ201120P294</stp>
        <tr r="V497" s="1"/>
      </tp>
      <tp t="s">
        <v>N/A</v>
        <stp/>
        <stp>PROB_OF_EXPIRING</stp>
        <stp>.XBI201120C122.5</stp>
        <tr r="T766" s="1"/>
      </tp>
      <tp t="s">
        <v>N/A</v>
        <stp/>
        <stp>IMPL_VOL</stp>
        <stp>.TLT201120C156.5</stp>
        <tr r="D696" s="1"/>
      </tp>
      <tp t="s">
        <v>N/A</v>
        <stp/>
        <stp>PROB_OTM</stp>
        <stp>.QQQ201120P287.5</stp>
        <tr r="U481" s="1"/>
      </tp>
      <tp t="s">
        <v>N/A</v>
        <stp/>
        <stp>RHO</stp>
        <stp>.SSO201120P83.5</stp>
        <tr r="Q654" s="1"/>
      </tp>
      <tp t="s">
        <v>N/A</v>
        <stp/>
        <stp>RHO</stp>
        <stp>.SDS201120C13.5</stp>
        <tr r="Q538" s="1"/>
      </tp>
      <tp t="s">
        <v>N/A</v>
        <stp/>
        <stp>PUT_CALL_RATIO</stp>
        <stp>.ARKK201120P99</stp>
        <tr r="C31" s="1"/>
      </tp>
      <tp t="s">
        <v>N/A</v>
        <stp/>
        <stp>PUT_CALL_RATIO</stp>
        <stp>.ARKK201120P98</stp>
        <tr r="C29" s="1"/>
      </tp>
      <tp t="s">
        <v>N/A</v>
        <stp/>
        <stp>PUT_CALL_RATIO</stp>
        <stp>.ARKK201120P97</stp>
        <tr r="C27" s="1"/>
      </tp>
      <tp t="s">
        <v>N/A</v>
        <stp/>
        <stp>PUT_CALL_RATIO</stp>
        <stp>.AAXJ201120C84</stp>
        <tr r="C5" s="1"/>
      </tp>
      <tp t="s">
        <v>N/A</v>
        <stp/>
        <stp>PUT_CALL_RATIO</stp>
        <stp>.AAXJ201120C83</stp>
        <tr r="C3" s="1"/>
      </tp>
      <tp t="s">
        <v>N/A</v>
        <stp/>
        <stp>RHO</stp>
        <stp>.SSO201120C83.5</stp>
        <tr r="Q653" s="1"/>
      </tp>
      <tp t="s">
        <v>N/A</v>
        <stp/>
        <stp>RHO</stp>
        <stp>.SDS201120P13.5</stp>
        <tr r="Q539" s="1"/>
      </tp>
      <tp t="s">
        <v>N/A</v>
        <stp/>
        <stp>RHO</stp>
        <stp>.TAN201120C73.5</stp>
        <tr r="Q664" s="1"/>
      </tp>
      <tp t="s">
        <v>N/A</v>
        <stp/>
        <stp>RHO</stp>
        <stp>.TAN201120P73.5</stp>
        <tr r="Q665" s="1"/>
      </tp>
      <tp>
        <v>0</v>
        <stp/>
        <stp>GAMMA</stp>
        <stp>MJ</stp>
        <tr r="N423" s="1"/>
      </tp>
      <tp t="s">
        <v>N/A</v>
        <stp/>
        <stp>RHO</stp>
        <stp>.XLE201120C33.5</stp>
        <tr r="Q804" s="1"/>
      </tp>
      <tp t="s">
        <v>N/A</v>
        <stp/>
        <stp>RHO</stp>
        <stp>.XLC201120C63.5</stp>
        <tr r="Q799" s="1"/>
      </tp>
      <tp t="s">
        <v>N/A</v>
        <stp/>
        <stp>RHO</stp>
        <stp>.XLE201120P33.5</stp>
        <tr r="Q805" s="1"/>
      </tp>
      <tp t="s">
        <v>N/A</v>
        <stp/>
        <stp>RHO</stp>
        <stp>.XLC201120P63.5</stp>
        <tr r="Q800" s="1"/>
      </tp>
      <tp>
        <v>0</v>
        <stp/>
        <stp>VOLUME</stp>
        <stp>.USMV201120C67</stp>
        <tr r="F699" s="1"/>
      </tp>
      <tp t="s">
        <v>N/A</v>
        <stp/>
        <stp>STRIKE</stp>
        <stp>.GUSH201120C26</stp>
        <tr r="W214" s="1"/>
      </tp>
      <tp t="s">
        <v>N/A</v>
        <stp/>
        <stp>STRIKE</stp>
        <stp>.GUSH201120C27</stp>
        <tr r="W216" s="1"/>
      </tp>
      <tp t="s">
        <v>N/A</v>
        <stp/>
        <stp>STRIKE</stp>
        <stp>.GUSH201120C28</stp>
        <tr r="W218" s="1"/>
      </tp>
      <tp t="s">
        <v>N/A</v>
        <stp/>
        <stp>PUT_CALL_RATIO</stp>
        <stp>.GDXJ201120C53</stp>
        <tr r="C207" s="1"/>
      </tp>
      <tp t="s">
        <v>N/A</v>
        <stp/>
        <stp>PUT_CALL_RATIO</stp>
        <stp>.GDXJ201120C52</stp>
        <tr r="C203" s="1"/>
      </tp>
      <tp t="s">
        <v>N/A</v>
        <stp/>
        <stp>PUT_CALL_RATIO</stp>
        <stp>.GDXJ201120C54</stp>
        <tr r="C211" s="1"/>
      </tp>
      <tp>
        <v>0</v>
        <stp/>
        <stp>GAMMA</stp>
        <stp>VT</stp>
        <tr r="N734" s="1"/>
      </tp>
      <tp t="s">
        <v>N/A</v>
        <stp/>
        <stp>INTRINSIC</stp>
        <stp>.VOO201120C325</stp>
        <tr r="R730" s="1"/>
      </tp>
      <tp t="s">
        <v>N/A</v>
        <stp/>
        <stp>INTRINSIC</stp>
        <stp>.VOO201120P325</stp>
        <tr r="R731" s="1"/>
      </tp>
      <tp t="s">
        <v>N/A</v>
        <stp/>
        <stp>INTRINSIC</stp>
        <stp>.VOO201120C330</stp>
        <tr r="R732" s="1"/>
      </tp>
      <tp t="s">
        <v>N/A</v>
        <stp/>
        <stp>INTRINSIC</stp>
        <stp>.VOO201120P330</stp>
        <tr r="R733" s="1"/>
      </tp>
      <tp t="s">
        <v>N/A</v>
        <stp/>
        <stp>RHO</stp>
        <stp>.EWJ201120P63.5</stp>
        <tr r="Q139" s="1"/>
      </tp>
      <tp t="s">
        <v>N/A</v>
        <stp/>
        <stp>RHO</stp>
        <stp>.EWY201120P73.5</stp>
        <tr r="Q171" s="1"/>
      </tp>
      <tp t="s">
        <v>N/A</v>
        <stp/>
        <stp>RHO</stp>
        <stp>.EWJ201120C63.5</stp>
        <tr r="Q138" s="1"/>
      </tp>
      <tp t="s">
        <v>N/A</v>
        <stp/>
        <stp>RHO</stp>
        <stp>.EWY201120C73.5</stp>
        <tr r="Q170" s="1"/>
      </tp>
      <tp>
        <v>2.375</v>
        <stp/>
        <stp>EXTRINSIC</stp>
        <stp>.SPY201120P357</stp>
        <tr r="S618" s="1"/>
      </tp>
      <tp>
        <v>2.7050000000000001</v>
        <stp/>
        <stp>EXTRINSIC</stp>
        <stp>.SPY201120C357</stp>
        <tr r="S617" s="1"/>
      </tp>
      <tp>
        <v>2.855</v>
        <stp/>
        <stp>EXTRINSIC</stp>
        <stp>.SPY201120P356</stp>
        <tr r="S616" s="1"/>
      </tp>
      <tp>
        <v>3.1850000000000001</v>
        <stp/>
        <stp>EXTRINSIC</stp>
        <stp>.SPY201120C356</stp>
        <tr r="S615" s="1"/>
      </tp>
      <tp>
        <v>3.3849999999999998</v>
        <stp/>
        <stp>EXTRINSIC</stp>
        <stp>.SPY201120P355</stp>
        <tr r="S614" s="1"/>
      </tp>
      <tp>
        <v>3.7149999999999999</v>
        <stp/>
        <stp>EXTRINSIC</stp>
        <stp>.SPY201120C355</stp>
        <tr r="S613" s="1"/>
      </tp>
      <tp>
        <v>3.9550000000000001</v>
        <stp/>
        <stp>EXTRINSIC</stp>
        <stp>.SPY201120P354</stp>
        <tr r="S612" s="1"/>
      </tp>
      <tp>
        <v>4.28</v>
        <stp/>
        <stp>EXTRINSIC</stp>
        <stp>.SPY201120C354</stp>
        <tr r="S611" s="1"/>
      </tp>
      <tp>
        <v>4.0650000000000004</v>
        <stp/>
        <stp>EXTRINSIC</stp>
        <stp>.SPY201120P353</stp>
        <tr r="S610" s="1"/>
      </tp>
      <tp>
        <v>4.3849999999999998</v>
        <stp/>
        <stp>EXTRINSIC</stp>
        <stp>.SPY201120C353</stp>
        <tr r="S609" s="1"/>
      </tp>
      <tp>
        <v>1.54</v>
        <stp/>
        <stp>EXTRINSIC</stp>
        <stp>.SPY201120P359</stp>
        <tr r="S624" s="1"/>
      </tp>
      <tp>
        <v>1.88</v>
        <stp/>
        <stp>EXTRINSIC</stp>
        <stp>.SPY201120C359</stp>
        <tr r="S623" s="1"/>
      </tp>
      <tp>
        <v>0.63500000000000001</v>
        <stp/>
        <stp>EXTRINSIC</stp>
        <stp>.SPY201118P360</stp>
        <tr r="S606" s="1"/>
      </tp>
      <tp>
        <v>1.9350000000000001</v>
        <stp/>
        <stp>EXTRINSIC</stp>
        <stp>.SPY201120P358</stp>
        <tr r="S622" s="1"/>
      </tp>
      <tp>
        <v>0.94</v>
        <stp/>
        <stp>EXTRINSIC</stp>
        <stp>.SPY201118C360</stp>
        <tr r="S605" s="1"/>
      </tp>
      <tp>
        <v>2.2650000000000001</v>
        <stp/>
        <stp>EXTRINSIC</stp>
        <stp>.SPY201120C358</stp>
        <tr r="S621" s="1"/>
      </tp>
      <tp>
        <v>0.91</v>
        <stp/>
        <stp>EXTRINSIC</stp>
        <stp>.SPY201118P359</stp>
        <tr r="S604" s="1"/>
      </tp>
      <tp>
        <v>0.90500000000000003</v>
        <stp/>
        <stp>EXTRINSIC</stp>
        <stp>.SPY201120P361</stp>
        <tr r="S628" s="1"/>
      </tp>
      <tp>
        <v>1.22</v>
        <stp/>
        <stp>EXTRINSIC</stp>
        <stp>.SPY201118C359</stp>
        <tr r="S603" s="1"/>
      </tp>
      <tp>
        <v>1.24</v>
        <stp/>
        <stp>EXTRINSIC</stp>
        <stp>.SPY201120C361</stp>
        <tr r="S627" s="1"/>
      </tp>
      <tp>
        <v>1.2450000000000001</v>
        <stp/>
        <stp>EXTRINSIC</stp>
        <stp>.SPY201118P358</stp>
        <tr r="S602" s="1"/>
      </tp>
      <tp>
        <v>1.1950000000000001</v>
        <stp/>
        <stp>EXTRINSIC</stp>
        <stp>.SPY201120P360</stp>
        <tr r="S626" s="1"/>
      </tp>
      <tp>
        <v>1.5549999999999999</v>
        <stp/>
        <stp>EXTRINSIC</stp>
        <stp>.SPY201118C358</stp>
        <tr r="S601" s="1"/>
      </tp>
      <tp>
        <v>1.5349999999999999</v>
        <stp/>
        <stp>EXTRINSIC</stp>
        <stp>.SPY201120C360</stp>
        <tr r="S625" s="1"/>
      </tp>
      <tp>
        <v>1.635</v>
        <stp/>
        <stp>EXTRINSIC</stp>
        <stp>.SPY201118P357</stp>
        <tr r="S600" s="1"/>
      </tp>
      <tp>
        <v>1.9450000000000001</v>
        <stp/>
        <stp>EXTRINSIC</stp>
        <stp>.SPY201118C357</stp>
        <tr r="S599" s="1"/>
      </tp>
      <tp>
        <v>2.085</v>
        <stp/>
        <stp>EXTRINSIC</stp>
        <stp>.SPY201118P356</stp>
        <tr r="S598" s="1"/>
      </tp>
      <tp>
        <v>2.395</v>
        <stp/>
        <stp>EXTRINSIC</stp>
        <stp>.SPY201118C356</stp>
        <tr r="S597" s="1"/>
      </tp>
      <tp>
        <v>2.585</v>
        <stp/>
        <stp>EXTRINSIC</stp>
        <stp>.SPY201118P355</stp>
        <tr r="S596" s="1"/>
      </tp>
      <tp>
        <v>2.895</v>
        <stp/>
        <stp>EXTRINSIC</stp>
        <stp>.SPY201118C355</stp>
        <tr r="S595" s="1"/>
      </tp>
      <tp>
        <v>3.145</v>
        <stp/>
        <stp>EXTRINSIC</stp>
        <stp>.SPY201118P354</stp>
        <tr r="S594" s="1"/>
      </tp>
      <tp>
        <v>3.4449999999999998</v>
        <stp/>
        <stp>EXTRINSIC</stp>
        <stp>.SPY201118C354</stp>
        <tr r="S593" s="1"/>
      </tp>
      <tp>
        <v>3.24</v>
        <stp/>
        <stp>EXTRINSIC</stp>
        <stp>.SPY201118P353</stp>
        <tr r="S592" s="1"/>
      </tp>
      <tp>
        <v>3.5449999999999999</v>
        <stp/>
        <stp>EXTRINSIC</stp>
        <stp>.SPY201118C353</stp>
        <tr r="S591" s="1"/>
      </tp>
      <tp>
        <v>0</v>
        <stp/>
        <stp>GAMMA</stp>
        <stp>SH</stp>
        <tr r="N542" s="1"/>
      </tp>
      <tp t="s">
        <v>N/A</v>
        <stp/>
        <stp>INTRINSIC</stp>
        <stp>.IWM201120P175</stp>
        <tr r="R359" s="1"/>
      </tp>
      <tp t="s">
        <v>N/A</v>
        <stp/>
        <stp>INTRINSIC</stp>
        <stp>.IWM201120C175</stp>
        <tr r="R358" s="1"/>
      </tp>
      <tp t="s">
        <v>N/A</v>
        <stp/>
        <stp>INTRINSIC</stp>
        <stp>.IWM201120P174</stp>
        <tr r="R357" s="1"/>
      </tp>
      <tp t="s">
        <v>N/A</v>
        <stp/>
        <stp>INTRINSIC</stp>
        <stp>.IWM201120C174</stp>
        <tr r="R356" s="1"/>
      </tp>
      <tp t="s">
        <v>N/A</v>
        <stp/>
        <stp>INTRINSIC</stp>
        <stp>.IWM201120P171</stp>
        <tr r="R349" s="1"/>
      </tp>
      <tp t="s">
        <v>N/A</v>
        <stp/>
        <stp>INTRINSIC</stp>
        <stp>.IWM201120C171</stp>
        <tr r="R348" s="1"/>
      </tp>
      <tp t="s">
        <v>N/A</v>
        <stp/>
        <stp>INTRINSIC</stp>
        <stp>.IWM201120P170</stp>
        <tr r="R347" s="1"/>
      </tp>
      <tp t="s">
        <v>N/A</v>
        <stp/>
        <stp>INTRINSIC</stp>
        <stp>.IWM201120C170</stp>
        <tr r="R346" s="1"/>
      </tp>
      <tp t="s">
        <v>N/A</v>
        <stp/>
        <stp>INTRINSIC</stp>
        <stp>.IWM201120P173</stp>
        <tr r="R355" s="1"/>
      </tp>
      <tp t="s">
        <v>N/A</v>
        <stp/>
        <stp>INTRINSIC</stp>
        <stp>.IWM201120C173</stp>
        <tr r="R354" s="1"/>
      </tp>
      <tp t="s">
        <v>N/A</v>
        <stp/>
        <stp>INTRINSIC</stp>
        <stp>.IWM201120P172</stp>
        <tr r="R351" s="1"/>
      </tp>
      <tp t="s">
        <v>N/A</v>
        <stp/>
        <stp>INTRINSIC</stp>
        <stp>.IWM201120C172</stp>
        <tr r="R350" s="1"/>
      </tp>
      <tp t="s">
        <v>N/A</v>
        <stp/>
        <stp>EXTRINSIC</stp>
        <stp>.MDY201120C380</stp>
        <tr r="S415" s="1"/>
      </tp>
      <tp t="s">
        <v>N/A</v>
        <stp/>
        <stp>EXTRINSIC</stp>
        <stp>.MDY201120P380</stp>
        <tr r="S416" s="1"/>
      </tp>
      <tp t="s">
        <v>N/A</v>
        <stp/>
        <stp>EXTRINSIC</stp>
        <stp>.MDY201120C385</stp>
        <tr r="S419" s="1"/>
      </tp>
      <tp t="s">
        <v>N/A</v>
        <stp/>
        <stp>EXTRINSIC</stp>
        <stp>.MDY201120P385</stp>
        <tr r="S420" s="1"/>
      </tp>
      <tp>
        <v>4</v>
        <stp/>
        <stp>VOLUME</stp>
        <stp>.IEMG201120C58</stp>
        <tr r="F259" s="1"/>
      </tp>
      <tp>
        <v>0</v>
        <stp/>
        <stp>VOLUME</stp>
        <stp>.IEMG201120C57</stp>
        <tr r="F257" s="1"/>
      </tp>
      <tp t="s">
        <v>N/A</v>
        <stp/>
        <stp>LOW</stp>
        <stp>.PXH201120C19</stp>
        <tr r="K458" s="1"/>
      </tp>
      <tp>
        <v>0</v>
        <stp/>
        <stp>BID</stp>
        <stp>.PXH201120P19</stp>
        <tr r="H459" s="1"/>
      </tp>
      <tp t="s">
        <v>N/A</v>
        <stp/>
        <stp>ASK</stp>
        <stp>.EWL201120P43</stp>
        <tr r="I144" s="1"/>
      </tp>
      <tp>
        <v>0.7</v>
        <stp/>
        <stp>ASK</stp>
        <stp>.EWI201120P27</stp>
        <tr r="I134" s="1"/>
      </tp>
      <tp t="s">
        <v>N/A</v>
        <stp/>
        <stp>ASK</stp>
        <stp>.VWO201120P47</stp>
        <tr r="I752" s="1"/>
      </tp>
      <tp t="s">
        <v>N/A</v>
        <stp/>
        <stp>STRIKE</stp>
        <stp>KWEB</stp>
        <tr r="W397" s="1"/>
      </tp>
      <tp t="s">
        <v>N/A</v>
        <stp/>
        <stp>ASK</stp>
        <stp>.EWH201120P24</stp>
        <tr r="I131" s="1"/>
      </tp>
      <tp t="s">
        <v>N/A</v>
        <stp/>
        <stp>BID</stp>
        <stp>.PXH201120P20</stp>
        <tr r="H461" s="1"/>
      </tp>
      <tp t="s">
        <v>N/A</v>
        <stp/>
        <stp>LOW</stp>
        <stp>.PXH201120C20</stp>
        <tr r="K460" s="1"/>
      </tp>
      <tp t="s">
        <v>N/A</v>
        <stp/>
        <stp>DESCRIPTION</stp>
        <stp>.TBT201120C17</stp>
        <tr r="B684" s="1"/>
      </tp>
      <tp>
        <v>0.62</v>
        <stp/>
        <stp>BID</stp>
        <stp>.FXI201120P47</stp>
        <tr r="H190" s="1"/>
      </tp>
      <tp>
        <v>0.25</v>
        <stp/>
        <stp>LOW</stp>
        <stp>.FXI201120C48</stp>
        <tr r="K193" s="1"/>
      </tp>
      <tp>
        <v>0.62</v>
        <stp/>
        <stp>LOW</stp>
        <stp>.FXI201120C47</stp>
        <tr r="K189" s="1"/>
      </tp>
      <tp>
        <v>1.2</v>
        <stp/>
        <stp>BID</stp>
        <stp>.FXI201120P48</stp>
        <tr r="H194" s="1"/>
      </tp>
      <tp t="s">
        <v>N/A</v>
        <stp/>
        <stp>ASK</stp>
        <stp>.EWJ201120P64</stp>
        <tr r="I141" s="1"/>
      </tp>
      <tp t="s">
        <v>N/A</v>
        <stp/>
        <stp>ASK</stp>
        <stp>.EWJ201120P63</stp>
        <tr r="I137" s="1"/>
      </tp>
      <tp>
        <v>0.3</v>
        <stp/>
        <stp>ASK</stp>
        <stp>.RWM201120P29</stp>
        <tr r="I519" s="1"/>
      </tp>
      <tp>
        <v>2177214</v>
        <stp/>
        <stp>VOLUME</stp>
        <stp>MTUM</stp>
        <tr r="F426" s="1"/>
      </tp>
      <tp t="s">
        <v>N/A</v>
        <stp/>
        <stp>ASK</stp>
        <stp>.EWC201120P29</stp>
        <tr r="I125" s="1"/>
      </tp>
      <tp t="s">
        <v>N/A</v>
        <stp/>
        <stp>ASK</stp>
        <stp>.EWA201120P22</stp>
        <tr r="I122" s="1"/>
      </tp>
      <tp>
        <v>0.3</v>
        <stp/>
        <stp>BID</stp>
        <stp>.DXD201120P14</stp>
        <tr r="H93" s="1"/>
      </tp>
      <tp>
        <v>0.25</v>
        <stp/>
        <stp>LOW</stp>
        <stp>.DXD201120C14</stp>
        <tr r="K92" s="1"/>
      </tp>
      <tp t="s">
        <v>N/A</v>
        <stp/>
        <stp>ASK</stp>
        <stp>.EWG201120P30</stp>
        <tr r="I128" s="1"/>
      </tp>
      <tp t="s">
        <v>N/A</v>
        <stp/>
        <stp>RHO</stp>
        <stp>.SSO201120P84</stp>
        <tr r="Q656" s="1"/>
      </tp>
      <tp t="s">
        <v>N/A</v>
        <stp/>
        <stp>RHO</stp>
        <stp>.SSO201120P83</stp>
        <tr r="Q652" s="1"/>
      </tp>
      <tp t="s">
        <v>N/A</v>
        <stp/>
        <stp>RHO</stp>
        <stp>.SSO201120P82</stp>
        <tr r="Q648" s="1"/>
      </tp>
      <tp t="s">
        <v>N/A</v>
        <stp/>
        <stp>RHO</stp>
        <stp>.SSO201120P81</stp>
        <tr r="Q644" s="1"/>
      </tp>
      <tp>
        <v>1.55</v>
        <stp/>
        <stp>ASK</stp>
        <stp>.EWZ201120P32</stp>
        <tr r="I176" s="1"/>
      </tp>
      <tp t="s">
        <v>N/A</v>
        <stp/>
        <stp>DESCRIPTION</stp>
        <stp>.KBE201120C38</stp>
        <tr r="B386" s="1"/>
      </tp>
      <tp t="s">
        <v>N/A</v>
        <stp/>
        <stp>DESCRIPTION</stp>
        <stp>.TBF201120C16</stp>
        <tr r="B681" s="1"/>
      </tp>
      <tp>
        <v>1210661</v>
        <stp/>
        <stp>VOLUME</stp>
        <stp>ITOT</stp>
        <tr r="F297" s="1"/>
      </tp>
      <tp>
        <v>1.19</v>
        <stp/>
        <stp>ASK</stp>
        <stp>.GDX201120C37</stp>
        <tr r="I198" s="1"/>
      </tp>
      <tp t="s">
        <v>N/A</v>
        <stp/>
        <stp>RHO</stp>
        <stp>.RSX201120P22</stp>
        <tr r="Q514" s="1"/>
      </tp>
      <tp t="s">
        <v>N/A</v>
        <stp/>
        <stp>ASK</stp>
        <stp>.EWY201120P72</stp>
        <tr r="I165" s="1"/>
      </tp>
      <tp t="s">
        <v>N/A</v>
        <stp/>
        <stp>ASK</stp>
        <stp>.EWY201120P73</stp>
        <tr r="I169" s="1"/>
      </tp>
      <tp>
        <v>0.65</v>
        <stp/>
        <stp>ASK</stp>
        <stp>.EWT201120P48</stp>
        <tr r="I150" s="1"/>
      </tp>
      <tp>
        <v>0.43</v>
        <stp/>
        <stp>ASK</stp>
        <stp>.SDS201120C14</stp>
        <tr r="I540" s="1"/>
      </tp>
      <tp t="s">
        <v>N/A</v>
        <stp/>
        <stp>ASK</stp>
        <stp>.EWP201120P26</stp>
        <tr r="I147" s="1"/>
      </tp>
      <tp>
        <v>1.25</v>
        <stp/>
        <stp>ASK</stp>
        <stp>.EWW201120P39</stp>
        <tr r="I158" s="1"/>
      </tp>
      <tp t="s">
        <v>N/A</v>
        <stp/>
        <stp>PUT_CALL_RATIO</stp>
        <stp>.TAN201120P75.5</stp>
        <tr r="C673" s="1"/>
      </tp>
      <tp t="s">
        <v>N/A</v>
        <stp/>
        <stp>PUT_CALL_RATIO</stp>
        <stp>.TAN201120C75.5</stp>
        <tr r="C672" s="1"/>
      </tp>
      <tp t="s">
        <v>33.09%</v>
        <stp/>
        <stp>IMPL_VOL</stp>
        <stp>XRT</stp>
        <tr r="D902" s="1"/>
      </tp>
      <tp t="s">
        <v>N/A</v>
        <stp/>
        <stp>PUT_CALL_RATIO</stp>
        <stp>.XHB201120P55.5</stp>
        <tr r="C784" s="1"/>
      </tp>
      <tp t="s">
        <v>N/A</v>
        <stp/>
        <stp>STRIKE</stp>
        <stp>.EWY201120P73.5</stp>
        <tr r="W171" s="1"/>
      </tp>
      <tp t="s">
        <v>N/A</v>
        <stp/>
        <stp>STRIKE</stp>
        <stp>.EWJ201120P63.5</stp>
        <tr r="W139" s="1"/>
      </tp>
      <tp t="s">
        <v>N/A</v>
        <stp/>
        <stp>PUT_CALL_RATIO</stp>
        <stp>.XLI201120P85.5</stp>
        <tr r="C821" s="1"/>
      </tp>
      <tp t="s">
        <v>N/A</v>
        <stp/>
        <stp>PUT_CALL_RATIO</stp>
        <stp>.XRT201120C55.5</stp>
        <tr r="C909" s="1"/>
      </tp>
      <tp t="s">
        <v>N/A</v>
        <stp/>
        <stp>PUT_CALL_RATIO</stp>
        <stp>.XHB201120C55.5</stp>
        <tr r="C783" s="1"/>
      </tp>
      <tp t="s">
        <v>N/A</v>
        <stp/>
        <stp>PUT_CALL_RATIO</stp>
        <stp>.XLI201120C85.5</stp>
        <tr r="C820" s="1"/>
      </tp>
      <tp t="s">
        <v>N/A</v>
        <stp/>
        <stp>STRIKE</stp>
        <stp>.EWY201120C73.5</stp>
        <tr r="W170" s="1"/>
      </tp>
      <tp t="s">
        <v>N/A</v>
        <stp/>
        <stp>STRIKE</stp>
        <stp>.EWJ201120C63.5</stp>
        <tr r="W138" s="1"/>
      </tp>
      <tp t="s">
        <v>N/A</v>
        <stp/>
        <stp>PUT_CALL_RATIO</stp>
        <stp>.XRT201120P55.5</stp>
        <tr r="C910" s="1"/>
      </tp>
      <tp t="s">
        <v>N/A</v>
        <stp/>
        <stp>OPEN_INT</stp>
        <stp>.ASHR201120P37.5</stp>
        <tr r="G45" s="1"/>
      </tp>
      <tp t="s">
        <v>N/A</v>
        <stp/>
        <stp>OPEN_INT</stp>
        <stp>.ASHR201120C37.5</stp>
        <tr r="G44" s="1"/>
      </tp>
      <tp t="s">
        <v>N/A</v>
        <stp/>
        <stp>PROB_OF_TOUCHING</stp>
        <stp>XRT</stp>
        <tr r="V902" s="1"/>
      </tp>
      <tp t="s">
        <v>N/A</v>
        <stp/>
        <stp>EXTRINSIC</stp>
        <stp>.VCLT201120P107</stp>
        <tr r="S706" s="1"/>
      </tp>
      <tp t="s">
        <v>N/A</v>
        <stp/>
        <stp>EXTRINSIC</stp>
        <stp>.VCLT201120C107</stp>
        <tr r="S705" s="1"/>
      </tp>
      <tp t="s">
        <v>N/A</v>
        <stp/>
        <stp>INTRINSIC</stp>
        <stp>.VCLT201120C107</stp>
        <tr r="R705" s="1"/>
      </tp>
      <tp t="s">
        <v>N/A</v>
        <stp/>
        <stp>INTRINSIC</stp>
        <stp>.VCLT201120P107</stp>
        <tr r="R706" s="1"/>
      </tp>
      <tp t="s">
        <v>N/A</v>
        <stp/>
        <stp>PROB_OF_TOUCHING</stp>
        <stp>XHB</stp>
        <tr r="V780" s="1"/>
      </tp>
      <tp t="s">
        <v>33.61%</v>
        <stp/>
        <stp>IMPL_VOL</stp>
        <stp>XBI</stp>
        <tr r="D763" s="1"/>
      </tp>
      <tp t="s">
        <v>N/A</v>
        <stp/>
        <stp>PROB_OF_TOUCHING</stp>
        <stp>XOP</stp>
        <tr r="V889" s="1"/>
      </tp>
      <tp t="s">
        <v>N/A</v>
        <stp/>
        <stp>STRIKE</stp>
        <stp>.XLC201120C63.5</stp>
        <tr r="W799" s="1"/>
      </tp>
      <tp t="s">
        <v>N/A</v>
        <stp/>
        <stp>STRIKE</stp>
        <stp>.XLE201120C33.5</stp>
        <tr r="W804" s="1"/>
      </tp>
      <tp t="s">
        <v>N/A</v>
        <stp/>
        <stp>STRIKE</stp>
        <stp>.XLC201120P63.5</stp>
        <tr r="W800" s="1"/>
      </tp>
      <tp t="s">
        <v>N/A</v>
        <stp/>
        <stp>STRIKE</stp>
        <stp>.XLE201120P33.5</stp>
        <tr r="W805" s="1"/>
      </tp>
      <tp t="s">
        <v>N/A</v>
        <stp/>
        <stp>PROB_OF_TOUCHING</stp>
        <stp>XME</stp>
        <tr r="V884" s="1"/>
      </tp>
      <tp t="s">
        <v>N/A</v>
        <stp/>
        <stp>PROB_OF_TOUCHING</stp>
        <stp>XLK</stp>
        <tr r="V824" s="1"/>
      </tp>
      <tp t="s">
        <v>N/A</v>
        <stp/>
        <stp>PROB_OF_TOUCHING</stp>
        <stp>XLI</stp>
        <tr r="V813" s="1"/>
      </tp>
      <tp t="s">
        <v>N/A</v>
        <stp/>
        <stp>PROB_OF_TOUCHING</stp>
        <stp>XLF</stp>
        <tr r="V810" s="1"/>
      </tp>
      <tp t="s">
        <v>N/A</v>
        <stp/>
        <stp>PROB_OF_TOUCHING</stp>
        <stp>XLE</stp>
        <tr r="V803" s="1"/>
      </tp>
      <tp t="s">
        <v>N/A</v>
        <stp/>
        <stp>PROB_OF_TOUCHING</stp>
        <stp>XLC</stp>
        <tr r="V796" s="1"/>
      </tp>
      <tp t="s">
        <v>N/A</v>
        <stp/>
        <stp>PROB_OF_TOUCHING</stp>
        <stp>XLB</stp>
        <tr r="V787" s="1"/>
      </tp>
      <tp t="s">
        <v>N/A</v>
        <stp/>
        <stp>PROB_OF_TOUCHING</stp>
        <stp>XLY</stp>
        <tr r="V867" s="1"/>
      </tp>
      <tp t="s">
        <v>N/A</v>
        <stp/>
        <stp>PROB_OF_TOUCHING</stp>
        <stp>XLV</stp>
        <tr r="V856" s="1"/>
      </tp>
      <tp t="s">
        <v>N/A</v>
        <stp/>
        <stp>PROB_OF_TOUCHING</stp>
        <stp>XLU</stp>
        <tr r="V849" s="1"/>
      </tp>
      <tp t="s">
        <v>N/A</v>
        <stp/>
        <stp>PROB_OF_TOUCHING</stp>
        <stp>XLP</stp>
        <tr r="V841" s="1"/>
      </tp>
      <tp t="s">
        <v>N/A</v>
        <stp/>
        <stp>PUT_CALL_RATIO</stp>
        <stp>.HYG201120C85.5</stp>
        <tr r="C221" s="1"/>
      </tp>
      <tp t="s">
        <v>N/A</v>
        <stp/>
        <stp>PUT_CALL_RATIO</stp>
        <stp>.HYG201120P85.5</stp>
        <tr r="C222" s="1"/>
      </tp>
      <tp t="s">
        <v>N/A</v>
        <stp/>
        <stp>PUT_CALL_RATIO</stp>
        <stp>.IYR201120C85.5</stp>
        <tr r="C373" s="1"/>
      </tp>
      <tp t="s">
        <v>N/A</v>
        <stp/>
        <stp>STRIKE</stp>
        <stp>.TAN201120C73.5</stp>
        <tr r="W664" s="1"/>
      </tp>
      <tp t="s">
        <v>N/A</v>
        <stp/>
        <stp>PUT_CALL_RATIO</stp>
        <stp>.ITB201120C55.5</stp>
        <tr r="C293" s="1"/>
      </tp>
      <tp t="s">
        <v>N/A</v>
        <stp/>
        <stp>PUT_CALL_RATIO</stp>
        <stp>.IYR201120P85.5</stp>
        <tr r="C374" s="1"/>
      </tp>
      <tp t="s">
        <v>N/A</v>
        <stp/>
        <stp>STRIKE</stp>
        <stp>.TAN201120P73.5</stp>
        <tr r="W665" s="1"/>
      </tp>
      <tp t="s">
        <v>N/A</v>
        <stp/>
        <stp>PUT_CALL_RATIO</stp>
        <stp>.ITB201120P55.5</stp>
        <tr r="C294" s="1"/>
      </tp>
      <tp t="s">
        <v>N/A</v>
        <stp/>
        <stp>PROB_OF_TOUCHING</stp>
        <stp>XBI</stp>
        <tr r="V763" s="1"/>
      </tp>
      <tp t="s">
        <v>58.46%</v>
        <stp/>
        <stp>IMPL_VOL</stp>
        <stp>XOP</stp>
        <tr r="D889" s="1"/>
      </tp>
      <tp t="s">
        <v>31.91%</v>
        <stp/>
        <stp>IMPL_VOL</stp>
        <stp>XLK</stp>
        <tr r="D824" s="1"/>
      </tp>
      <tp t="s">
        <v>29.39%</v>
        <stp/>
        <stp>IMPL_VOL</stp>
        <stp>XLI</stp>
        <tr r="D813" s="1"/>
      </tp>
      <tp t="s">
        <v>32.05%</v>
        <stp/>
        <stp>IMPL_VOL</stp>
        <stp>XLF</stp>
        <tr r="D810" s="1"/>
      </tp>
      <tp t="s">
        <v>48.16%</v>
        <stp/>
        <stp>IMPL_VOL</stp>
        <stp>XLE</stp>
        <tr r="D803" s="1"/>
      </tp>
      <tp t="s">
        <v>27.21%</v>
        <stp/>
        <stp>IMPL_VOL</stp>
        <stp>XLB</stp>
        <tr r="D787" s="1"/>
      </tp>
      <tp t="s">
        <v>41.28%</v>
        <stp/>
        <stp>IMPL_VOL</stp>
        <stp>XLC</stp>
        <tr r="D796" s="1"/>
      </tp>
      <tp t="s">
        <v>26.13%</v>
        <stp/>
        <stp>IMPL_VOL</stp>
        <stp>XLY</stp>
        <tr r="D867" s="1"/>
      </tp>
      <tp t="s">
        <v>21.05%</v>
        <stp/>
        <stp>IMPL_VOL</stp>
        <stp>XLV</stp>
        <tr r="D856" s="1"/>
      </tp>
      <tp t="s">
        <v>20.74%</v>
        <stp/>
        <stp>IMPL_VOL</stp>
        <stp>XLU</stp>
        <tr r="D849" s="1"/>
      </tp>
      <tp t="s">
        <v>18.32%</v>
        <stp/>
        <stp>IMPL_VOL</stp>
        <stp>XLP</stp>
        <tr r="D841" s="1"/>
      </tp>
      <tp t="s">
        <v>38.34%</v>
        <stp/>
        <stp>IMPL_VOL</stp>
        <stp>XME</stp>
        <tr r="D884" s="1"/>
      </tp>
      <tp t="s">
        <v>N/A</v>
        <stp/>
        <stp>STRIKE</stp>
        <stp>.SSO201120P83.5</stp>
        <tr r="W654" s="1"/>
      </tp>
      <tp t="s">
        <v>N/A</v>
        <stp/>
        <stp>STRIKE</stp>
        <stp>.SDS201120C13.5</stp>
        <tr r="W538" s="1"/>
      </tp>
      <tp t="s">
        <v>N/A</v>
        <stp/>
        <stp>STRIKE</stp>
        <stp>.SSO201120C83.5</stp>
        <tr r="W653" s="1"/>
      </tp>
      <tp t="s">
        <v>N/A</v>
        <stp/>
        <stp>STRIKE</stp>
        <stp>.SDS201120P13.5</stp>
        <tr r="W539" s="1"/>
      </tp>
      <tp t="s">
        <v>28.35%</v>
        <stp/>
        <stp>IMPL_VOL</stp>
        <stp>XHB</stp>
        <tr r="D780" s="1"/>
      </tp>
      <tp>
        <v>85.92</v>
        <stp/>
        <stp>LAST</stp>
        <stp>VT</stp>
        <tr r="E734" s="1"/>
      </tp>
      <tp t="s">
        <v>N/A</v>
        <stp/>
        <stp>INTRINSIC</stp>
        <stp>AAXJ</stp>
        <tr r="R2" s="1"/>
      </tp>
      <tp t="s">
        <v>N/A</v>
        <stp/>
        <stp>PROB_OTM</stp>
        <stp>.SMH201120P194.5</stp>
        <tr r="U561" s="1"/>
      </tp>
      <tp t="s">
        <v>N/A</v>
        <stp/>
        <stp>IMPL_VOL</stp>
        <stp>.QQQ201120C292.5</stp>
        <tr r="D492" s="1"/>
      </tp>
      <tp t="s">
        <v>N/A</v>
        <stp/>
        <stp>PROB_OTM</stp>
        <stp>.IVW201120P61.25</stp>
        <tr r="U332" s="1"/>
      </tp>
      <tp>
        <v>19.16</v>
        <stp/>
        <stp>LAST</stp>
        <stp>SH</stp>
        <tr r="E542" s="1"/>
      </tp>
      <tp t="s">
        <v>N/A</v>
        <stp/>
        <stp>PROB_OF_EXPIRING</stp>
        <stp>.XLY201120P153.5</stp>
        <tr r="T877" s="1"/>
      </tp>
      <tp t="s">
        <v>N/A</v>
        <stp/>
        <stp>PROB_OF_EXPIRING</stp>
        <stp>.SMH201120P198.5</stp>
        <tr r="T577" s="1"/>
      </tp>
      <tp t="s">
        <v>N/A</v>
        <stp/>
        <stp>PROB_OF_EXPIRING</stp>
        <stp>.XBI201120P123.5</stp>
        <tr r="T771" s="1"/>
      </tp>
      <tp t="s">
        <v>N/A</v>
        <stp/>
        <stp>EXTRINSIC</stp>
        <stp>AAXJ</stp>
        <tr r="S2" s="1"/>
      </tp>
      <tp t="s">
        <v>N/A</v>
        <stp/>
        <stp>PROB_OTM</stp>
        <stp>.SMH201120C194.5</stp>
        <tr r="U560" s="1"/>
      </tp>
      <tp t="s">
        <v>N/A</v>
        <stp/>
        <stp>IMPL_VOL</stp>
        <stp>.QQQ201120P292.5</stp>
        <tr r="D493" s="1"/>
      </tp>
      <tp t="s">
        <v>N/A</v>
        <stp/>
        <stp>OPEN_INT</stp>
        <stp>.RSP201120P118</stp>
        <tr r="G507" s="1"/>
      </tp>
      <tp t="s">
        <v>N/A</v>
        <stp/>
        <stp>OPEN_INT</stp>
        <stp>.RSP201120C118</stp>
        <tr r="G506" s="1"/>
      </tp>
      <tp t="s">
        <v>N/A</v>
        <stp/>
        <stp>OPEN_INT</stp>
        <stp>.RSP201120P119</stp>
        <tr r="G509" s="1"/>
      </tp>
      <tp t="s">
        <v>N/A</v>
        <stp/>
        <stp>OPEN_INT</stp>
        <stp>.RSP201120C119</stp>
        <tr r="G508" s="1"/>
      </tp>
      <tp t="s">
        <v>N/A</v>
        <stp/>
        <stp>INTRINSIC</stp>
        <stp>NAIL</stp>
        <tr r="R438" s="1"/>
      </tp>
      <tp t="s">
        <v>N/A</v>
        <stp/>
        <stp>OPEN_INT</stp>
        <stp>.RSP201120P120</stp>
        <tr r="G511" s="1"/>
      </tp>
      <tp>
        <v>348</v>
        <stp/>
        <stp>OPEN_INT</stp>
        <stp>.RSP201120C120</stp>
        <tr r="G510" s="1"/>
      </tp>
      <tp>
        <v>222</v>
        <stp/>
        <stp>OPEN_INT</stp>
        <stp>.TIP201120C125</stp>
        <tr r="G687" s="1"/>
      </tp>
      <tp t="s">
        <v>N/A</v>
        <stp/>
        <stp>OPEN_INT</stp>
        <stp>.TIP201120P125</stp>
        <tr r="G688" s="1"/>
      </tp>
      <tp t="s">
        <v>N/A</v>
        <stp/>
        <stp>IMPL_VOL</stp>
        <stp>.XLV201120P112</stp>
        <tr r="D866" s="1"/>
      </tp>
      <tp t="s">
        <v>N/A</v>
        <stp/>
        <stp>IMPL_VOL</stp>
        <stp>.XLV201120C112</stp>
        <tr r="D865" s="1"/>
      </tp>
      <tp t="s">
        <v>N/A</v>
        <stp/>
        <stp>IMPL_VOL</stp>
        <stp>.XLV201120P110</stp>
        <tr r="D858" s="1"/>
      </tp>
      <tp t="s">
        <v>N/A</v>
        <stp/>
        <stp>IMPL_VOL</stp>
        <stp>.XLV201120C110</stp>
        <tr r="D857" s="1"/>
      </tp>
      <tp t="s">
        <v>N/A</v>
        <stp/>
        <stp>IMPL_VOL</stp>
        <stp>.XLV201120P111</stp>
        <tr r="D862" s="1"/>
      </tp>
      <tp t="s">
        <v>N/A</v>
        <stp/>
        <stp>IMPL_VOL</stp>
        <stp>.XLV201120C111</stp>
        <tr r="D861" s="1"/>
      </tp>
      <tp t="s">
        <v>N/A</v>
        <stp/>
        <stp>PROB_OF_EXPIRING</stp>
        <stp>.SMH201120C198.5</stp>
        <tr r="T576" s="1"/>
      </tp>
      <tp t="s">
        <v>N/A</v>
        <stp/>
        <stp>PROB_OF_EXPIRING</stp>
        <stp>.XLY201120C153.5</stp>
        <tr r="T876" s="1"/>
      </tp>
      <tp t="s">
        <v>N/A</v>
        <stp/>
        <stp>PROB_OTM</stp>
        <stp>.IVW201120C61.25</stp>
        <tr r="U331" s="1"/>
      </tp>
      <tp>
        <v>12.8</v>
        <stp/>
        <stp>LAST</stp>
        <stp>MJ</stp>
        <tr r="E423" s="1"/>
      </tp>
      <tp t="s">
        <v>N/A</v>
        <stp/>
        <stp>PROB_OF_EXPIRING</stp>
        <stp>.XBI201120C123.5</stp>
        <tr r="T770" s="1"/>
      </tp>
      <tp t="s">
        <v>N/A</v>
        <stp/>
        <stp>EXTRINSIC</stp>
        <stp>NAIL</stp>
        <tr r="S438" s="1"/>
      </tp>
      <tp t="s">
        <v>N/A</v>
        <stp/>
        <stp>STRIKE</stp>
        <stp>.XLRE201120C37</stp>
        <tr r="W847" s="1"/>
      </tp>
      <tp t="s">
        <v>N/A</v>
        <stp/>
        <stp>RHO</stp>
        <stp>.SSO201120P82.5</stp>
        <tr r="Q650" s="1"/>
      </tp>
      <tp t="s">
        <v>N/A</v>
        <stp/>
        <stp>RHO</stp>
        <stp>.SSO201120C82.5</stp>
        <tr r="Q649" s="1"/>
      </tp>
      <tp t="s">
        <v>N/A</v>
        <stp/>
        <stp>PUT_CALL_RATIO</stp>
        <stp>.SPYG201120C53</stp>
        <tr r="C632" s="1"/>
      </tp>
      <tp t="s">
        <v>N/A</v>
        <stp/>
        <stp>PUT_CALL_RATIO</stp>
        <stp>.SPYG201120C52</stp>
        <tr r="C630" s="1"/>
      </tp>
      <tp t="s">
        <v>N/A</v>
        <stp/>
        <stp>RHO</stp>
        <stp>.RSX201120P22.5</stp>
        <tr r="Q516" s="1"/>
      </tp>
      <tp t="s">
        <v>N/A</v>
        <stp/>
        <stp>RHO</stp>
        <stp>.RSX201120C22.5</stp>
        <tr r="Q515" s="1"/>
      </tp>
      <tp t="s">
        <v>N/A</v>
        <stp/>
        <stp>PUT_CALL_RATIO</stp>
        <stp>.SHYG201120C45</stp>
        <tr r="C549" s="1"/>
      </tp>
      <tp t="s">
        <v>N/A</v>
        <stp/>
        <stp>RHO</stp>
        <stp>.TAN201120C72.5</stp>
        <tr r="Q660" s="1"/>
      </tp>
      <tp t="s">
        <v>N/A</v>
        <stp/>
        <stp>RHO</stp>
        <stp>.TAN201120P72.5</stp>
        <tr r="Q661" s="1"/>
      </tp>
      <tp t="s">
        <v>N/A</v>
        <stp/>
        <stp>VOLUME</stp>
        <stp>.AMLP201120C23</stp>
        <tr r="F19" s="1"/>
      </tp>
      <tp t="s">
        <v>N/A</v>
        <stp/>
        <stp>VOLUME</stp>
        <stp>.AMLP201120C24</stp>
        <tr r="F23" s="1"/>
      </tp>
      <tp t="s">
        <v>N/A</v>
        <stp/>
        <stp>VOLUME</stp>
        <stp>.SPLV201120C55</stp>
        <tr r="F588" s="1"/>
      </tp>
      <tp t="s">
        <v>N/A</v>
        <stp/>
        <stp>STRIKE</stp>
        <stp>.DGRO201120C43</stp>
        <tr r="W60" s="1"/>
      </tp>
      <tp t="s">
        <v>N/A</v>
        <stp/>
        <stp>RHO</stp>
        <stp>.EWY201120P72.5</stp>
        <tr r="Q167" s="1"/>
      </tp>
      <tp t="s">
        <v>N/A</v>
        <stp/>
        <stp>RHO</stp>
        <stp>.EWY201120C72.5</stp>
        <tr r="Q166" s="1"/>
      </tp>
      <tp t="s">
        <v>N/A</v>
        <stp/>
        <stp>PUT_CALL_RATIO</stp>
        <stp>.SPYV201120C33</stp>
        <tr r="C635" s="1"/>
      </tp>
      <tp t="s">
        <v>N/A</v>
        <stp/>
        <stp>VOLUME</stp>
        <stp>.BKLN201120C22</stp>
        <tr r="F49" s="1"/>
      </tp>
      <tp t="s">
        <v>N/A</v>
        <stp/>
        <stp>VOLUME</stp>
        <stp>.ICLN201120C22</stp>
        <tr r="F246" s="1"/>
      </tp>
      <tp t="s">
        <v>N/A</v>
        <stp/>
        <stp>VOLUME</stp>
        <stp>.SPLG201120C42</stp>
        <tr r="F585" s="1"/>
      </tp>
      <tp>
        <v>0</v>
        <stp/>
        <stp>VOLUME</stp>
        <stp>.EMLC201120C32</stp>
        <tr r="F115" s="1"/>
      </tp>
      <tp t="s">
        <v>N/A</v>
        <stp/>
        <stp>VOLUME</stp>
        <stp>.HYLB201120C49</stp>
        <tr r="F226" s="1"/>
      </tp>
      <tp>
        <v>0.45</v>
        <stp/>
        <stp>ASK</stp>
        <stp>.EEM201120C48</stp>
        <tr r="I97" s="1"/>
      </tp>
      <tp t="s">
        <v>N/A</v>
        <stp/>
        <stp>RHO</stp>
        <stp>.TAN201120C77</stp>
        <tr r="Q678" s="1"/>
      </tp>
      <tp t="s">
        <v>N/A</v>
        <stp/>
        <stp>RHO</stp>
        <stp>.TAN201120C76</stp>
        <tr r="Q674" s="1"/>
      </tp>
      <tp t="s">
        <v>N/A</v>
        <stp/>
        <stp>RHO</stp>
        <stp>.TAN201120C75</stp>
        <tr r="Q670" s="1"/>
      </tp>
      <tp t="s">
        <v>N/A</v>
        <stp/>
        <stp>RHO</stp>
        <stp>.TAN201120C74</stp>
        <tr r="Q666" s="1"/>
      </tp>
      <tp t="s">
        <v>N/A</v>
        <stp/>
        <stp>RHO</stp>
        <stp>.TAN201120C73</stp>
        <tr r="Q662" s="1"/>
      </tp>
      <tp>
        <v>1</v>
        <stp/>
        <stp>BID</stp>
        <stp>.HYG201120P86</stp>
        <tr r="H224" s="1"/>
      </tp>
      <tp>
        <v>0.15</v>
        <stp/>
        <stp>LOW</stp>
        <stp>.HYG201120C86</stp>
        <tr r="K223" s="1"/>
      </tp>
      <tp t="s">
        <v>N/A</v>
        <stp/>
        <stp>RHO</stp>
        <stp>.KRE201120P47</stp>
        <tr r="Q394" s="1"/>
      </tp>
      <tp t="s">
        <v>N/A</v>
        <stp/>
        <stp>RHO</stp>
        <stp>.KRE201120P46</stp>
        <tr r="Q390" s="1"/>
      </tp>
      <tp t="s">
        <v>N/A</v>
        <stp/>
        <stp>DESCRIPTION</stp>
        <stp>.SCZ201120C63</stp>
        <tr r="B535" s="1"/>
      </tp>
      <tp t="s">
        <v>N/A</v>
        <stp/>
        <stp>BID</stp>
        <stp>.VYM201120P87</stp>
        <tr r="H760" s="1"/>
      </tp>
      <tp>
        <v>0.45</v>
        <stp/>
        <stp>ASK</stp>
        <stp>.VEA201120C44</stp>
        <tr r="I708" s="1"/>
      </tp>
      <tp t="s">
        <v>N/A</v>
        <stp/>
        <stp>LOW</stp>
        <stp>.VYM201120C88</stp>
        <tr r="K761" s="1"/>
      </tp>
      <tp t="s">
        <v>N/A</v>
        <stp/>
        <stp>LOW</stp>
        <stp>.VYM201120C87</stp>
        <tr r="K759" s="1"/>
      </tp>
      <tp t="s">
        <v>N/A</v>
        <stp/>
        <stp>BID</stp>
        <stp>.VYM201120P88</stp>
        <tr r="H762" s="1"/>
      </tp>
      <tp>
        <v>0</v>
        <stp/>
        <stp>LOW</stp>
        <stp>.IYE201120C18</stp>
        <tr r="K364" s="1"/>
      </tp>
      <tp t="s">
        <v>N/A</v>
        <stp/>
        <stp>BID</stp>
        <stp>.IYE201120P18</stp>
        <tr r="H365" s="1"/>
      </tp>
      <tp>
        <v>4585965</v>
        <stp/>
        <stp>VOLUME</stp>
        <stp>GUSH</stp>
        <tr r="F213" s="1"/>
      </tp>
      <tp t="s">
        <v>N/A</v>
        <stp/>
        <stp>ASK</stp>
        <stp>.FVD201120P35</stp>
        <tr r="I187" s="1"/>
      </tp>
      <tp>
        <v>46.817999999999998</v>
        <stp/>
        <stp>PUT_CALL_RATIO</stp>
        <stp>BKLN</stp>
        <tr r="C48" s="1"/>
      </tp>
      <tp>
        <v>1.69</v>
        <stp/>
        <stp>BID</stp>
        <stp>.IYR201120P85</stp>
        <tr r="H372" s="1"/>
      </tp>
      <tp t="s">
        <v>N/A</v>
        <stp/>
        <stp>BID</stp>
        <stp>.IYR201120P84</stp>
        <tr r="H368" s="1"/>
      </tp>
      <tp t="s">
        <v>N/A</v>
        <stp/>
        <stp>BID</stp>
        <stp>.IJR201120C80</stp>
        <tr r="H275" s="1"/>
      </tp>
      <tp t="s">
        <v>N/A</v>
        <stp/>
        <stp>LOW</stp>
        <stp>.IJR201120P80</stp>
        <tr r="K276" s="1"/>
      </tp>
      <tp t="s">
        <v>N/A</v>
        <stp/>
        <stp>LOW</stp>
        <stp>.IYR201120C85</stp>
        <tr r="K371" s="1"/>
      </tp>
      <tp t="s">
        <v>N/A</v>
        <stp/>
        <stp>LOW</stp>
        <stp>.IYR201120C84</stp>
        <tr r="K367" s="1"/>
      </tp>
      <tp t="s">
        <v>N/A</v>
        <stp/>
        <stp>ASK</stp>
        <stp>.FEZ201120C40</stp>
        <tr r="I183" s="1"/>
      </tp>
      <tp t="s">
        <v>N/A</v>
        <stp/>
        <stp>RHO</stp>
        <stp>.XRT201120P55</stp>
        <tr r="Q908" s="1"/>
      </tp>
      <tp t="s">
        <v>N/A</v>
        <stp/>
        <stp>RHO</stp>
        <stp>.XRT201120P54</stp>
        <tr r="Q904" s="1"/>
      </tp>
      <tp>
        <v>0.9</v>
        <stp/>
        <stp>ASK</stp>
        <stp>.VEU201120C55</stp>
        <tr r="I711" s="1"/>
      </tp>
      <tp t="s">
        <v>N/A</v>
        <stp/>
        <stp>ASK</stp>
        <stp>.DVY201120P91</stp>
        <tr r="I86" s="1"/>
      </tp>
      <tp t="s">
        <v>N/A</v>
        <stp/>
        <stp>ASK</stp>
        <stp>.DVY201120P92</stp>
        <tr r="I88" s="1"/>
      </tp>
      <tp>
        <v>3.8</v>
        <stp/>
        <stp>ASK</stp>
        <stp>.DVY201120P93</stp>
        <tr r="I90" s="1"/>
      </tp>
      <tp>
        <v>1320806</v>
        <stp/>
        <stp>VOLUME</stp>
        <stp>EUFN</stp>
        <tr r="F117" s="1"/>
      </tp>
      <tp>
        <v>3356715</v>
        <stp/>
        <stp>VOLUME</stp>
        <stp>QUAL</stp>
        <tr r="F498" s="1"/>
      </tp>
      <tp t="s">
        <v>N/A</v>
        <stp/>
        <stp>PUT_CALL_RATIO</stp>
        <stp>.SSO201120C84.5</stp>
        <tr r="C657" s="1"/>
      </tp>
      <tp t="s">
        <v>N/A</v>
        <stp/>
        <stp>PUT_CALL_RATIO</stp>
        <stp>.SSO201120P84.5</stp>
        <tr r="C658" s="1"/>
      </tp>
      <tp t="s">
        <v>N/A</v>
        <stp/>
        <stp>PUT_CALL_RATIO</stp>
        <stp>.TAN201120P74.5</stp>
        <tr r="C669" s="1"/>
      </tp>
      <tp t="s">
        <v>N/A</v>
        <stp/>
        <stp>PUT_CALL_RATIO</stp>
        <stp>.TAN201120C74.5</stp>
        <tr r="C668" s="1"/>
      </tp>
      <tp t="s">
        <v>N/A</v>
        <stp/>
        <stp>STRIKE</stp>
        <stp>.EWY201120P72.5</stp>
        <tr r="W167" s="1"/>
      </tp>
      <tp t="s">
        <v>N/A</v>
        <stp/>
        <stp>PUT_CALL_RATIO</stp>
        <stp>.XLE201120P34.5</stp>
        <tr r="C809" s="1"/>
      </tp>
      <tp t="s">
        <v>N/A</v>
        <stp/>
        <stp>PUT_CALL_RATIO</stp>
        <stp>.XLI201120P84.5</stp>
        <tr r="C817" s="1"/>
      </tp>
      <tp t="s">
        <v>N/A</v>
        <stp/>
        <stp>PUT_CALL_RATIO</stp>
        <stp>.XRT201120C54.5</stp>
        <tr r="C905" s="1"/>
      </tp>
      <tp t="s">
        <v>N/A</v>
        <stp/>
        <stp>PUT_CALL_RATIO</stp>
        <stp>.XLE201120C34.5</stp>
        <tr r="C808" s="1"/>
      </tp>
      <tp t="s">
        <v>N/A</v>
        <stp/>
        <stp>PUT_CALL_RATIO</stp>
        <stp>.XLI201120C84.5</stp>
        <tr r="C816" s="1"/>
      </tp>
      <tp t="s">
        <v>N/A</v>
        <stp/>
        <stp>STRIKE</stp>
        <stp>.EWY201120C72.5</stp>
        <tr r="W166" s="1"/>
      </tp>
      <tp t="s">
        <v>N/A</v>
        <stp/>
        <stp>PUT_CALL_RATIO</stp>
        <stp>.XRT201120P54.5</stp>
        <tr r="C906" s="1"/>
      </tp>
      <tp t="s">
        <v>N/A</v>
        <stp/>
        <stp>PUT_CALL_RATIO</stp>
        <stp>.IYR201120C84.5</stp>
        <tr r="C369" s="1"/>
      </tp>
      <tp t="s">
        <v>N/A</v>
        <stp/>
        <stp>STRIKE</stp>
        <stp>.TAN201120C72.5</stp>
        <tr r="W660" s="1"/>
      </tp>
      <tp t="s">
        <v>N/A</v>
        <stp/>
        <stp>PUT_CALL_RATIO</stp>
        <stp>.ITB201120C54.5</stp>
        <tr r="C289" s="1"/>
      </tp>
      <tp t="s">
        <v>N/A</v>
        <stp/>
        <stp>PUT_CALL_RATIO</stp>
        <stp>.IYR201120P84.5</stp>
        <tr r="C370" s="1"/>
      </tp>
      <tp t="s">
        <v>N/A</v>
        <stp/>
        <stp>STRIKE</stp>
        <stp>.TAN201120P72.5</stp>
        <tr r="W661" s="1"/>
      </tp>
      <tp t="s">
        <v>N/A</v>
        <stp/>
        <stp>PUT_CALL_RATIO</stp>
        <stp>.ITB201120P54.5</stp>
        <tr r="C290" s="1"/>
      </tp>
      <tp t="s">
        <v>N/A</v>
        <stp/>
        <stp>STRIKE</stp>
        <stp>.SSO201120P82.5</stp>
        <tr r="W650" s="1"/>
      </tp>
      <tp t="s">
        <v>N/A</v>
        <stp/>
        <stp>STRIKE</stp>
        <stp>.SSO201120C82.5</stp>
        <tr r="W649" s="1"/>
      </tp>
      <tp t="s">
        <v>N/A</v>
        <stp/>
        <stp>STRIKE</stp>
        <stp>.RSX201120P22.5</stp>
        <tr r="W516" s="1"/>
      </tp>
      <tp t="s">
        <v>N/A</v>
        <stp/>
        <stp>STRIKE</stp>
        <stp>.RSX201120C22.5</stp>
        <tr r="W515" s="1"/>
      </tp>
      <tp t="s">
        <v>28.69%</v>
        <stp/>
        <stp>PROB_OF_EXPIRING</stp>
        <stp>.SPY201120C359</stp>
        <tr r="T623" s="1"/>
      </tp>
      <tp t="s">
        <v>74.03%</v>
        <stp/>
        <stp>PROB_OF_EXPIRING</stp>
        <stp>.SPY201120P359</stp>
        <tr r="T624" s="1"/>
      </tp>
      <tp t="s">
        <v>20.37%</v>
        <stp/>
        <stp>PROB_OF_EXPIRING</stp>
        <stp>.SPY201118C360</stp>
        <tr r="T605" s="1"/>
      </tp>
      <tp t="s">
        <v>32.42%</v>
        <stp/>
        <stp>PROB_OF_EXPIRING</stp>
        <stp>.SPY201120C358</stp>
        <tr r="T621" s="1"/>
      </tp>
      <tp t="s">
        <v>84.37%</v>
        <stp/>
        <stp>PROB_OF_EXPIRING</stp>
        <stp>.SPY201118P360</stp>
        <tr r="T606" s="1"/>
      </tp>
      <tp t="s">
        <v>69.64%</v>
        <stp/>
        <stp>PROB_OF_EXPIRING</stp>
        <stp>.SPY201120P358</stp>
        <tr r="T622" s="1"/>
      </tp>
      <tp t="s">
        <v>43.65%</v>
        <stp/>
        <stp>PROB_OF_EXPIRING</stp>
        <stp>.SPY201120C355</stp>
        <tr r="T613" s="1"/>
      </tp>
      <tp t="s">
        <v>56.93%</v>
        <stp/>
        <stp>PROB_OF_EXPIRING</stp>
        <stp>.SPY201120P355</stp>
        <tr r="T614" s="1"/>
      </tp>
      <tp t="s">
        <v>47.21%</v>
        <stp/>
        <stp>PROB_OF_EXPIRING</stp>
        <stp>.SPY201120C354</stp>
        <tr r="T611" s="1"/>
      </tp>
      <tp t="s">
        <v>52.95%</v>
        <stp/>
        <stp>PROB_OF_EXPIRING</stp>
        <stp>.SPY201120P354</stp>
        <tr r="T612" s="1"/>
      </tp>
      <tp t="s">
        <v>36.21%</v>
        <stp/>
        <stp>PROB_OF_EXPIRING</stp>
        <stp>.SPY201120C357</stp>
        <tr r="T617" s="1"/>
      </tp>
      <tp t="s">
        <v>65.30%</v>
        <stp/>
        <stp>PROB_OF_EXPIRING</stp>
        <stp>.SPY201120P357</stp>
        <tr r="T618" s="1"/>
      </tp>
      <tp t="s">
        <v>39.96%</v>
        <stp/>
        <stp>PROB_OF_EXPIRING</stp>
        <stp>.SPY201120C356</stp>
        <tr r="T615" s="1"/>
      </tp>
      <tp t="s">
        <v>61.06%</v>
        <stp/>
        <stp>PROB_OF_EXPIRING</stp>
        <stp>.SPY201120P356</stp>
        <tr r="T616" s="1"/>
      </tp>
      <tp t="s">
        <v>50.64%</v>
        <stp/>
        <stp>PROB_OF_EXPIRING</stp>
        <stp>.SPY201120C353</stp>
        <tr r="T609" s="1"/>
      </tp>
      <tp t="s">
        <v>49.17%</v>
        <stp/>
        <stp>PROB_OF_EXPIRING</stp>
        <stp>.SPY201120P353</stp>
        <tr r="T610" s="1"/>
      </tp>
      <tp t="s">
        <v>N/A</v>
        <stp/>
        <stp>PROB_OF_TOUCHING</stp>
        <stp>.XBI201120P125.5</stp>
        <tr r="V779" s="1"/>
      </tp>
      <tp t="s">
        <v>42.58%</v>
        <stp/>
        <stp>PROB_OF_EXPIRING</stp>
        <stp>.SPY201118C355</stp>
        <tr r="T595" s="1"/>
      </tp>
      <tp t="s">
        <v>58.22%</v>
        <stp/>
        <stp>PROB_OF_EXPIRING</stp>
        <stp>.SPY201118P355</stp>
        <tr r="T596" s="1"/>
      </tp>
      <tp t="s">
        <v>46.97%</v>
        <stp/>
        <stp>PROB_OF_EXPIRING</stp>
        <stp>.SPY201118C354</stp>
        <tr r="T593" s="1"/>
      </tp>
      <tp t="s">
        <v>53.27%</v>
        <stp/>
        <stp>PROB_OF_EXPIRING</stp>
        <stp>.SPY201118P354</stp>
        <tr r="T594" s="1"/>
      </tp>
      <tp t="s">
        <v>33.45%</v>
        <stp/>
        <stp>PROB_OF_EXPIRING</stp>
        <stp>.SPY201118C357</stp>
        <tr r="T599" s="1"/>
      </tp>
      <tp t="s">
        <v>68.67%</v>
        <stp/>
        <stp>PROB_OF_EXPIRING</stp>
        <stp>.SPY201118P357</stp>
        <tr r="T600" s="1"/>
      </tp>
      <tp t="s">
        <v>38.05%</v>
        <stp/>
        <stp>PROB_OF_EXPIRING</stp>
        <stp>.SPY201118C356</stp>
        <tr r="T597" s="1"/>
      </tp>
      <tp t="s">
        <v>63.37%</v>
        <stp/>
        <stp>PROB_OF_EXPIRING</stp>
        <stp>.SPY201118P356</stp>
        <tr r="T598" s="1"/>
      </tp>
      <tp t="s">
        <v>51.17%</v>
        <stp/>
        <stp>PROB_OF_EXPIRING</stp>
        <stp>.SPY201118C353</stp>
        <tr r="T591" s="1"/>
      </tp>
      <tp t="s">
        <v>48.58%</v>
        <stp/>
        <stp>PROB_OF_EXPIRING</stp>
        <stp>.SPY201118P353</stp>
        <tr r="T592" s="1"/>
      </tp>
      <tp t="s">
        <v>24.51%</v>
        <stp/>
        <stp>PROB_OF_EXPIRING</stp>
        <stp>.SPY201118C359</stp>
        <tr r="T603" s="1"/>
      </tp>
      <tp t="s">
        <v>21.56%</v>
        <stp/>
        <stp>PROB_OF_EXPIRING</stp>
        <stp>.SPY201120C361</stp>
        <tr r="T627" s="1"/>
      </tp>
      <tp t="s">
        <v>79.29%</v>
        <stp/>
        <stp>PROB_OF_EXPIRING</stp>
        <stp>.SPY201118P359</stp>
        <tr r="T604" s="1"/>
      </tp>
      <tp t="s">
        <v>82.56%</v>
        <stp/>
        <stp>PROB_OF_EXPIRING</stp>
        <stp>.SPY201120P361</stp>
        <tr r="T628" s="1"/>
      </tp>
      <tp t="s">
        <v>28.91%</v>
        <stp/>
        <stp>PROB_OF_EXPIRING</stp>
        <stp>.SPY201118C358</stp>
        <tr r="T601" s="1"/>
      </tp>
      <tp t="s">
        <v>25.03%</v>
        <stp/>
        <stp>PROB_OF_EXPIRING</stp>
        <stp>.SPY201120C360</stp>
        <tr r="T625" s="1"/>
      </tp>
      <tp t="s">
        <v>74.00%</v>
        <stp/>
        <stp>PROB_OF_EXPIRING</stp>
        <stp>.SPY201118P358</stp>
        <tr r="T602" s="1"/>
      </tp>
      <tp t="s">
        <v>78.38%</v>
        <stp/>
        <stp>PROB_OF_EXPIRING</stp>
        <stp>.SPY201120P360</stp>
        <tr r="T626" s="1"/>
      </tp>
      <tp t="s">
        <v>N/A</v>
        <stp/>
        <stp>PROB_OTM</stp>
        <stp>.SMH201120P197.5</stp>
        <tr r="U573" s="1"/>
      </tp>
      <tp t="s">
        <v>N/A</v>
        <stp/>
        <stp>PROB_OF_EXPIRING</stp>
        <stp>.XLK201120P120.5</stp>
        <tr r="T830" s="1"/>
      </tp>
      <tp t="s">
        <v>N/A</v>
        <stp/>
        <stp>PROB_OF_EXPIRING</stp>
        <stp>.XLV201120P110.5</stp>
        <tr r="T860" s="1"/>
      </tp>
      <tp>
        <v>12.98</v>
        <stp/>
        <stp>OPEN</stp>
        <stp>MJ</stp>
        <tr r="L423" s="1"/>
      </tp>
      <tp t="s">
        <v>N/A</v>
        <stp/>
        <stp>IMPL_VOL</stp>
        <stp>.SMH201120P193.5</stp>
        <tr r="D557" s="1"/>
      </tp>
      <tp t="s">
        <v>N/A</v>
        <stp/>
        <stp>PROB_OF_EXPIRING</stp>
        <stp>.MDY201120P380</stp>
        <tr r="T416" s="1"/>
      </tp>
      <tp t="s">
        <v>N/A</v>
        <stp/>
        <stp>PROB_OF_EXPIRING</stp>
        <stp>.MDY201120C380</stp>
        <tr r="T415" s="1"/>
      </tp>
      <tp t="s">
        <v>N/A</v>
        <stp/>
        <stp>PROB_OF_EXPIRING</stp>
        <stp>.MDY201120P385</stp>
        <tr r="T420" s="1"/>
      </tp>
      <tp t="s">
        <v>N/A</v>
        <stp/>
        <stp>PROB_OF_EXPIRING</stp>
        <stp>.MDY201120C385</stp>
        <tr r="T419" s="1"/>
      </tp>
      <tp t="s">
        <v>65.68%</v>
        <stp/>
        <stp>PROB_OTM</stp>
        <stp>.SPY201120C357.5</stp>
        <tr r="U619" s="1"/>
      </tp>
      <tp t="s">
        <v>N/A</v>
        <stp/>
        <stp>PROB_OF_TOUCHING</stp>
        <stp>.RSP201120C120</stp>
        <tr r="V510" s="1"/>
      </tp>
      <tp t="s">
        <v>N/A</v>
        <stp/>
        <stp>PROB_OF_TOUCHING</stp>
        <stp>.RSP201120P120</stp>
        <tr r="V511" s="1"/>
      </tp>
      <tp t="s">
        <v>N/A</v>
        <stp/>
        <stp>PROB_OF_TOUCHING</stp>
        <stp>.TIP201120P125</stp>
        <tr r="V688" s="1"/>
      </tp>
      <tp t="s">
        <v>N/A</v>
        <stp/>
        <stp>PROB_OF_TOUCHING</stp>
        <stp>.TIP201120C125</stp>
        <tr r="V687" s="1"/>
      </tp>
      <tp t="s">
        <v>N/A</v>
        <stp/>
        <stp>PROB_OTM</stp>
        <stp>.SMH201120C197.5</stp>
        <tr r="U572" s="1"/>
      </tp>
      <tp>
        <v>86.54</v>
        <stp/>
        <stp>OPEN</stp>
        <stp>VT</stp>
        <tr r="L734" s="1"/>
      </tp>
      <tp t="s">
        <v>N/A</v>
        <stp/>
        <stp>PROB_OF_TOUCHING</stp>
        <stp>.XBI201120C125.5</stp>
        <tr r="V778" s="1"/>
      </tp>
      <tp t="s">
        <v>N/A</v>
        <stp/>
        <stp>PROB_OF_TOUCHING</stp>
        <stp>.RSP201120C119</stp>
        <tr r="V508" s="1"/>
      </tp>
      <tp t="s">
        <v>N/A</v>
        <stp/>
        <stp>PROB_OF_TOUCHING</stp>
        <stp>.RSP201120P119</stp>
        <tr r="V509" s="1"/>
      </tp>
      <tp t="s">
        <v>N/A</v>
        <stp/>
        <stp>PROB_OF_TOUCHING</stp>
        <stp>.RSP201120C118</stp>
        <tr r="V506" s="1"/>
      </tp>
      <tp t="s">
        <v>N/A</v>
        <stp/>
        <stp>PROB_OF_TOUCHING</stp>
        <stp>.RSP201120P118</stp>
        <tr r="V507" s="1"/>
      </tp>
      <tp>
        <v>19.030100000000001</v>
        <stp/>
        <stp>OPEN</stp>
        <stp>SH</stp>
        <tr r="L542" s="1"/>
      </tp>
      <tp t="s">
        <v>N/A</v>
        <stp/>
        <stp>PROB_OF_EXPIRING</stp>
        <stp>.XLK201120C120.5</stp>
        <tr r="T829" s="1"/>
      </tp>
      <tp t="s">
        <v>N/A</v>
        <stp/>
        <stp>PROB_OF_EXPIRING</stp>
        <stp>.XLV201120C110.5</stp>
        <tr r="T859" s="1"/>
      </tp>
      <tp>
        <v>0.6</v>
        <stp/>
        <stp>LAST</stp>
        <stp>.MJ201120P13</stp>
        <tr r="E425" s="1"/>
      </tp>
      <tp t="s">
        <v>32.52%</v>
        <stp/>
        <stp>PROB_OTM</stp>
        <stp>.SPY201120P357.5</stp>
        <tr r="U620" s="1"/>
      </tp>
      <tp t="s">
        <v>N/A</v>
        <stp/>
        <stp>IMPL_VOL</stp>
        <stp>.SMH201120C193.5</stp>
        <tr r="D556" s="1"/>
      </tp>
      <tp t="s">
        <v>N/A</v>
        <stp/>
        <stp>RHO</stp>
        <stp>.SSO201120P81.5</stp>
        <tr r="Q646" s="1"/>
      </tp>
      <tp t="s">
        <v>N/A</v>
        <stp/>
        <stp>RHO</stp>
        <stp>.SSO201120C81.5</stp>
        <tr r="Q645" s="1"/>
      </tp>
      <tp t="s">
        <v>N/A</v>
        <stp/>
        <stp>PUT_CALL_RATIO</stp>
        <stp>.IGIB201120P61</stp>
        <tr r="C263" s="1"/>
      </tp>
      <tp t="s">
        <v>N/A</v>
        <stp/>
        <stp>STRIKE</stp>
        <stp>.PDBC201120P14</stp>
        <tr r="W453" s="1"/>
      </tp>
      <tp t="s">
        <v>N/A</v>
        <stp/>
        <stp>VOLUME</stp>
        <stp>.ITOT201120C81</stp>
        <tr r="F300" s="1"/>
      </tp>
      <tp t="s">
        <v>N/A</v>
        <stp/>
        <stp>VOLUME</stp>
        <stp>.ITOT201120C80</stp>
        <tr r="F298" s="1"/>
      </tp>
      <tp t="s">
        <v>N/A</v>
        <stp/>
        <stp>PUT_CALL_RATIO</stp>
        <stp>.NAIL201120P44</stp>
        <tr r="C440" s="1"/>
      </tp>
      <tp t="s">
        <v>N/A</v>
        <stp/>
        <stp>PUT_CALL_RATIO</stp>
        <stp>.NAIL201120P45</stp>
        <tr r="C442" s="1"/>
      </tp>
      <tp t="s">
        <v>N/A</v>
        <stp/>
        <stp>PUT_CALL_RATIO</stp>
        <stp>.NAIL201120P46</stp>
        <tr r="C444" s="1"/>
      </tp>
      <tp t="s">
        <v>N/A</v>
        <stp/>
        <stp>PUT_CALL_RATIO</stp>
        <stp>.NAIL201120P47</stp>
        <tr r="C446" s="1"/>
      </tp>
      <tp t="s">
        <v>N/A</v>
        <stp/>
        <stp>PUT_CALL_RATIO</stp>
        <stp>.NAIL201120P48</stp>
        <tr r="C448" s="1"/>
      </tp>
      <tp t="s">
        <v>N/A</v>
        <stp/>
        <stp>PUT_CALL_RATIO</stp>
        <stp>.NAIL201120P49</stp>
        <tr r="C450" s="1"/>
      </tp>
      <tp t="s">
        <v>N/A</v>
        <stp/>
        <stp>PUT_CALL_RATIO</stp>
        <stp>.VGIT201120P70</stp>
        <tr r="C720" s="1"/>
      </tp>
      <tp t="s">
        <v>N/A</v>
        <stp/>
        <stp>RHO</stp>
        <stp>.EWZ201120P31.5</stp>
        <tr r="Q174" s="1"/>
      </tp>
      <tp t="s">
        <v>N/A</v>
        <stp/>
        <stp>RHO</stp>
        <stp>.EWY201120P71.5</stp>
        <tr r="Q163" s="1"/>
      </tp>
      <tp t="s">
        <v>N/A</v>
        <stp/>
        <stp>PUT_CALL_RATIO</stp>
        <stp>.DRIP201120P45</stp>
        <tr r="C83" s="1"/>
      </tp>
      <tp t="s">
        <v>N/A</v>
        <stp/>
        <stp>RHO</stp>
        <stp>.EWZ201120C31.5</stp>
        <tr r="Q173" s="1"/>
      </tp>
      <tp t="s">
        <v>N/A</v>
        <stp/>
        <stp>RHO</stp>
        <stp>.EWY201120C71.5</stp>
        <tr r="Q162" s="1"/>
      </tp>
      <tp t="s">
        <v>N/A</v>
        <stp/>
        <stp>EXTRINSIC</stp>
        <stp>.XLY201120C154</stp>
        <tr r="S878" s="1"/>
      </tp>
      <tp t="s">
        <v>N/A</v>
        <stp/>
        <stp>EXTRINSIC</stp>
        <stp>.XLY201120P154</stp>
        <tr r="S879" s="1"/>
      </tp>
      <tp t="s">
        <v>N/A</v>
        <stp/>
        <stp>EXTRINSIC</stp>
        <stp>.XLY201120C155</stp>
        <tr r="S882" s="1"/>
      </tp>
      <tp t="s">
        <v>N/A</v>
        <stp/>
        <stp>EXTRINSIC</stp>
        <stp>.XLY201120P155</stp>
        <tr r="S883" s="1"/>
      </tp>
      <tp t="s">
        <v>N/A</v>
        <stp/>
        <stp>EXTRINSIC</stp>
        <stp>.XLY201120C152</stp>
        <tr r="S870" s="1"/>
      </tp>
      <tp t="s">
        <v>N/A</v>
        <stp/>
        <stp>EXTRINSIC</stp>
        <stp>.XLY201120P152</stp>
        <tr r="S871" s="1"/>
      </tp>
      <tp t="s">
        <v>N/A</v>
        <stp/>
        <stp>EXTRINSIC</stp>
        <stp>.XLY201120C153</stp>
        <tr r="S874" s="1"/>
      </tp>
      <tp t="s">
        <v>N/A</v>
        <stp/>
        <stp>EXTRINSIC</stp>
        <stp>.XLY201120P153</stp>
        <tr r="S875" s="1"/>
      </tp>
      <tp t="s">
        <v>N/A</v>
        <stp/>
        <stp>PUT_CALL_RATIO</stp>
        <stp>.VCIT201120P96</stp>
        <tr r="C703" s="1"/>
      </tp>
      <tp t="s">
        <v>N/A</v>
        <stp/>
        <stp>STRIKE</stp>
        <stp>EUFN</stp>
        <tr r="W117" s="1"/>
      </tp>
      <tp t="s">
        <v>N/A</v>
        <stp/>
        <stp>STRIKE</stp>
        <stp>QUAL</stp>
        <tr r="W498" s="1"/>
      </tp>
      <tp>
        <v>1.5</v>
        <stp/>
        <stp>PUT_CALL_RATIO</stp>
        <stp>SHYG</stp>
        <tr r="C548" s="1"/>
      </tp>
      <tp t="s">
        <v>N/A</v>
        <stp/>
        <stp>ASK</stp>
        <stp>.VFH201120C66</stp>
        <tr r="I714" s="1"/>
      </tp>
      <tp t="s">
        <v>N/A</v>
        <stp/>
        <stp>ASK</stp>
        <stp>.VFH201120C67</stp>
        <tr r="I716" s="1"/>
      </tp>
      <tp t="s">
        <v>N/A</v>
        <stp/>
        <stp>DESCRIPTION</stp>
        <stp>.RSX201120P22</stp>
        <tr r="B514" s="1"/>
      </tp>
      <tp>
        <v>0.74</v>
        <stp/>
        <stp>ASK</stp>
        <stp>.EFA201120C69</stp>
        <tr r="I102" s="1"/>
      </tp>
      <tp t="s">
        <v>N/A</v>
        <stp/>
        <stp>RHO</stp>
        <stp>.TBF201120C16</stp>
        <tr r="Q681" s="1"/>
      </tp>
      <tp>
        <v>0.39</v>
        <stp/>
        <stp>ASK</stp>
        <stp>.EFA201120C70</stp>
        <tr r="I106" s="1"/>
      </tp>
      <tp t="s">
        <v>N/A</v>
        <stp/>
        <stp>RHO</stp>
        <stp>.KBE201120C38</stp>
        <tr r="Q386" s="1"/>
      </tp>
      <tp t="s">
        <v>N/A</v>
        <stp/>
        <stp>DESCRIPTION</stp>
        <stp>.SSO201120P82</stp>
        <tr r="B648" s="1"/>
      </tp>
      <tp t="s">
        <v>N/A</v>
        <stp/>
        <stp>DESCRIPTION</stp>
        <stp>.SSO201120P83</stp>
        <tr r="B652" s="1"/>
      </tp>
      <tp t="s">
        <v>N/A</v>
        <stp/>
        <stp>DESCRIPTION</stp>
        <stp>.SSO201120P81</stp>
        <tr r="B644" s="1"/>
      </tp>
      <tp t="s">
        <v>N/A</v>
        <stp/>
        <stp>DESCRIPTION</stp>
        <stp>.SSO201120P84</stp>
        <tr r="B656" s="1"/>
      </tp>
      <tp t="s">
        <v>N/A</v>
        <stp/>
        <stp>DESCRIPTION</stp>
        <stp>.DIA201120P291</stp>
        <tr r="B64" s="1"/>
      </tp>
      <tp t="s">
        <v>N/A</v>
        <stp/>
        <stp>DESCRIPTION</stp>
        <stp>.DIA201120C291</stp>
        <tr r="B63" s="1"/>
      </tp>
      <tp t="s">
        <v>N/A</v>
        <stp/>
        <stp>DESCRIPTION</stp>
        <stp>.DIA201120P292</stp>
        <tr r="B66" s="1"/>
      </tp>
      <tp t="s">
        <v>N/A</v>
        <stp/>
        <stp>DESCRIPTION</stp>
        <stp>.DIA201120C292</stp>
        <tr r="B65" s="1"/>
      </tp>
      <tp t="s">
        <v>N/A</v>
        <stp/>
        <stp>DESCRIPTION</stp>
        <stp>.DIA201120P293</stp>
        <tr r="B70" s="1"/>
      </tp>
      <tp t="s">
        <v>N/A</v>
        <stp/>
        <stp>DESCRIPTION</stp>
        <stp>.DIA201120C293</stp>
        <tr r="B69" s="1"/>
      </tp>
      <tp t="s">
        <v>N/A</v>
        <stp/>
        <stp>DESCRIPTION</stp>
        <stp>.DIA201120P294</stp>
        <tr r="B72" s="1"/>
      </tp>
      <tp t="s">
        <v>N/A</v>
        <stp/>
        <stp>DESCRIPTION</stp>
        <stp>.DIA201120C294</stp>
        <tr r="B71" s="1"/>
      </tp>
      <tp t="s">
        <v>N/A</v>
        <stp/>
        <stp>DESCRIPTION</stp>
        <stp>.DIA201120P295</stp>
        <tr r="B74" s="1"/>
      </tp>
      <tp t="s">
        <v>N/A</v>
        <stp/>
        <stp>DESCRIPTION</stp>
        <stp>.DIA201120C295</stp>
        <tr r="B73" s="1"/>
      </tp>
      <tp t="s">
        <v>N/A</v>
        <stp/>
        <stp>DESCRIPTION</stp>
        <stp>.DIA201120P296</stp>
        <tr r="B76" s="1"/>
      </tp>
      <tp t="s">
        <v>N/A</v>
        <stp/>
        <stp>DESCRIPTION</stp>
        <stp>.DIA201120C296</stp>
        <tr r="B75" s="1"/>
      </tp>
      <tp t="s">
        <v>N/A</v>
        <stp/>
        <stp>DESCRIPTION</stp>
        <stp>.DIA201120P297</stp>
        <tr r="B78" s="1"/>
      </tp>
      <tp t="s">
        <v>N/A</v>
        <stp/>
        <stp>DESCRIPTION</stp>
        <stp>.DIA201120C297</stp>
        <tr r="B77" s="1"/>
      </tp>
      <tp t="s">
        <v>N/A</v>
        <stp/>
        <stp>STRIKE</stp>
        <stp>GUSH</stp>
        <tr r="W213" s="1"/>
      </tp>
      <tp t="s">
        <v>N/A</v>
        <stp/>
        <stp>BID</stp>
        <stp>.EZU201120P42</stp>
        <tr r="H179" s="1"/>
      </tp>
      <tp t="s">
        <v>N/A</v>
        <stp/>
        <stp>LOW</stp>
        <stp>.EZU201120C42</stp>
        <tr r="K178" s="1"/>
      </tp>
      <tp t="s">
        <v>N/A</v>
        <stp/>
        <stp>DESCRIPTION</stp>
        <stp>.IBB201120P139</stp>
        <tr r="B234" s="1"/>
      </tp>
      <tp t="s">
        <v>N/A</v>
        <stp/>
        <stp>DESCRIPTION</stp>
        <stp>.IBB201120C139</stp>
        <tr r="B233" s="1"/>
      </tp>
      <tp t="s">
        <v>N/A</v>
        <stp/>
        <stp>DESCRIPTION</stp>
        <stp>.IBB201120P138</stp>
        <tr r="B230" s="1"/>
      </tp>
      <tp t="s">
        <v>N/A</v>
        <stp/>
        <stp>DESCRIPTION</stp>
        <stp>.IBB201120C138</stp>
        <tr r="B229" s="1"/>
      </tp>
      <tp t="s">
        <v>N/A</v>
        <stp/>
        <stp>BID</stp>
        <stp>.BZQ201120P12</stp>
        <tr r="H53" s="1"/>
      </tp>
      <tp t="s">
        <v>N/A</v>
        <stp/>
        <stp>LOW</stp>
        <stp>.BZQ201120C12</stp>
        <tr r="K52" s="1"/>
      </tp>
      <tp t="s">
        <v>N/A</v>
        <stp/>
        <stp>DESCRIPTION</stp>
        <stp>.EMB201120P114</stp>
        <tr r="B113" s="1"/>
      </tp>
      <tp t="s">
        <v>N/A</v>
        <stp/>
        <stp>DESCRIPTION</stp>
        <stp>.EMB201120C114</stp>
        <tr r="B112" s="1"/>
      </tp>
      <tp t="s">
        <v>N/A</v>
        <stp/>
        <stp>DESCRIPTION</stp>
        <stp>.MUB201120C116</stp>
        <tr r="B436" s="1"/>
      </tp>
      <tp t="s">
        <v>N/A</v>
        <stp/>
        <stp>DESCRIPTION</stp>
        <stp>.MUB201120P116</stp>
        <tr r="B437" s="1"/>
      </tp>
      <tp t="s">
        <v>N/A</v>
        <stp/>
        <stp>ASK</stp>
        <stp>.EFV201120C45</stp>
        <tr r="I109" s="1"/>
      </tp>
      <tp t="s">
        <v>N/A</v>
        <stp/>
        <stp>RHO</stp>
        <stp>.TBT201120C17</stp>
        <tr r="Q684" s="1"/>
      </tp>
      <tp t="s">
        <v>N/A</v>
        <stp/>
        <stp>DESCRIPTION</stp>
        <stp>.IBB201120P141</stp>
        <tr r="B242" s="1"/>
      </tp>
      <tp t="s">
        <v>N/A</v>
        <stp/>
        <stp>DESCRIPTION</stp>
        <stp>.IBB201120C141</stp>
        <tr r="B241" s="1"/>
      </tp>
      <tp t="s">
        <v>N/A</v>
        <stp/>
        <stp>DESCRIPTION</stp>
        <stp>.IBB201120P140</stp>
        <tr r="B238" s="1"/>
      </tp>
      <tp t="s">
        <v>N/A</v>
        <stp/>
        <stp>DESCRIPTION</stp>
        <stp>.IBB201120C140</stp>
        <tr r="B237" s="1"/>
      </tp>
      <tp>
        <v>0</v>
        <stp/>
        <stp>OPEN_INT</stp>
        <stp>XBI</stp>
        <tr r="G763" s="1"/>
      </tp>
      <tp t="s">
        <v>N/A</v>
        <stp/>
        <stp>PUT_CALL_RATIO</stp>
        <stp>.XOP201120P47.5</stp>
        <tr r="C893" s="1"/>
      </tp>
      <tp t="s">
        <v>N/A</v>
        <stp/>
        <stp>STRIKE</stp>
        <stp>.EWY201120P71.5</stp>
        <tr r="W163" s="1"/>
      </tp>
      <tp t="s">
        <v>N/A</v>
        <stp/>
        <stp>STRIKE</stp>
        <stp>.EWZ201120P31.5</stp>
        <tr r="W174" s="1"/>
      </tp>
      <tp t="s">
        <v>N/A</v>
        <stp/>
        <stp>PUT_CALL_RATIO</stp>
        <stp>.XOP201120C47.5</stp>
        <tr r="C892" s="1"/>
      </tp>
      <tp t="s">
        <v>N/A</v>
        <stp/>
        <stp>STRIKE</stp>
        <stp>.EWY201120C71.5</stp>
        <tr r="W162" s="1"/>
      </tp>
      <tp t="s">
        <v>N/A</v>
        <stp/>
        <stp>STRIKE</stp>
        <stp>.EWZ201120C31.5</stp>
        <tr r="W173" s="1"/>
      </tp>
      <tp>
        <v>0</v>
        <stp/>
        <stp>OPEN_INT</stp>
        <stp>XHB</stp>
        <tr r="G780" s="1"/>
      </tp>
      <tp t="s">
        <v>N/A</v>
        <stp/>
        <stp>PROB_OF_EXPIRING</stp>
        <stp>MUB</stp>
        <tr r="T435" s="1"/>
      </tp>
      <tp>
        <v>0</v>
        <stp/>
        <stp>OPEN_INT</stp>
        <stp>XOP</stp>
        <tr r="G889" s="1"/>
      </tp>
      <tp>
        <v>0</v>
        <stp/>
        <stp>OPEN_INT</stp>
        <stp>XLU</stp>
        <tr r="G849" s="1"/>
      </tp>
      <tp>
        <v>0</v>
        <stp/>
        <stp>OPEN_INT</stp>
        <stp>XLV</stp>
        <tr r="G856" s="1"/>
      </tp>
      <tp>
        <v>0</v>
        <stp/>
        <stp>OPEN_INT</stp>
        <stp>XLP</stp>
        <tr r="G841" s="1"/>
      </tp>
      <tp>
        <v>0</v>
        <stp/>
        <stp>OPEN_INT</stp>
        <stp>XLY</stp>
        <tr r="G867" s="1"/>
      </tp>
      <tp>
        <v>0</v>
        <stp/>
        <stp>OPEN_INT</stp>
        <stp>XLE</stp>
        <tr r="G803" s="1"/>
      </tp>
      <tp>
        <v>0</v>
        <stp/>
        <stp>OPEN_INT</stp>
        <stp>XLF</stp>
        <tr r="G810" s="1"/>
      </tp>
      <tp>
        <v>0</v>
        <stp/>
        <stp>OPEN_INT</stp>
        <stp>XLB</stp>
        <tr r="G787" s="1"/>
      </tp>
      <tp>
        <v>0</v>
        <stp/>
        <stp>OPEN_INT</stp>
        <stp>XLC</stp>
        <tr r="G796" s="1"/>
      </tp>
      <tp>
        <v>0</v>
        <stp/>
        <stp>OPEN_INT</stp>
        <stp>XLI</stp>
        <tr r="G813" s="1"/>
      </tp>
      <tp>
        <v>0</v>
        <stp/>
        <stp>OPEN_INT</stp>
        <stp>XLK</stp>
        <tr r="G824" s="1"/>
      </tp>
      <tp>
        <v>0</v>
        <stp/>
        <stp>OPEN_INT</stp>
        <stp>XME</stp>
        <tr r="G884" s="1"/>
      </tp>
      <tp>
        <v>0</v>
        <stp/>
        <stp>OPEN_INT</stp>
        <stp>XRT</stp>
        <tr r="G902" s="1"/>
      </tp>
      <tp t="s">
        <v>N/A</v>
        <stp/>
        <stp>PUT_CALL_RATIO</stp>
        <stp>.EEM201120P47.5</stp>
        <tr r="C96" s="1"/>
      </tp>
      <tp t="s">
        <v>N/A</v>
        <stp/>
        <stp>PUT_CALL_RATIO</stp>
        <stp>.EEM201120C47.5</stp>
        <tr r="C95" s="1"/>
      </tp>
      <tp t="s">
        <v>N/A</v>
        <stp/>
        <stp>PUT_CALL_RATIO</stp>
        <stp>.FXI201120C47.5</stp>
        <tr r="C191" s="1"/>
      </tp>
      <tp t="s">
        <v>N/A</v>
        <stp/>
        <stp>PUT_CALL_RATIO</stp>
        <stp>.FXI201120P47.5</stp>
        <tr r="C192" s="1"/>
      </tp>
      <tp t="s">
        <v>N/A</v>
        <stp/>
        <stp>PUT_CALL_RATIO</stp>
        <stp>.GDX201120P37.5</stp>
        <tr r="C201" s="1"/>
      </tp>
      <tp t="s">
        <v>N/A</v>
        <stp/>
        <stp>PUT_CALL_RATIO</stp>
        <stp>.GDX201120C37.5</stp>
        <tr r="C200" s="1"/>
      </tp>
      <tp t="s">
        <v>N/A</v>
        <stp/>
        <stp>PROB_OF_EXPIRING</stp>
        <stp>MDY</stp>
        <tr r="T414" s="1"/>
      </tp>
      <tp t="s">
        <v>N/A</v>
        <stp/>
        <stp>PUT_CALL_RATIO</stp>
        <stp>.KRE201120C47.5</stp>
        <tr r="C395" s="1"/>
      </tp>
      <tp t="s">
        <v>N/A</v>
        <stp/>
        <stp>PUT_CALL_RATIO</stp>
        <stp>.KRE201120P47.5</stp>
        <tr r="C396" s="1"/>
      </tp>
      <tp t="s">
        <v>N/A</v>
        <stp/>
        <stp>STRIKE</stp>
        <stp>.SSO201120P81.5</stp>
        <tr r="W646" s="1"/>
      </tp>
      <tp>
        <v>128</v>
        <stp/>
        <stp>OPEN_INT</stp>
        <stp>.GDXJ201120C53.5</stp>
        <tr r="G209" s="1"/>
      </tp>
      <tp t="s">
        <v>N/A</v>
        <stp/>
        <stp>STRIKE</stp>
        <stp>.SSO201120C81.5</stp>
        <tr r="W645" s="1"/>
      </tp>
      <tp>
        <v>198</v>
        <stp/>
        <stp>OPEN_INT</stp>
        <stp>.GDXJ201120P53.5</stp>
        <tr r="G210" s="1"/>
      </tp>
      <tp t="s">
        <v>N/A</v>
        <stp/>
        <stp>PROB_OF_TOUCHING</stp>
        <stp>.XBI201120P124.5</stp>
        <tr r="V775" s="1"/>
      </tp>
      <tp t="s">
        <v>22.76%</v>
        <stp/>
        <stp>IMPL_VOL</stp>
        <stp>.SPY201120C352.5</stp>
        <tr r="D607" s="1"/>
      </tp>
      <tp t="s">
        <v>N/A</v>
        <stp/>
        <stp>EXTRINSIC</stp>
        <stp>ACWI</stp>
        <tr r="S7" s="1"/>
      </tp>
      <tp t="s">
        <v>N/A</v>
        <stp/>
        <stp>EXTRINSIC</stp>
        <stp>ACWX</stp>
        <tr r="S12" s="1"/>
      </tp>
      <tp t="s">
        <v>N/A</v>
        <stp/>
        <stp>PROB_OTM</stp>
        <stp>.SMH201120P196.5</stp>
        <tr r="U569" s="1"/>
      </tp>
      <tp t="s">
        <v>N/A</v>
        <stp/>
        <stp>PROB_OF_EXPIRING</stp>
        <stp>.XLK201120P121.5</stp>
        <tr r="T834" s="1"/>
      </tp>
      <tp t="s">
        <v>N/A</v>
        <stp/>
        <stp>PROB_OF_EXPIRING</stp>
        <stp>.XLV201120P111.5</stp>
        <tr r="T864" s="1"/>
      </tp>
      <tp t="s">
        <v>N/A</v>
        <stp/>
        <stp>PROB_OF_EXPIRING</stp>
        <stp>.XLY201120P151.5</stp>
        <tr r="T869" s="1"/>
      </tp>
      <tp t="s">
        <v>N/A</v>
        <stp/>
        <stp>IMPL_VOL</stp>
        <stp>.SMH201120P192.5</stp>
        <tr r="D553" s="1"/>
      </tp>
      <tp t="s">
        <v>N/A</v>
        <stp/>
        <stp>PROB_OF_TOUCHING</stp>
        <stp>.XLY201120P154.5</stp>
        <tr r="V881" s="1"/>
      </tp>
      <tp t="s">
        <v>N/A</v>
        <stp/>
        <stp>IMPL_VOL</stp>
        <stp>.XLK201120P119.5</stp>
        <tr r="D826" s="1"/>
      </tp>
      <tp t="s">
        <v>N/A</v>
        <stp/>
        <stp>IMPL_VOL</stp>
        <stp>.TLT201120P155.5</stp>
        <tr r="D693" s="1"/>
      </tp>
      <tp t="s">
        <v>N/A</v>
        <stp/>
        <stp>INTRINSIC</stp>
        <stp>ACWX</stp>
        <tr r="R12" s="1"/>
      </tp>
      <tp t="s">
        <v>N/A</v>
        <stp/>
        <stp>INTRINSIC</stp>
        <stp>ACWI</stp>
        <tr r="R7" s="1"/>
      </tp>
      <tp t="s">
        <v>N/A</v>
        <stp/>
        <stp>INTRINSIC</stp>
        <stp>SCHP</stp>
        <tr r="R531" s="1"/>
      </tp>
      <tp t="s">
        <v>N/A</v>
        <stp/>
        <stp>IMPL_VOL</stp>
        <stp>.IGV201120P325</stp>
        <tr r="D270" s="1"/>
      </tp>
      <tp t="s">
        <v>N/A</v>
        <stp/>
        <stp>IMPL_VOL</stp>
        <stp>.IGV201120C325</stp>
        <tr r="D269" s="1"/>
      </tp>
      <tp t="s">
        <v>N/A</v>
        <stp/>
        <stp>IMPL_VOL</stp>
        <stp>.IGV201120P320</stp>
        <tr r="D268" s="1"/>
      </tp>
      <tp t="s">
        <v>N/A</v>
        <stp/>
        <stp>IMPL_VOL</stp>
        <stp>.IGV201120C320</stp>
        <tr r="D267" s="1"/>
      </tp>
      <tp t="s">
        <v>N/A</v>
        <stp/>
        <stp>INTRINSIC</stp>
        <stp>SCHF</stp>
        <tr r="R528" s="1"/>
      </tp>
      <tp t="s">
        <v>N/A</v>
        <stp/>
        <stp>INTRINSIC</stp>
        <stp>SCHE</stp>
        <tr r="R525" s="1"/>
      </tp>
      <tp t="s">
        <v>N/A</v>
        <stp/>
        <stp>INTRINSIC</stp>
        <stp>SCHD</stp>
        <tr r="R520" s="1"/>
      </tp>
      <tp t="s">
        <v>N/A</v>
        <stp/>
        <stp>INTRINSIC</stp>
        <stp>MCHI</stp>
        <tr r="R411" s="1"/>
      </tp>
      <tp t="s">
        <v>N/A</v>
        <stp/>
        <stp>PROB_OTM</stp>
        <stp>.SMH201120C196.5</stp>
        <tr r="U568" s="1"/>
      </tp>
      <tp t="s">
        <v>N/A</v>
        <stp/>
        <stp>INTRINSIC</stp>
        <stp>VCIT</stp>
        <tr r="R701" s="1"/>
      </tp>
      <tp t="s">
        <v>N/A</v>
        <stp/>
        <stp>PROB_OF_TOUCHING</stp>
        <stp>.XBI201120C124.5</stp>
        <tr r="V774" s="1"/>
      </tp>
      <tp t="s">
        <v>20.65%</v>
        <stp/>
        <stp>IMPL_VOL</stp>
        <stp>.SPY201120P352.5</stp>
        <tr r="D608" s="1"/>
      </tp>
      <tp t="s">
        <v>N/A</v>
        <stp/>
        <stp>PROB_OTM</stp>
        <stp>.IWM201120C173</stp>
        <tr r="U354" s="1"/>
      </tp>
      <tp t="s">
        <v>N/A</v>
        <stp/>
        <stp>PROB_OTM</stp>
        <stp>.IWM201120P173</stp>
        <tr r="U355" s="1"/>
      </tp>
      <tp t="s">
        <v>N/A</v>
        <stp/>
        <stp>PROB_OTM</stp>
        <stp>.IWM201120C172</stp>
        <tr r="U350" s="1"/>
      </tp>
      <tp t="s">
        <v>N/A</v>
        <stp/>
        <stp>PROB_OTM</stp>
        <stp>.IWM201120P172</stp>
        <tr r="U351" s="1"/>
      </tp>
      <tp t="s">
        <v>N/A</v>
        <stp/>
        <stp>PROB_OTM</stp>
        <stp>.IWM201120C171</stp>
        <tr r="U348" s="1"/>
      </tp>
      <tp t="s">
        <v>N/A</v>
        <stp/>
        <stp>IMPL_VOL</stp>
        <stp>.IGV201120P315</stp>
        <tr r="D266" s="1"/>
      </tp>
      <tp t="s">
        <v>N/A</v>
        <stp/>
        <stp>PROB_OTM</stp>
        <stp>.IWM201120P171</stp>
        <tr r="U349" s="1"/>
      </tp>
      <tp t="s">
        <v>N/A</v>
        <stp/>
        <stp>IMPL_VOL</stp>
        <stp>.IGV201120C315</stp>
        <tr r="D265" s="1"/>
      </tp>
      <tp t="s">
        <v>N/A</v>
        <stp/>
        <stp>PROB_OTM</stp>
        <stp>.IWM201120C170</stp>
        <tr r="U346" s="1"/>
      </tp>
      <tp t="s">
        <v>N/A</v>
        <stp/>
        <stp>PROB_OTM</stp>
        <stp>.IWM201120P170</stp>
        <tr r="U347" s="1"/>
      </tp>
      <tp t="s">
        <v>N/A</v>
        <stp/>
        <stp>PROB_OTM</stp>
        <stp>.IWM201120C175</stp>
        <tr r="U358" s="1"/>
      </tp>
      <tp t="s">
        <v>N/A</v>
        <stp/>
        <stp>PROB_OTM</stp>
        <stp>.IWM201120P175</stp>
        <tr r="U359" s="1"/>
      </tp>
      <tp t="s">
        <v>N/A</v>
        <stp/>
        <stp>PROB_OTM</stp>
        <stp>.IWM201120C174</stp>
        <tr r="U356" s="1"/>
      </tp>
      <tp t="s">
        <v>N/A</v>
        <stp/>
        <stp>PROB_OTM</stp>
        <stp>.IWM201120P174</stp>
        <tr r="U357" s="1"/>
      </tp>
      <tp t="s">
        <v>N/A</v>
        <stp/>
        <stp>INTRINSIC</stp>
        <stp>VCLT</stp>
        <tr r="R704" s="1"/>
      </tp>
      <tp t="s">
        <v>N/A</v>
        <stp/>
        <stp>IMPL_VOL</stp>
        <stp>.IVV201120C362</stp>
        <tr r="D328" s="1"/>
      </tp>
      <tp t="s">
        <v>N/A</v>
        <stp/>
        <stp>IMPL_VOL</stp>
        <stp>.IVV201120P362</stp>
        <tr r="D329" s="1"/>
      </tp>
      <tp t="s">
        <v>N/A</v>
        <stp/>
        <stp>IMPL_VOL</stp>
        <stp>.IVV201120C361</stp>
        <tr r="D326" s="1"/>
      </tp>
      <tp t="s">
        <v>N/A</v>
        <stp/>
        <stp>IMPL_VOL</stp>
        <stp>.IVV201120P361</stp>
        <tr r="D327" s="1"/>
      </tp>
      <tp t="s">
        <v>N/A</v>
        <stp/>
        <stp>IMPL_VOL</stp>
        <stp>.IVV201120C360</stp>
        <tr r="D324" s="1"/>
      </tp>
      <tp t="s">
        <v>N/A</v>
        <stp/>
        <stp>IMPL_VOL</stp>
        <stp>.IVV201120P360</stp>
        <tr r="D325" s="1"/>
      </tp>
      <tp t="s">
        <v>N/A</v>
        <stp/>
        <stp>INTRINSIC</stp>
        <stp>ICLN</stp>
        <tr r="R245" s="1"/>
      </tp>
      <tp t="s">
        <v>N/A</v>
        <stp/>
        <stp>PROB_OF_EXPIRING</stp>
        <stp>.XLK201120C121.5</stp>
        <tr r="T833" s="1"/>
      </tp>
      <tp t="s">
        <v>N/A</v>
        <stp/>
        <stp>PROB_OF_EXPIRING</stp>
        <stp>.XLV201120C111.5</stp>
        <tr r="T863" s="1"/>
      </tp>
      <tp t="s">
        <v>N/A</v>
        <stp/>
        <stp>PROB_OF_EXPIRING</stp>
        <stp>.XLY201120C151.5</stp>
        <tr r="T868" s="1"/>
      </tp>
      <tp t="s">
        <v>N/A</v>
        <stp/>
        <stp>PROB_OTM</stp>
        <stp>.VOO201120P325</stp>
        <tr r="U731" s="1"/>
      </tp>
      <tp t="s">
        <v>N/A</v>
        <stp/>
        <stp>PROB_OTM</stp>
        <stp>.VOO201120C325</stp>
        <tr r="U730" s="1"/>
      </tp>
      <tp t="s">
        <v>N/A</v>
        <stp/>
        <stp>IMPL_VOL</stp>
        <stp>.IVV201120C359</stp>
        <tr r="D322" s="1"/>
      </tp>
      <tp t="s">
        <v>N/A</v>
        <stp/>
        <stp>IMPL_VOL</stp>
        <stp>.IVV201120P359</stp>
        <tr r="D323" s="1"/>
      </tp>
      <tp t="s">
        <v>N/A</v>
        <stp/>
        <stp>IMPL_VOL</stp>
        <stp>.IVV201120C358</stp>
        <tr r="D320" s="1"/>
      </tp>
      <tp t="s">
        <v>N/A</v>
        <stp/>
        <stp>IMPL_VOL</stp>
        <stp>.IVV201120P358</stp>
        <tr r="D321" s="1"/>
      </tp>
      <tp t="s">
        <v>N/A</v>
        <stp/>
        <stp>IMPL_VOL</stp>
        <stp>.IVV201120C357</stp>
        <tr r="D316" s="1"/>
      </tp>
      <tp t="s">
        <v>N/A</v>
        <stp/>
        <stp>IMPL_VOL</stp>
        <stp>.IVV201120P357</stp>
        <tr r="D317" s="1"/>
      </tp>
      <tp t="s">
        <v>N/A</v>
        <stp/>
        <stp>IMPL_VOL</stp>
        <stp>.IVV201120C356</stp>
        <tr r="D314" s="1"/>
      </tp>
      <tp t="s">
        <v>N/A</v>
        <stp/>
        <stp>IMPL_VOL</stp>
        <stp>.IVV201120P356</stp>
        <tr r="D315" s="1"/>
      </tp>
      <tp t="s">
        <v>N/A</v>
        <stp/>
        <stp>IMPL_VOL</stp>
        <stp>.IVV201120C355</stp>
        <tr r="D312" s="1"/>
      </tp>
      <tp t="s">
        <v>N/A</v>
        <stp/>
        <stp>IMPL_VOL</stp>
        <stp>.IVV201120P355</stp>
        <tr r="D313" s="1"/>
      </tp>
      <tp t="s">
        <v>N/A</v>
        <stp/>
        <stp>IMPL_VOL</stp>
        <stp>.IVV201120C354</stp>
        <tr r="D310" s="1"/>
      </tp>
      <tp t="s">
        <v>N/A</v>
        <stp/>
        <stp>IMPL_VOL</stp>
        <stp>.IVV201120P354</stp>
        <tr r="D311" s="1"/>
      </tp>
      <tp t="s">
        <v>N/A</v>
        <stp/>
        <stp>IMPL_VOL</stp>
        <stp>.TLT201120P156</stp>
        <tr r="D695" s="1"/>
      </tp>
      <tp t="s">
        <v>N/A</v>
        <stp/>
        <stp>PROB_OTM</stp>
        <stp>.VOO201120P330</stp>
        <tr r="U733" s="1"/>
      </tp>
      <tp t="s">
        <v>N/A</v>
        <stp/>
        <stp>IMPL_VOL</stp>
        <stp>.TLT201120C156</stp>
        <tr r="D694" s="1"/>
      </tp>
      <tp t="s">
        <v>N/A</v>
        <stp/>
        <stp>PROB_OTM</stp>
        <stp>.VOO201120C330</stp>
        <tr r="U732" s="1"/>
      </tp>
      <tp t="s">
        <v>N/A</v>
        <stp/>
        <stp>IMPL_VOL</stp>
        <stp>.TLT201120P155</stp>
        <tr r="D691" s="1"/>
      </tp>
      <tp t="s">
        <v>N/A</v>
        <stp/>
        <stp>IMPL_VOL</stp>
        <stp>.TLT201120C155</stp>
        <tr r="D690" s="1"/>
      </tp>
      <tp>
        <v>2918</v>
        <stp/>
        <stp>OPEN_INT</stp>
        <stp>.QQQ201120P287</stp>
        <tr r="G479" s="1"/>
      </tp>
      <tp>
        <v>3903</v>
        <stp/>
        <stp>OPEN_INT</stp>
        <stp>.QQQ201120C287</stp>
        <tr r="G478" s="1"/>
      </tp>
      <tp>
        <v>3711</v>
        <stp/>
        <stp>OPEN_INT</stp>
        <stp>.QQQ201120P286</stp>
        <tr r="G477" s="1"/>
      </tp>
      <tp>
        <v>3124</v>
        <stp/>
        <stp>OPEN_INT</stp>
        <stp>.QQQ201120C286</stp>
        <tr r="G476" s="1"/>
      </tp>
      <tp>
        <v>3559</v>
        <stp/>
        <stp>OPEN_INT</stp>
        <stp>.QQQ201120P289</stp>
        <tr r="G485" s="1"/>
      </tp>
      <tp>
        <v>5035</v>
        <stp/>
        <stp>OPEN_INT</stp>
        <stp>.QQQ201120C289</stp>
        <tr r="G484" s="1"/>
      </tp>
      <tp>
        <v>7186</v>
        <stp/>
        <stp>OPEN_INT</stp>
        <stp>.QQQ201120P288</stp>
        <tr r="G483" s="1"/>
      </tp>
      <tp>
        <v>8839</v>
        <stp/>
        <stp>OPEN_INT</stp>
        <stp>.QQQ201120C288</stp>
        <tr r="G482" s="1"/>
      </tp>
      <tp t="s">
        <v>N/A</v>
        <stp/>
        <stp>EXTRINSIC</stp>
        <stp>ICLN</stp>
        <tr r="S245" s="1"/>
      </tp>
      <tp t="s">
        <v>N/A</v>
        <stp/>
        <stp>EXTRINSIC</stp>
        <stp>VCLT</stp>
        <tr r="S704" s="1"/>
      </tp>
      <tp>
        <v>2769</v>
        <stp/>
        <stp>OPEN_INT</stp>
        <stp>.QQQ201120P293</stp>
        <tr r="G495" s="1"/>
      </tp>
      <tp>
        <v>13049</v>
        <stp/>
        <stp>OPEN_INT</stp>
        <stp>.QQQ201120C293</stp>
        <tr r="G494" s="1"/>
      </tp>
      <tp>
        <v>3013</v>
        <stp/>
        <stp>OPEN_INT</stp>
        <stp>.QQQ201120P292</stp>
        <tr r="G491" s="1"/>
      </tp>
      <tp>
        <v>3649</v>
        <stp/>
        <stp>OPEN_INT</stp>
        <stp>.QQQ201120C292</stp>
        <tr r="G490" s="1"/>
      </tp>
      <tp>
        <v>2500</v>
        <stp/>
        <stp>OPEN_INT</stp>
        <stp>.QQQ201120P291</stp>
        <tr r="G489" s="1"/>
      </tp>
      <tp>
        <v>3612</v>
        <stp/>
        <stp>OPEN_INT</stp>
        <stp>.QQQ201120C291</stp>
        <tr r="G488" s="1"/>
      </tp>
      <tp>
        <v>33802</v>
        <stp/>
        <stp>OPEN_INT</stp>
        <stp>.QQQ201120P290</stp>
        <tr r="G487" s="1"/>
      </tp>
      <tp>
        <v>19605</v>
        <stp/>
        <stp>OPEN_INT</stp>
        <stp>.QQQ201120C290</stp>
        <tr r="G486" s="1"/>
      </tp>
      <tp>
        <v>2816</v>
        <stp/>
        <stp>OPEN_INT</stp>
        <stp>.QQQ201120P294</stp>
        <tr r="G497" s="1"/>
      </tp>
      <tp>
        <v>7760</v>
        <stp/>
        <stp>OPEN_INT</stp>
        <stp>.QQQ201120C294</stp>
        <tr r="G496" s="1"/>
      </tp>
      <tp t="s">
        <v>N/A</v>
        <stp/>
        <stp>EXTRINSIC</stp>
        <stp>SCHE</stp>
        <tr r="S525" s="1"/>
      </tp>
      <tp t="s">
        <v>N/A</v>
        <stp/>
        <stp>EXTRINSIC</stp>
        <stp>SCHD</stp>
        <tr r="S520" s="1"/>
      </tp>
      <tp t="s">
        <v>N/A</v>
        <stp/>
        <stp>EXTRINSIC</stp>
        <stp>SCHF</stp>
        <tr r="S528" s="1"/>
      </tp>
      <tp t="s">
        <v>N/A</v>
        <stp/>
        <stp>EXTRINSIC</stp>
        <stp>MCHI</stp>
        <tr r="S411" s="1"/>
      </tp>
      <tp t="s">
        <v>N/A</v>
        <stp/>
        <stp>EXTRINSIC</stp>
        <stp>SCHP</stp>
        <tr r="S531" s="1"/>
      </tp>
      <tp t="s">
        <v>N/A</v>
        <stp/>
        <stp>EXTRINSIC</stp>
        <stp>VCIT</stp>
        <tr r="S701" s="1"/>
      </tp>
      <tp t="s">
        <v>N/A</v>
        <stp/>
        <stp>IMPL_VOL</stp>
        <stp>.XLK201120C119.5</stp>
        <tr r="D825" s="1"/>
      </tp>
      <tp t="s">
        <v>N/A</v>
        <stp/>
        <stp>IMPL_VOL</stp>
        <stp>.TLT201120C155.5</stp>
        <tr r="D692" s="1"/>
      </tp>
      <tp t="s">
        <v>N/A</v>
        <stp/>
        <stp>IMPL_VOL</stp>
        <stp>.SMH201120C192.5</stp>
        <tr r="D552" s="1"/>
      </tp>
      <tp t="s">
        <v>N/A</v>
        <stp/>
        <stp>PROB_OF_TOUCHING</stp>
        <stp>.XLY201120C154.5</stp>
        <tr r="V880" s="1"/>
      </tp>
      <tp t="s">
        <v>N/A</v>
        <stp/>
        <stp>PUT_CALL_RATIO</stp>
        <stp>.MCHI201120P80</stp>
        <tr r="C413" s="1"/>
      </tp>
      <tp t="s">
        <v>N/A</v>
        <stp/>
        <stp>PUT_CALL_RATIO</stp>
        <stp>.SCHD201120P61</stp>
        <tr r="C522" s="1"/>
      </tp>
      <tp t="s">
        <v>N/A</v>
        <stp/>
        <stp>PUT_CALL_RATIO</stp>
        <stp>.SCHD201120P62</stp>
        <tr r="C524" s="1"/>
      </tp>
      <tp t="s">
        <v>N/A</v>
        <stp/>
        <stp>PUT_CALL_RATIO</stp>
        <stp>.SCHF201120P34</stp>
        <tr r="C530" s="1"/>
      </tp>
      <tp t="s">
        <v>N/A</v>
        <stp/>
        <stp>PUT_CALL_RATIO</stp>
        <stp>.SCHE201120P29</stp>
        <tr r="C527" s="1"/>
      </tp>
      <tp t="s">
        <v>N/A</v>
        <stp/>
        <stp>PUT_CALL_RATIO</stp>
        <stp>.SPHD201120P36</stp>
        <tr r="C583" s="1"/>
      </tp>
      <tp t="s">
        <v>N/A</v>
        <stp/>
        <stp>PUT_CALL_RATIO</stp>
        <stp>.ASHR201120P38</stp>
        <tr r="C47" s="1"/>
      </tp>
      <tp t="s">
        <v>N/A</v>
        <stp/>
        <stp>PUT_CALL_RATIO</stp>
        <stp>.SCHP201120P61</stp>
        <tr r="C533" s="1"/>
      </tp>
      <tp t="s">
        <v>N/A</v>
        <stp/>
        <stp>ASK</stp>
        <stp>.VGK201120C57</stp>
        <tr r="I722" s="1"/>
      </tp>
      <tp t="s">
        <v>N/A</v>
        <stp/>
        <stp>DESCRIPTION</stp>
        <stp>.XRT201120P54</stp>
        <tr r="B904" s="1"/>
      </tp>
      <tp t="s">
        <v>N/A</v>
        <stp/>
        <stp>DESCRIPTION</stp>
        <stp>.XRT201120P55</stp>
        <tr r="B908" s="1"/>
      </tp>
      <tp t="s">
        <v>N/A</v>
        <stp/>
        <stp>STRIKE</stp>
        <stp>ITOT</stp>
        <tr r="W297" s="1"/>
      </tp>
      <tp>
        <v>0.35</v>
        <stp/>
        <stp>BID</stp>
        <stp>.XHB201120C56</stp>
        <tr r="H785" s="1"/>
      </tp>
      <tp t="s">
        <v>N/A</v>
        <stp/>
        <stp>ASK</stp>
        <stp>.ITB201120P55</stp>
        <tr r="I292" s="1"/>
      </tp>
      <tp>
        <v>0.7</v>
        <stp/>
        <stp>BID</stp>
        <stp>.XHB201120C55</stp>
        <tr r="H781" s="1"/>
      </tp>
      <tp t="s">
        <v>N/A</v>
        <stp/>
        <stp>ASK</stp>
        <stp>.ITB201120P56</stp>
        <tr r="I296" s="1"/>
      </tp>
      <tp>
        <v>0.68</v>
        <stp/>
        <stp>LOW</stp>
        <stp>.XHB201120P55</stp>
        <tr r="K782" s="1"/>
      </tp>
      <tp>
        <v>1.1000000000000001</v>
        <stp/>
        <stp>LOW</stp>
        <stp>.XHB201120P56</stp>
        <tr r="K786" s="1"/>
      </tp>
      <tp t="s">
        <v>N/A</v>
        <stp/>
        <stp>ASK</stp>
        <stp>.PGX201120C15</stp>
        <tr r="I455" s="1"/>
      </tp>
      <tp t="s">
        <v>N/A</v>
        <stp/>
        <stp>STRIKE</stp>
        <stp>MTUM</stp>
        <tr r="W426" s="1"/>
      </tp>
      <tp t="s">
        <v>N/A</v>
        <stp/>
        <stp>RHO</stp>
        <stp>.SCZ201120C63</stp>
        <tr r="Q535" s="1"/>
      </tp>
      <tp t="s">
        <v>N/A</v>
        <stp/>
        <stp>DESCRIPTION</stp>
        <stp>.KRE201120P46</stp>
        <tr r="B390" s="1"/>
      </tp>
      <tp t="s">
        <v>N/A</v>
        <stp/>
        <stp>DESCRIPTION</stp>
        <stp>.KRE201120P47</stp>
        <tr r="B394" s="1"/>
      </tp>
      <tp>
        <v>3156311</v>
        <stp/>
        <stp>VOLUME</stp>
        <stp>KWEB</stp>
        <tr r="F397" s="1"/>
      </tp>
      <tp t="s">
        <v>N/A</v>
        <stp/>
        <stp>DESCRIPTION</stp>
        <stp>.TAN201120C73</stp>
        <tr r="B662" s="1"/>
      </tp>
      <tp t="s">
        <v>N/A</v>
        <stp/>
        <stp>DESCRIPTION</stp>
        <stp>.TAN201120C76</stp>
        <tr r="B674" s="1"/>
      </tp>
      <tp t="s">
        <v>N/A</v>
        <stp/>
        <stp>DESCRIPTION</stp>
        <stp>.TAN201120C77</stp>
        <tr r="B678" s="1"/>
      </tp>
      <tp t="s">
        <v>N/A</v>
        <stp/>
        <stp>DESCRIPTION</stp>
        <stp>.TAN201120C74</stp>
        <tr r="B666" s="1"/>
      </tp>
      <tp t="s">
        <v>N/A</v>
        <stp/>
        <stp>DESCRIPTION</stp>
        <stp>.TAN201120C75</stp>
        <tr r="B670" s="1"/>
      </tp>
      <tp t="s">
        <v>N/A</v>
        <stp/>
        <stp>PUT_CALL_RATIO</stp>
        <stp>.SHY201120P86.5</stp>
        <tr r="C547" s="1"/>
      </tp>
      <tp t="s">
        <v>N/A</v>
        <stp/>
        <stp>PUT_CALL_RATIO</stp>
        <stp>.SHY201120C86.5</stp>
        <tr r="C546" s="1"/>
      </tp>
      <tp t="s">
        <v>N/A</v>
        <stp/>
        <stp>PUT_CALL_RATIO</stp>
        <stp>.TAN201120P76.5</stp>
        <tr r="C677" s="1"/>
      </tp>
      <tp t="s">
        <v>N/A</v>
        <stp/>
        <stp>PUT_CALL_RATIO</stp>
        <stp>.TAN201120C76.5</stp>
        <tr r="C676" s="1"/>
      </tp>
      <tp t="s">
        <v>N/A</v>
        <stp/>
        <stp>EXTRINSIC</stp>
        <stp>.ARKW201120P116</stp>
        <tr r="S36" s="1"/>
      </tp>
      <tp t="s">
        <v>N/A</v>
        <stp/>
        <stp>EXTRINSIC</stp>
        <stp>.ARKW201120C116</stp>
        <tr r="S35" s="1"/>
      </tp>
      <tp t="s">
        <v>N/A</v>
        <stp/>
        <stp>EXTRINSIC</stp>
        <stp>.ARKW201120P117</stp>
        <tr r="S38" s="1"/>
      </tp>
      <tp t="s">
        <v>N/A</v>
        <stp/>
        <stp>EXTRINSIC</stp>
        <stp>.ARKW201120C117</stp>
        <tr r="S37" s="1"/>
      </tp>
      <tp t="s">
        <v>N/A</v>
        <stp/>
        <stp>INTRINSIC</stp>
        <stp>.ARKW201120C118</stp>
        <tr r="R39" s="1"/>
      </tp>
      <tp t="s">
        <v>N/A</v>
        <stp/>
        <stp>INTRINSIC</stp>
        <stp>.ARKW201120P118</stp>
        <tr r="R40" s="1"/>
      </tp>
      <tp t="s">
        <v>N/A</v>
        <stp/>
        <stp>INTRINSIC</stp>
        <stp>.ARKW201120C119</stp>
        <tr r="R41" s="1"/>
      </tp>
      <tp t="s">
        <v>N/A</v>
        <stp/>
        <stp>INTRINSIC</stp>
        <stp>.ARKW201120P119</stp>
        <tr r="R42" s="1"/>
      </tp>
      <tp t="s">
        <v>N/A</v>
        <stp/>
        <stp>INTRINSIC</stp>
        <stp>.ARKW201120C116</stp>
        <tr r="R35" s="1"/>
      </tp>
      <tp t="s">
        <v>N/A</v>
        <stp/>
        <stp>INTRINSIC</stp>
        <stp>.ARKW201120P116</stp>
        <tr r="R36" s="1"/>
      </tp>
      <tp t="s">
        <v>N/A</v>
        <stp/>
        <stp>INTRINSIC</stp>
        <stp>.ARKW201120C117</stp>
        <tr r="R37" s="1"/>
      </tp>
      <tp t="s">
        <v>N/A</v>
        <stp/>
        <stp>INTRINSIC</stp>
        <stp>.ARKW201120P117</stp>
        <tr r="R38" s="1"/>
      </tp>
      <tp t="s">
        <v>N/A</v>
        <stp/>
        <stp>EXTRINSIC</stp>
        <stp>.ARKW201120P118</stp>
        <tr r="S40" s="1"/>
      </tp>
      <tp t="s">
        <v>N/A</v>
        <stp/>
        <stp>EXTRINSIC</stp>
        <stp>.ARKW201120C118</stp>
        <tr r="S39" s="1"/>
      </tp>
      <tp t="s">
        <v>N/A</v>
        <stp/>
        <stp>EXTRINSIC</stp>
        <stp>.ARKW201120P119</stp>
        <tr r="S42" s="1"/>
      </tp>
      <tp t="s">
        <v>N/A</v>
        <stp/>
        <stp>EXTRINSIC</stp>
        <stp>.ARKW201120C119</stp>
        <tr r="S41" s="1"/>
      </tp>
      <tp t="s">
        <v>N/A</v>
        <stp/>
        <stp>PUT_CALL_RATIO</stp>
        <stp>.VWO201120C46.5</stp>
        <tr r="C749" s="1"/>
      </tp>
      <tp t="s">
        <v>N/A</v>
        <stp/>
        <stp>PUT_CALL_RATIO</stp>
        <stp>.VWO201120P46.5</stp>
        <tr r="C750" s="1"/>
      </tp>
      <tp t="s">
        <v>N/A</v>
        <stp/>
        <stp>PUT_CALL_RATIO</stp>
        <stp>.XLP201120P66.5</stp>
        <tr r="C843" s="1"/>
      </tp>
      <tp t="s">
        <v>N/A</v>
        <stp/>
        <stp>PUT_CALL_RATIO</stp>
        <stp>.XLU201120P66.5</stp>
        <tr r="C853" s="1"/>
      </tp>
      <tp t="s">
        <v>N/A</v>
        <stp/>
        <stp>PUT_CALL_RATIO</stp>
        <stp>.XME201120P26.5</stp>
        <tr r="C886" s="1"/>
      </tp>
      <tp t="s">
        <v>N/A</v>
        <stp/>
        <stp>PUT_CALL_RATIO</stp>
        <stp>.XME201120C26.5</stp>
        <tr r="C885" s="1"/>
      </tp>
      <tp t="s">
        <v>N/A</v>
        <stp/>
        <stp>PUT_CALL_RATIO</stp>
        <stp>.XLP201120C66.5</stp>
        <tr r="C842" s="1"/>
      </tp>
      <tp t="s">
        <v>N/A</v>
        <stp/>
        <stp>PUT_CALL_RATIO</stp>
        <stp>.XLU201120C66.5</stp>
        <tr r="C852" s="1"/>
      </tp>
      <tp t="s">
        <v>N/A</v>
        <stp/>
        <stp>PROB_OF_EXPIRING</stp>
        <stp>LQD</stp>
        <tr r="T404" s="1"/>
      </tp>
      <tp t="s">
        <v>N/A</v>
        <stp/>
        <stp>PUT_CALL_RATIO</stp>
        <stp>.GDX201120P36.5</stp>
        <tr r="C197" s="1"/>
      </tp>
      <tp t="s">
        <v>N/A</v>
        <stp/>
        <stp>PUT_CALL_RATIO</stp>
        <stp>.GDX201120C36.5</stp>
        <tr r="C196" s="1"/>
      </tp>
      <tp t="s">
        <v>N/A</v>
        <stp/>
        <stp>PUT_CALL_RATIO</stp>
        <stp>.KRE201120C46.5</stp>
        <tr r="C391" s="1"/>
      </tp>
      <tp t="s">
        <v>N/A</v>
        <stp/>
        <stp>PUT_CALL_RATIO</stp>
        <stp>.KRE201120P46.5</stp>
        <tr r="C392" s="1"/>
      </tp>
      <tp>
        <v>89</v>
        <stp/>
        <stp>OPEN_INT</stp>
        <stp>.GDXJ201120C52.5</stp>
        <tr r="G205" s="1"/>
      </tp>
      <tp>
        <v>432</v>
        <stp/>
        <stp>OPEN_INT</stp>
        <stp>.GDXJ201120P52.5</stp>
        <tr r="G206" s="1"/>
      </tp>
      <tp t="s">
        <v>N/A</v>
        <stp/>
        <stp>PROB_OTM</stp>
        <stp>.XLY201120P152.5</stp>
        <tr r="U873" s="1"/>
      </tp>
      <tp t="s">
        <v>N/A</v>
        <stp/>
        <stp>PROB_OTM</stp>
        <stp>.XLK201120P122.5</stp>
        <tr r="U838" s="1"/>
      </tp>
      <tp t="s">
        <v>N/A</v>
        <stp/>
        <stp>PROB_OF_TOUCHING</stp>
        <stp>.QQQ201120C292.5</stp>
        <tr r="V492" s="1"/>
      </tp>
      <tp t="s">
        <v>N/A</v>
        <stp/>
        <stp>EXTRINSIC</stp>
        <stp>XLRE</stp>
        <tr r="S846" s="1"/>
      </tp>
      <tp>
        <v>0.78</v>
        <stp/>
        <stp>OPEN</stp>
        <stp>.EWZ201120P31.5</stp>
        <tr r="L174" s="1"/>
      </tp>
      <tp>
        <v>0.66</v>
        <stp/>
        <stp>OPEN</stp>
        <stp>.EWY201120P71.5</stp>
        <tr r="L163" s="1"/>
      </tp>
      <tp>
        <v>0.65</v>
        <stp/>
        <stp>OPEN</stp>
        <stp>.EWZ201120C31.5</stp>
        <tr r="L173" s="1"/>
      </tp>
      <tp t="s">
        <v>N/A</v>
        <stp/>
        <stp>OPEN</stp>
        <stp>.EWY201120C71.5</stp>
        <tr r="L162" s="1"/>
      </tp>
      <tp t="s">
        <v>N/A</v>
        <stp/>
        <stp>PROB_OF_EXPIRING</stp>
        <stp>.SMH201120P195.5</stp>
        <tr r="T565" s="1"/>
      </tp>
      <tp t="s">
        <v>N/A</v>
        <stp/>
        <stp>PROB_OF_EXPIRING</stp>
        <stp>.QQQ201120C287.5</stp>
        <tr r="T480" s="1"/>
      </tp>
      <tp t="s">
        <v>N/A</v>
        <stp/>
        <stp>INTRINSIC</stp>
        <stp>XLRE</stp>
        <tr r="R846" s="1"/>
      </tp>
      <tp t="s">
        <v>N/A</v>
        <stp/>
        <stp>OPEN_INT</stp>
        <stp>.MDY201120C387.5</stp>
        <tr r="G421" s="1"/>
      </tp>
      <tp t="s">
        <v>N/A</v>
        <stp/>
        <stp>PROB_OTM</stp>
        <stp>.XBI201120P122.5</stp>
        <tr r="U767" s="1"/>
      </tp>
      <tp t="s">
        <v>N/A</v>
        <stp/>
        <stp>PROB_OTM</stp>
        <stp>.IBB201120P141</stp>
        <tr r="U242" s="1"/>
      </tp>
      <tp t="s">
        <v>N/A</v>
        <stp/>
        <stp>PROB_OTM</stp>
        <stp>.IBB201120C141</stp>
        <tr r="U241" s="1"/>
      </tp>
      <tp t="s">
        <v>N/A</v>
        <stp/>
        <stp>PROB_OTM</stp>
        <stp>.IBB201120P140</stp>
        <tr r="U238" s="1"/>
      </tp>
      <tp t="s">
        <v>N/A</v>
        <stp/>
        <stp>PROB_OTM</stp>
        <stp>.IBB201120C140</stp>
        <tr r="U237" s="1"/>
      </tp>
      <tp t="s">
        <v>N/A</v>
        <stp/>
        <stp>OPEN</stp>
        <stp>.SSO201120P81.5</stp>
        <tr r="L646" s="1"/>
      </tp>
      <tp t="s">
        <v>N/A</v>
        <stp/>
        <stp>OPEN</stp>
        <stp>.SSO201120C81.5</stp>
        <tr r="L645" s="1"/>
      </tp>
      <tp t="s">
        <v>N/A</v>
        <stp/>
        <stp>PROB_OTM</stp>
        <stp>.XLY201120C152.5</stp>
        <tr r="U872" s="1"/>
      </tp>
      <tp t="s">
        <v>N/A</v>
        <stp/>
        <stp>PROB_OTM</stp>
        <stp>.XLK201120C122.5</stp>
        <tr r="U837" s="1"/>
      </tp>
      <tp t="s">
        <v>N/A</v>
        <stp/>
        <stp>PROB_OF_TOUCHING</stp>
        <stp>.QQQ201120P292.5</stp>
        <tr r="V493" s="1"/>
      </tp>
      <tp t="s">
        <v>18.04%</v>
        <stp/>
        <stp>IMPL_VOL</stp>
        <stp>.SPY201118C359</stp>
        <tr r="D603" s="1"/>
      </tp>
      <tp t="s">
        <v>18.63%</v>
        <stp/>
        <stp>IMPL_VOL</stp>
        <stp>.SPY201120C361</stp>
        <tr r="D627" s="1"/>
      </tp>
      <tp t="s">
        <v>15.17%</v>
        <stp/>
        <stp>IMPL_VOL</stp>
        <stp>.SPY201118P359</stp>
        <tr r="D604" s="1"/>
      </tp>
      <tp t="s">
        <v>15.57%</v>
        <stp/>
        <stp>IMPL_VOL</stp>
        <stp>.SPY201120P361</stp>
        <tr r="D628" s="1"/>
      </tp>
      <tp t="s">
        <v>18.49%</v>
        <stp/>
        <stp>IMPL_VOL</stp>
        <stp>.SPY201118C358</stp>
        <tr r="D601" s="1"/>
      </tp>
      <tp t="s">
        <v>19.01%</v>
        <stp/>
        <stp>IMPL_VOL</stp>
        <stp>.SPY201120C360</stp>
        <tr r="D625" s="1"/>
      </tp>
      <tp t="s">
        <v>15.89%</v>
        <stp/>
        <stp>IMPL_VOL</stp>
        <stp>.SPY201118P358</stp>
        <tr r="D602" s="1"/>
      </tp>
      <tp t="s">
        <v>16.21%</v>
        <stp/>
        <stp>IMPL_VOL</stp>
        <stp>.SPY201120P360</stp>
        <tr r="D626" s="1"/>
      </tp>
      <tp t="s">
        <v>20.06%</v>
        <stp/>
        <stp>IMPL_VOL</stp>
        <stp>.SPY201118C355</stp>
        <tr r="D595" s="1"/>
      </tp>
      <tp t="s">
        <v>17.83%</v>
        <stp/>
        <stp>IMPL_VOL</stp>
        <stp>.SPY201118P355</stp>
        <tr r="D596" s="1"/>
      </tp>
      <tp t="s">
        <v>20.63%</v>
        <stp/>
        <stp>IMPL_VOL</stp>
        <stp>.SPY201118C354</stp>
        <tr r="D593" s="1"/>
      </tp>
      <tp t="s">
        <v>18.49%</v>
        <stp/>
        <stp>IMPL_VOL</stp>
        <stp>.SPY201118P354</stp>
        <tr r="D594" s="1"/>
      </tp>
      <tp t="s">
        <v>18.97%</v>
        <stp/>
        <stp>IMPL_VOL</stp>
        <stp>.SPY201118C357</stp>
        <tr r="D599" s="1"/>
      </tp>
      <tp t="s">
        <v>16.56%</v>
        <stp/>
        <stp>IMPL_VOL</stp>
        <stp>.SPY201118P357</stp>
        <tr r="D600" s="1"/>
      </tp>
      <tp t="s">
        <v>19.51%</v>
        <stp/>
        <stp>IMPL_VOL</stp>
        <stp>.SPY201118C356</stp>
        <tr r="D597" s="1"/>
      </tp>
      <tp t="s">
        <v>17.22%</v>
        <stp/>
        <stp>IMPL_VOL</stp>
        <stp>.SPY201118P356</stp>
        <tr r="D598" s="1"/>
      </tp>
      <tp t="s">
        <v>21.23%</v>
        <stp/>
        <stp>IMPL_VOL</stp>
        <stp>.SPY201118C353</stp>
        <tr r="D591" s="1"/>
      </tp>
      <tp t="s">
        <v>19.06%</v>
        <stp/>
        <stp>IMPL_VOL</stp>
        <stp>.SPY201118P353</stp>
        <tr r="D592" s="1"/>
      </tp>
      <tp t="s">
        <v>N/A</v>
        <stp/>
        <stp>PROB_OF_EXPIRING</stp>
        <stp>.SMH201120C195.5</stp>
        <tr r="T564" s="1"/>
      </tp>
      <tp t="s">
        <v>N/A</v>
        <stp/>
        <stp>PROB_OTM</stp>
        <stp>.EMB201120P114</stp>
        <tr r="U113" s="1"/>
      </tp>
      <tp t="s">
        <v>N/A</v>
        <stp/>
        <stp>PROB_OTM</stp>
        <stp>.EMB201120C114</stp>
        <tr r="U112" s="1"/>
      </tp>
      <tp t="s">
        <v>N/A</v>
        <stp/>
        <stp>PROB_OTM</stp>
        <stp>.MUB201120C116</stp>
        <tr r="U436" s="1"/>
      </tp>
      <tp t="s">
        <v>N/A</v>
        <stp/>
        <stp>PROB_OTM</stp>
        <stp>.MUB201120P116</stp>
        <tr r="U437" s="1"/>
      </tp>
      <tp t="s">
        <v>N/A</v>
        <stp/>
        <stp>PROB_OTM</stp>
        <stp>.IBB201120P139</stp>
        <tr r="U234" s="1"/>
      </tp>
      <tp t="s">
        <v>N/A</v>
        <stp/>
        <stp>PROB_OTM</stp>
        <stp>.IBB201120C139</stp>
        <tr r="U233" s="1"/>
      </tp>
      <tp t="s">
        <v>N/A</v>
        <stp/>
        <stp>PROB_OTM</stp>
        <stp>.IBB201120P138</stp>
        <tr r="U230" s="1"/>
      </tp>
      <tp t="s">
        <v>N/A</v>
        <stp/>
        <stp>PROB_OTM</stp>
        <stp>.IBB201120C138</stp>
        <tr r="U229" s="1"/>
      </tp>
      <tp t="s">
        <v>21.40%</v>
        <stp/>
        <stp>IMPL_VOL</stp>
        <stp>.SPY201120C355</stp>
        <tr r="D613" s="1"/>
      </tp>
      <tp t="s">
        <v>19.25%</v>
        <stp/>
        <stp>IMPL_VOL</stp>
        <stp>.SPY201120P355</stp>
        <tr r="D614" s="1"/>
      </tp>
      <tp t="s">
        <v>21.94%</v>
        <stp/>
        <stp>IMPL_VOL</stp>
        <stp>.SPY201120C354</stp>
        <tr r="D611" s="1"/>
      </tp>
      <tp t="s">
        <v>19.82%</v>
        <stp/>
        <stp>IMPL_VOL</stp>
        <stp>.SPY201120P354</stp>
        <tr r="D612" s="1"/>
      </tp>
      <tp t="s">
        <v>20.37%</v>
        <stp/>
        <stp>IMPL_VOL</stp>
        <stp>.SPY201120C357</stp>
        <tr r="D617" s="1"/>
      </tp>
      <tp t="s">
        <v>18.10%</v>
        <stp/>
        <stp>IMPL_VOL</stp>
        <stp>.SPY201120P357</stp>
        <tr r="D618" s="1"/>
      </tp>
      <tp t="s">
        <v>20.86%</v>
        <stp/>
        <stp>IMPL_VOL</stp>
        <stp>.SPY201120C356</stp>
        <tr r="D615" s="1"/>
      </tp>
      <tp t="s">
        <v>18.66%</v>
        <stp/>
        <stp>IMPL_VOL</stp>
        <stp>.SPY201120P356</stp>
        <tr r="D616" s="1"/>
      </tp>
      <tp t="s">
        <v>22.49%</v>
        <stp/>
        <stp>IMPL_VOL</stp>
        <stp>.SPY201120C353</stp>
        <tr r="D609" s="1"/>
      </tp>
      <tp t="s">
        <v>20.40%</v>
        <stp/>
        <stp>IMPL_VOL</stp>
        <stp>.SPY201120P353</stp>
        <tr r="D610" s="1"/>
      </tp>
      <tp t="s">
        <v>19.44%</v>
        <stp/>
        <stp>IMPL_VOL</stp>
        <stp>.SPY201120C359</stp>
        <tr r="D623" s="1"/>
      </tp>
      <tp t="s">
        <v>16.86%</v>
        <stp/>
        <stp>IMPL_VOL</stp>
        <stp>.SPY201120P359</stp>
        <tr r="D624" s="1"/>
      </tp>
      <tp t="s">
        <v>17.63%</v>
        <stp/>
        <stp>IMPL_VOL</stp>
        <stp>.SPY201118C360</stp>
        <tr r="D605" s="1"/>
      </tp>
      <tp t="s">
        <v>19.87%</v>
        <stp/>
        <stp>IMPL_VOL</stp>
        <stp>.SPY201120C358</stp>
        <tr r="D621" s="1"/>
      </tp>
      <tp t="s">
        <v>14.40%</v>
        <stp/>
        <stp>IMPL_VOL</stp>
        <stp>.SPY201118P360</stp>
        <tr r="D606" s="1"/>
      </tp>
      <tp t="s">
        <v>17.50%</v>
        <stp/>
        <stp>IMPL_VOL</stp>
        <stp>.SPY201120P358</stp>
        <tr r="D622" s="1"/>
      </tp>
      <tp t="s">
        <v>N/A</v>
        <stp/>
        <stp>IMPL_VOL</stp>
        <stp>.MDY201120P380</stp>
        <tr r="D416" s="1"/>
      </tp>
      <tp t="s">
        <v>N/A</v>
        <stp/>
        <stp>IMPL_VOL</stp>
        <stp>.MDY201120C380</stp>
        <tr r="D415" s="1"/>
      </tp>
      <tp t="s">
        <v>N/A</v>
        <stp/>
        <stp>IMPL_VOL</stp>
        <stp>.MDY201120P385</stp>
        <tr r="D420" s="1"/>
      </tp>
      <tp t="s">
        <v>N/A</v>
        <stp/>
        <stp>IMPL_VOL</stp>
        <stp>.MDY201120C385</stp>
        <tr r="D419" s="1"/>
      </tp>
      <tp t="s">
        <v>N/A</v>
        <stp/>
        <stp>PROB_OF_EXPIRING</stp>
        <stp>.QQQ201120P287.5</stp>
        <tr r="T481" s="1"/>
      </tp>
      <tp t="s">
        <v>N/A</v>
        <stp/>
        <stp>PROB_OTM</stp>
        <stp>.DIA201120P296</stp>
        <tr r="U76" s="1"/>
      </tp>
      <tp t="s">
        <v>N/A</v>
        <stp/>
        <stp>PROB_OTM</stp>
        <stp>.DIA201120C296</stp>
        <tr r="U75" s="1"/>
      </tp>
      <tp t="s">
        <v>N/A</v>
        <stp/>
        <stp>PROB_OTM</stp>
        <stp>.DIA201120P297</stp>
        <tr r="U78" s="1"/>
      </tp>
      <tp t="s">
        <v>N/A</v>
        <stp/>
        <stp>PROB_OTM</stp>
        <stp>.DIA201120C297</stp>
        <tr r="U77" s="1"/>
      </tp>
      <tp t="s">
        <v>N/A</v>
        <stp/>
        <stp>PROB_OTM</stp>
        <stp>.DIA201120P294</stp>
        <tr r="U72" s="1"/>
      </tp>
      <tp t="s">
        <v>N/A</v>
        <stp/>
        <stp>PROB_OTM</stp>
        <stp>.DIA201120C294</stp>
        <tr r="U71" s="1"/>
      </tp>
      <tp t="s">
        <v>N/A</v>
        <stp/>
        <stp>PROB_OTM</stp>
        <stp>.DIA201120P295</stp>
        <tr r="U74" s="1"/>
      </tp>
      <tp t="s">
        <v>N/A</v>
        <stp/>
        <stp>PROB_OTM</stp>
        <stp>.DIA201120C295</stp>
        <tr r="U73" s="1"/>
      </tp>
      <tp t="s">
        <v>N/A</v>
        <stp/>
        <stp>PROB_OTM</stp>
        <stp>.DIA201120P292</stp>
        <tr r="U66" s="1"/>
      </tp>
      <tp t="s">
        <v>N/A</v>
        <stp/>
        <stp>PROB_OTM</stp>
        <stp>.DIA201120C292</stp>
        <tr r="U65" s="1"/>
      </tp>
      <tp t="s">
        <v>N/A</v>
        <stp/>
        <stp>PROB_OTM</stp>
        <stp>.DIA201120P293</stp>
        <tr r="U70" s="1"/>
      </tp>
      <tp t="s">
        <v>N/A</v>
        <stp/>
        <stp>PROB_OTM</stp>
        <stp>.DIA201120C293</stp>
        <tr r="U69" s="1"/>
      </tp>
      <tp t="s">
        <v>N/A</v>
        <stp/>
        <stp>PROB_OTM</stp>
        <stp>.DIA201120P291</stp>
        <tr r="U64" s="1"/>
      </tp>
      <tp t="s">
        <v>N/A</v>
        <stp/>
        <stp>PROB_OTM</stp>
        <stp>.DIA201120C291</stp>
        <tr r="U63" s="1"/>
      </tp>
      <tp t="s">
        <v>N/A</v>
        <stp/>
        <stp>OPEN_INT</stp>
        <stp>.MDY201120P387.5</stp>
        <tr r="G422" s="1"/>
      </tp>
      <tp t="s">
        <v>N/A</v>
        <stp/>
        <stp>PROB_OTM</stp>
        <stp>.XBI201120C122.5</stp>
        <tr r="U766" s="1"/>
      </tp>
      <tp t="s">
        <v>N/A</v>
        <stp/>
        <stp>STRIKE</stp>
        <stp>.HYLB201120P49</stp>
        <tr r="W227" s="1"/>
      </tp>
      <tp t="s">
        <v>N/A</v>
        <stp/>
        <stp>STRIKE</stp>
        <stp>.SPLG201120P42</stp>
        <tr r="W586" s="1"/>
      </tp>
      <tp t="s">
        <v>N/A</v>
        <stp/>
        <stp>STRIKE</stp>
        <stp>.EMLC201120P32</stp>
        <tr r="W116" s="1"/>
      </tp>
      <tp t="s">
        <v>N/A</v>
        <stp/>
        <stp>DESCRIPTION</stp>
        <stp>.RSX201120P22.5</stp>
        <tr r="B516" s="1"/>
      </tp>
      <tp t="s">
        <v>N/A</v>
        <stp/>
        <stp>DESCRIPTION</stp>
        <stp>.RSX201120C22.5</stp>
        <tr r="B515" s="1"/>
      </tp>
      <tp t="s">
        <v>N/A</v>
        <stp/>
        <stp>DESCRIPTION</stp>
        <stp>.SSO201120P82.5</stp>
        <tr r="B650" s="1"/>
      </tp>
      <tp t="s">
        <v>N/A</v>
        <stp/>
        <stp>DESCRIPTION</stp>
        <stp>.SSO201120C82.5</stp>
        <tr r="B649" s="1"/>
      </tp>
      <tp t="s">
        <v>N/A</v>
        <stp/>
        <stp>STRIKE</stp>
        <stp>.BKLN201120P22</stp>
        <tr r="W50" s="1"/>
      </tp>
      <tp t="s">
        <v>N/A</v>
        <stp/>
        <stp>STRIKE</stp>
        <stp>.ICLN201120P22</stp>
        <tr r="W247" s="1"/>
      </tp>
      <tp t="s">
        <v>N/A</v>
        <stp/>
        <stp>DESCRIPTION</stp>
        <stp>.TAN201120C72.5</stp>
        <tr r="B660" s="1"/>
      </tp>
      <tp t="s">
        <v>N/A</v>
        <stp/>
        <stp>DESCRIPTION</stp>
        <stp>.TAN201120P72.5</stp>
        <tr r="B661" s="1"/>
      </tp>
      <tp t="s">
        <v>N/A</v>
        <stp/>
        <stp>PUT_CALL_RATIO</stp>
        <stp>.JETS201120C20</stp>
        <tr r="C378" s="1"/>
      </tp>
      <tp>
        <v>1</v>
        <stp/>
        <stp>VOLUME</stp>
        <stp>.DGRO201120P43</stp>
        <tr r="F61" s="1"/>
      </tp>
      <tp t="s">
        <v>N/A</v>
        <stp/>
        <stp>STRIKE</stp>
        <stp>.AMLP201120P23</stp>
        <tr r="W20" s="1"/>
      </tp>
      <tp t="s">
        <v>N/A</v>
        <stp/>
        <stp>STRIKE</stp>
        <stp>.AMLP201120P24</stp>
        <tr r="W24" s="1"/>
      </tp>
      <tp t="s">
        <v>N/A</v>
        <stp/>
        <stp>STRIKE</stp>
        <stp>.SPLV201120P55</stp>
        <tr r="W589" s="1"/>
      </tp>
      <tp>
        <v>3</v>
        <stp/>
        <stp>VOLUME</stp>
        <stp>.XLRE201120P37</stp>
        <tr r="F848" s="1"/>
      </tp>
      <tp t="s">
        <v>N/A</v>
        <stp/>
        <stp>DESCRIPTION</stp>
        <stp>.EWY201120P72.5</stp>
        <tr r="B167" s="1"/>
      </tp>
      <tp t="s">
        <v>N/A</v>
        <stp/>
        <stp>DESCRIPTION</stp>
        <stp>.EWY201120C72.5</stp>
        <tr r="B166" s="1"/>
      </tp>
      <tp t="s">
        <v>N/A</v>
        <stp/>
        <stp>RHO</stp>
        <stp>.QLD201120C97</stp>
        <tr r="Q465" s="1"/>
      </tp>
      <tp t="s">
        <v>N/A</v>
        <stp/>
        <stp>RHO</stp>
        <stp>.QLD201120C96</stp>
        <tr r="Q463" s="1"/>
      </tp>
      <tp t="s">
        <v>N/A</v>
        <stp/>
        <stp>RHO</stp>
        <stp>.QLD201120C99</stp>
        <tr r="Q469" s="1"/>
      </tp>
      <tp t="s">
        <v>N/A</v>
        <stp/>
        <stp>RHO</stp>
        <stp>.QLD201120C98</stp>
        <tr r="Q467" s="1"/>
      </tp>
      <tp t="s">
        <v>N/A</v>
        <stp/>
        <stp>BID</stp>
        <stp>.VGK201120C57</stp>
        <tr r="H722" s="1"/>
      </tp>
      <tp>
        <v>0</v>
        <stp/>
        <stp>LOW</stp>
        <stp>.VGK201120P57</stp>
        <tr r="K723" s="1"/>
      </tp>
      <tp>
        <v>3027345</v>
        <stp/>
        <stp>VOLUME</stp>
        <stp>VXUS</stp>
        <tr r="F753" s="1"/>
      </tp>
      <tp>
        <v>1202204</v>
        <stp/>
        <stp>VOLUME</stp>
        <stp>IXUS</stp>
        <tr r="F360" s="1"/>
      </tp>
      <tp t="s">
        <v>N/A</v>
        <stp/>
        <stp>RHO</stp>
        <stp>.XLI201120C86</stp>
        <tr r="Q822" s="1"/>
      </tp>
      <tp t="s">
        <v>N/A</v>
        <stp/>
        <stp>RHO</stp>
        <stp>.XLI201120C85</stp>
        <tr r="Q818" s="1"/>
      </tp>
      <tp t="s">
        <v>N/A</v>
        <stp/>
        <stp>RHO</stp>
        <stp>.XLI201120C84</stp>
        <tr r="Q814" s="1"/>
      </tp>
      <tp t="s">
        <v>N/A</v>
        <stp/>
        <stp>RHO</stp>
        <stp>.XLC201120C64</stp>
        <tr r="Q801" s="1"/>
      </tp>
      <tp t="s">
        <v>N/A</v>
        <stp/>
        <stp>RHO</stp>
        <stp>.XLC201120C63</stp>
        <tr r="Q797" s="1"/>
      </tp>
      <tp t="s">
        <v>N/A</v>
        <stp/>
        <stp>RHO</stp>
        <stp>.XLB201120C70</stp>
        <tr r="Q794" s="1"/>
      </tp>
      <tp t="s">
        <v>N/A</v>
        <stp/>
        <stp>RHO</stp>
        <stp>.XLF201120C27</stp>
        <tr r="Q811" s="1"/>
      </tp>
      <tp t="s">
        <v>N/A</v>
        <stp/>
        <stp>RHO</stp>
        <stp>.ILF201120C25</stp>
        <tr r="Q278" s="1"/>
      </tp>
      <tp t="s">
        <v>N/A</v>
        <stp/>
        <stp>RHO</stp>
        <stp>.XLB201120C69</stp>
        <tr r="Q790" s="1"/>
      </tp>
      <tp t="s">
        <v>N/A</v>
        <stp/>
        <stp>BID</stp>
        <stp>.ITB201120P56</stp>
        <tr r="H296" s="1"/>
      </tp>
      <tp>
        <v>1</v>
        <stp/>
        <stp>ASK</stp>
        <stp>.XHB201120C55</stp>
        <tr r="I781" s="1"/>
      </tp>
      <tp t="s">
        <v>N/A</v>
        <stp/>
        <stp>BID</stp>
        <stp>.ITB201120P55</stp>
        <tr r="H292" s="1"/>
      </tp>
      <tp>
        <v>0.6</v>
        <stp/>
        <stp>ASK</stp>
        <stp>.XHB201120C56</stp>
        <tr r="I785" s="1"/>
      </tp>
      <tp t="s">
        <v>N/A</v>
        <stp/>
        <stp>LOW</stp>
        <stp>.ITB201120C55</stp>
        <tr r="K291" s="1"/>
      </tp>
      <tp t="s">
        <v>N/A</v>
        <stp/>
        <stp>LOW</stp>
        <stp>.ITB201120C56</stp>
        <tr r="K295" s="1"/>
      </tp>
      <tp t="s">
        <v>N/A</v>
        <stp/>
        <stp>RHO</stp>
        <stp>.XLE201120C34</stp>
        <tr r="Q806" s="1"/>
      </tp>
      <tp t="s">
        <v>N/A</v>
        <stp/>
        <stp>DESCRIPTION</stp>
        <stp>.VNQ201120C84</stp>
        <tr r="B725" s="1"/>
      </tp>
      <tp t="s">
        <v>N/A</v>
        <stp/>
        <stp>DESCRIPTION</stp>
        <stp>.VNQ201120C85</stp>
        <tr r="B727" s="1"/>
      </tp>
      <tp t="s">
        <v>N/A</v>
        <stp/>
        <stp>BID</stp>
        <stp>.PGX201120C15</stp>
        <tr r="H455" s="1"/>
      </tp>
      <tp t="s">
        <v>N/A</v>
        <stp/>
        <stp>LOW</stp>
        <stp>.PGX201120P15</stp>
        <tr r="K456" s="1"/>
      </tp>
      <tp t="s">
        <v>N/A</v>
        <stp/>
        <stp>RHO</stp>
        <stp>.XLU201120C67</stp>
        <tr r="Q854" s="1"/>
      </tp>
      <tp t="s">
        <v>N/A</v>
        <stp/>
        <stp>RHO</stp>
        <stp>.XLU201120C66</stp>
        <tr r="Q850" s="1"/>
      </tp>
      <tp>
        <v>0.30099999999999999</v>
        <stp/>
        <stp>PUT_CALL_RATIO</stp>
        <stp>DFEN</stp>
        <tr r="C54" s="1"/>
      </tp>
      <tp t="s">
        <v>N/A</v>
        <stp/>
        <stp>RHO</stp>
        <stp>.XLP201120C67</stp>
        <tr r="Q844" s="1"/>
      </tp>
      <tp t="s">
        <v>N/A</v>
        <stp/>
        <stp>PROB_OTM</stp>
        <stp>RSP</stp>
        <tr r="U505" s="1"/>
      </tp>
      <tp t="s">
        <v>N/A</v>
        <stp/>
        <stp>PROB_OTM</stp>
        <stp>RSX</stp>
        <tr r="U512" s="1"/>
      </tp>
      <tp>
        <v>0</v>
        <stp/>
        <stp>OPEN_INT</stp>
        <stp>VFH</stp>
        <tr r="G713" s="1"/>
      </tp>
      <tp t="s">
        <v>N/A</v>
        <stp/>
        <stp>PROB_OTM</stp>
        <stp>RWM</stp>
        <tr r="U517" s="1"/>
      </tp>
      <tp>
        <v>0</v>
        <stp/>
        <stp>OPEN_INT</stp>
        <stp>VGK</stp>
        <tr r="G721" s="1"/>
      </tp>
      <tp>
        <v>0</v>
        <stp/>
        <stp>OPEN_INT</stp>
        <stp>VEU</stp>
        <tr r="G710" s="1"/>
      </tp>
      <tp>
        <v>0</v>
        <stp/>
        <stp>OPEN_INT</stp>
        <stp>VEA</stp>
        <tr r="G707" s="1"/>
      </tp>
      <tp t="s">
        <v>N/A</v>
        <stp/>
        <stp>PUT_CALL_RATIO</stp>
        <stp>.XOP201120P49.5</stp>
        <tr r="C901" s="1"/>
      </tp>
      <tp t="s">
        <v>N/A</v>
        <stp/>
        <stp>PUT_CALL_RATIO</stp>
        <stp>.XLB201120P69.5</stp>
        <tr r="C793" s="1"/>
      </tp>
      <tp t="s">
        <v>N/A</v>
        <stp/>
        <stp>PUT_CALL_RATIO</stp>
        <stp>.XLB201120C69.5</stp>
        <tr r="C792" s="1"/>
      </tp>
      <tp t="s">
        <v>N/A</v>
        <stp/>
        <stp>PUT_CALL_RATIO</stp>
        <stp>.XOP201120C49.5</stp>
        <tr r="C900" s="1"/>
      </tp>
      <tp>
        <v>0</v>
        <stp/>
        <stp>OPEN_INT</stp>
        <stp>VNQ</stp>
        <tr r="G724" s="1"/>
      </tp>
      <tp>
        <v>0</v>
        <stp/>
        <stp>OPEN_INT</stp>
        <stp>VOO</stp>
        <tr r="G729" s="1"/>
      </tp>
      <tp t="s">
        <v>N/A</v>
        <stp/>
        <stp>PROB_OF_TOUCHING</stp>
        <stp>TIP</stp>
        <tr r="V686" s="1"/>
      </tp>
      <tp t="s">
        <v>13.09%</v>
        <stp/>
        <stp>IMPL_VOL</stp>
        <stp>TBF</stp>
        <tr r="D680" s="1"/>
      </tp>
      <tp t="s">
        <v>31.79%</v>
        <stp/>
        <stp>IMPL_VOL</stp>
        <stp>TBT</stp>
        <tr r="D683" s="1"/>
      </tp>
      <tp t="s">
        <v>N/A</v>
        <stp/>
        <stp>PUT_CALL_RATIO</stp>
        <stp>.EFA201120P69.5</stp>
        <tr r="C105" s="1"/>
      </tp>
      <tp t="s">
        <v>N/A</v>
        <stp/>
        <stp>PUT_CALL_RATIO</stp>
        <stp>.EWW201120C39.5</stp>
        <tr r="C159" s="1"/>
      </tp>
      <tp t="s">
        <v>N/A</v>
        <stp/>
        <stp>PUT_CALL_RATIO</stp>
        <stp>.EWW201120P39.5</stp>
        <tr r="C160" s="1"/>
      </tp>
      <tp t="s">
        <v>N/A</v>
        <stp/>
        <stp>PUT_CALL_RATIO</stp>
        <stp>.EFA201120C69.5</stp>
        <tr r="C104" s="1"/>
      </tp>
      <tp>
        <v>0</v>
        <stp/>
        <stp>OPEN_INT</stp>
        <stp>VWO</stp>
        <tr r="G748" s="1"/>
      </tp>
      <tp t="s">
        <v>N/A</v>
        <stp/>
        <stp>PUT_CALL_RATIO</stp>
        <stp>.FEZ201120P39.5</stp>
        <tr r="C182" s="1"/>
      </tp>
      <tp t="s">
        <v>N/A</v>
        <stp/>
        <stp>PUT_CALL_RATIO</stp>
        <stp>.FEZ201120C39.5</stp>
        <tr r="C181" s="1"/>
      </tp>
      <tp>
        <v>0</v>
        <stp/>
        <stp>OPEN_INT</stp>
        <stp>VTI</stp>
        <tr r="G739" s="1"/>
      </tp>
      <tp t="s">
        <v>60.58%</v>
        <stp/>
        <stp>IMPL_VOL</stp>
        <stp>TAN</stp>
        <tr r="D659" s="1"/>
      </tp>
      <tp t="s">
        <v>N/A</v>
        <stp/>
        <stp>PROB_OF_TOUCHING</stp>
        <stp>TLT</stp>
        <tr r="V689" s="1"/>
      </tp>
      <tp t="s">
        <v>N/A</v>
        <stp/>
        <stp>PROB_OF_TOUCHING</stp>
        <stp>TBF</stp>
        <tr r="V680" s="1"/>
      </tp>
      <tp t="s">
        <v>N/A</v>
        <stp/>
        <stp>PROB_OF_TOUCHING</stp>
        <stp>TBT</stp>
        <tr r="V683" s="1"/>
      </tp>
      <tp t="s">
        <v>N/A</v>
        <stp/>
        <stp>PROB_OF_TOUCHING</stp>
        <stp>TAN</stp>
        <tr r="V659" s="1"/>
      </tp>
      <tp t="s">
        <v>14.40%</v>
        <stp/>
        <stp>IMPL_VOL</stp>
        <stp>TLT</stp>
        <tr r="D689" s="1"/>
      </tp>
      <tp>
        <v>0</v>
        <stp/>
        <stp>OPEN_INT</stp>
        <stp>VYM</stp>
        <tr r="G758" s="1"/>
      </tp>
      <tp t="s">
        <v>4.63%</v>
        <stp/>
        <stp>IMPL_VOL</stp>
        <stp>TIP</stp>
        <tr r="D686" s="1"/>
      </tp>
      <tp t="s">
        <v>N/A</v>
        <stp/>
        <stp>PROB_OF_EXPIRING</stp>
        <stp>.IVV201120C357</stp>
        <tr r="T316" s="1"/>
      </tp>
      <tp t="s">
        <v>N/A</v>
        <stp/>
        <stp>PROB_OF_EXPIRING</stp>
        <stp>.IVV201120P357</stp>
        <tr r="T317" s="1"/>
      </tp>
      <tp t="s">
        <v>N/A</v>
        <stp/>
        <stp>PROB_OF_EXPIRING</stp>
        <stp>.IVV201120C356</stp>
        <tr r="T314" s="1"/>
      </tp>
      <tp t="s">
        <v>N/A</v>
        <stp/>
        <stp>PROB_OF_EXPIRING</stp>
        <stp>.IVV201120P356</stp>
        <tr r="T315" s="1"/>
      </tp>
      <tp t="s">
        <v>N/A</v>
        <stp/>
        <stp>PROB_OF_EXPIRING</stp>
        <stp>.IVV201120C355</stp>
        <tr r="T312" s="1"/>
      </tp>
      <tp t="s">
        <v>N/A</v>
        <stp/>
        <stp>PROB_OF_EXPIRING</stp>
        <stp>.IVV201120P355</stp>
        <tr r="T313" s="1"/>
      </tp>
      <tp t="s">
        <v>N/A</v>
        <stp/>
        <stp>PROB_OF_EXPIRING</stp>
        <stp>.IVV201120C354</stp>
        <tr r="T310" s="1"/>
      </tp>
      <tp t="s">
        <v>N/A</v>
        <stp/>
        <stp>PROB_OF_EXPIRING</stp>
        <stp>.IVV201120P354</stp>
        <tr r="T311" s="1"/>
      </tp>
      <tp t="s">
        <v>N/A</v>
        <stp/>
        <stp>PROB_OF_EXPIRING</stp>
        <stp>.IVV201120C359</stp>
        <tr r="T322" s="1"/>
      </tp>
      <tp t="s">
        <v>N/A</v>
        <stp/>
        <stp>PROB_OF_EXPIRING</stp>
        <stp>.IVV201120P359</stp>
        <tr r="T323" s="1"/>
      </tp>
      <tp t="s">
        <v>N/A</v>
        <stp/>
        <stp>PROB_OF_EXPIRING</stp>
        <stp>.IVV201120C358</stp>
        <tr r="T320" s="1"/>
      </tp>
      <tp t="s">
        <v>N/A</v>
        <stp/>
        <stp>PROB_OF_EXPIRING</stp>
        <stp>.IVV201120P358</stp>
        <tr r="T321" s="1"/>
      </tp>
      <tp t="s">
        <v>N/A</v>
        <stp/>
        <stp>PROB_OF_EXPIRING</stp>
        <stp>.TLT201120P156</stp>
        <tr r="T695" s="1"/>
      </tp>
      <tp t="s">
        <v>N/A</v>
        <stp/>
        <stp>PROB_OF_EXPIRING</stp>
        <stp>.TLT201120C156</stp>
        <tr r="T694" s="1"/>
      </tp>
      <tp t="s">
        <v>N/A</v>
        <stp/>
        <stp>PROB_OF_EXPIRING</stp>
        <stp>.TLT201120P155</stp>
        <tr r="T691" s="1"/>
      </tp>
      <tp t="s">
        <v>N/A</v>
        <stp/>
        <stp>PROB_OF_EXPIRING</stp>
        <stp>.TLT201120C155</stp>
        <tr r="T690" s="1"/>
      </tp>
      <tp t="s">
        <v>N/A</v>
        <stp/>
        <stp>PROB_OF_EXPIRING</stp>
        <stp>.IVW201120P61.25</stp>
        <tr r="T332" s="1"/>
      </tp>
      <tp t="s">
        <v>N/A</v>
        <stp/>
        <stp>PROB_OTM</stp>
        <stp>.XLY201120P153.5</stp>
        <tr r="U877" s="1"/>
      </tp>
      <tp t="s">
        <v>N/A</v>
        <stp/>
        <stp>PROB_OF_EXPIRING</stp>
        <stp>.IVV201120C362</stp>
        <tr r="T328" s="1"/>
      </tp>
      <tp t="s">
        <v>N/A</v>
        <stp/>
        <stp>PROB_OF_EXPIRING</stp>
        <stp>.IVV201120P362</stp>
        <tr r="T329" s="1"/>
      </tp>
      <tp t="s">
        <v>N/A</v>
        <stp/>
        <stp>PROB_OF_EXPIRING</stp>
        <stp>.IVV201120C361</stp>
        <tr r="T326" s="1"/>
      </tp>
      <tp t="s">
        <v>N/A</v>
        <stp/>
        <stp>PROB_OF_EXPIRING</stp>
        <stp>.IVV201120P361</stp>
        <tr r="T327" s="1"/>
      </tp>
      <tp t="s">
        <v>N/A</v>
        <stp/>
        <stp>PROB_OF_EXPIRING</stp>
        <stp>.IVV201120C360</stp>
        <tr r="T324" s="1"/>
      </tp>
      <tp t="s">
        <v>N/A</v>
        <stp/>
        <stp>PROB_OF_EXPIRING</stp>
        <stp>.IVV201120P360</stp>
        <tr r="T325" s="1"/>
      </tp>
      <tp t="s">
        <v>N/A</v>
        <stp/>
        <stp>PROB_OTM</stp>
        <stp>.SMH201120P198.5</stp>
        <tr r="U577" s="1"/>
      </tp>
      <tp t="s">
        <v>N/A</v>
        <stp/>
        <stp>PROB_OF_EXPIRING</stp>
        <stp>.IGV201120P315</stp>
        <tr r="T266" s="1"/>
      </tp>
      <tp t="s">
        <v>N/A</v>
        <stp/>
        <stp>PROB_OF_EXPIRING</stp>
        <stp>.IGV201120C315</stp>
        <tr r="T265" s="1"/>
      </tp>
      <tp t="s">
        <v>N/A</v>
        <stp/>
        <stp>PROB_OF_EXPIRING</stp>
        <stp>.IGV201120P325</stp>
        <tr r="T270" s="1"/>
      </tp>
      <tp t="s">
        <v>N/A</v>
        <stp/>
        <stp>PROB_OF_EXPIRING</stp>
        <stp>.IGV201120C325</stp>
        <tr r="T269" s="1"/>
      </tp>
      <tp t="s">
        <v>N/A</v>
        <stp/>
        <stp>PROB_OF_EXPIRING</stp>
        <stp>.IGV201120P320</stp>
        <tr r="T268" s="1"/>
      </tp>
      <tp t="s">
        <v>N/A</v>
        <stp/>
        <stp>PROB_OF_EXPIRING</stp>
        <stp>.IGV201120C320</stp>
        <tr r="T267" s="1"/>
      </tp>
      <tp t="s">
        <v>N/A</v>
        <stp/>
        <stp>PROB_OF_EXPIRING</stp>
        <stp>.SMH201120P194.5</stp>
        <tr r="T561" s="1"/>
      </tp>
      <tp>
        <v>939</v>
        <stp/>
        <stp>OPEN_INT</stp>
        <stp>.IWM201120P172.5</stp>
        <tr r="G353" s="1"/>
      </tp>
      <tp t="s">
        <v>N/A</v>
        <stp/>
        <stp>PROB_OTM</stp>
        <stp>.XBI201120P123.5</stp>
        <tr r="U771" s="1"/>
      </tp>
      <tp t="s">
        <v>N/A</v>
        <stp/>
        <stp>PROB_OF_TOUCHING</stp>
        <stp>.TLT201120P156.5</stp>
        <tr r="V697" s="1"/>
      </tp>
      <tp t="s">
        <v>N/A</v>
        <stp/>
        <stp>PROB_OTM</stp>
        <stp>.SMH201120C198.5</stp>
        <tr r="U576" s="1"/>
      </tp>
      <tp t="s">
        <v>N/A</v>
        <stp/>
        <stp>PROB_OTM</stp>
        <stp>.XLY201120C153.5</stp>
        <tr r="U876" s="1"/>
      </tp>
      <tp t="s">
        <v>N/A</v>
        <stp/>
        <stp>PROB_OF_EXPIRING</stp>
        <stp>.IVW201120C61.25</stp>
        <tr r="T331" s="1"/>
      </tp>
      <tp t="s">
        <v>N/A</v>
        <stp/>
        <stp>INTRINSIC</stp>
        <stp>AMLP</stp>
        <tr r="R18" s="1"/>
      </tp>
      <tp t="s">
        <v>N/A</v>
        <stp/>
        <stp>INTRINSIC</stp>
        <stp>EMLC</stp>
        <tr r="R114" s="1"/>
      </tp>
      <tp t="s">
        <v>N/A</v>
        <stp/>
        <stp>PROB_OF_EXPIRING</stp>
        <stp>.SMH201120C194.5</stp>
        <tr r="T560" s="1"/>
      </tp>
      <tp>
        <v>0</v>
        <stp/>
        <stp>HIGH</stp>
        <stp>.VT201120P87</stp>
        <tr r="J738" s="1"/>
      </tp>
      <tp>
        <v>0</v>
        <stp/>
        <stp>HIGH</stp>
        <stp>.VT201120P86</stp>
        <tr r="J736" s="1"/>
      </tp>
      <tp t="s">
        <v>N/A</v>
        <stp/>
        <stp>EXTRINSIC</stp>
        <stp>EMLC</stp>
        <tr r="S114" s="1"/>
      </tp>
      <tp t="s">
        <v>N/A</v>
        <stp/>
        <stp>EXTRINSIC</stp>
        <stp>AMLP</stp>
        <tr r="S18" s="1"/>
      </tp>
      <tp t="s">
        <v>N/A</v>
        <stp/>
        <stp>VEGA</stp>
        <stp>.VT201120P87</stp>
        <tr r="P738" s="1"/>
      </tp>
      <tp t="s">
        <v>N/A</v>
        <stp/>
        <stp>VEGA</stp>
        <stp>.VT201120P86</stp>
        <tr r="P736" s="1"/>
      </tp>
      <tp>
        <v>1684</v>
        <stp/>
        <stp>OPEN_INT</stp>
        <stp>.IWM201120C172.5</stp>
        <tr r="G352" s="1"/>
      </tp>
      <tp t="s">
        <v>N/A</v>
        <stp/>
        <stp>PROB_OTM</stp>
        <stp>.XBI201120C123.5</stp>
        <tr r="U770" s="1"/>
      </tp>
      <tp t="s">
        <v>N/A</v>
        <stp/>
        <stp>PROB_OF_TOUCHING</stp>
        <stp>.TLT201120C156.5</stp>
        <tr r="V696" s="1"/>
      </tp>
      <tp t="s">
        <v>N/A</v>
        <stp/>
        <stp>DESCRIPTION</stp>
        <stp>.XLC201120C63.5</stp>
        <tr r="B799" s="1"/>
      </tp>
      <tp t="s">
        <v>N/A</v>
        <stp/>
        <stp>DESCRIPTION</stp>
        <stp>.XLE201120C33.5</stp>
        <tr r="B804" s="1"/>
      </tp>
      <tp t="s">
        <v>N/A</v>
        <stp/>
        <stp>DESCRIPTION</stp>
        <stp>.XLC201120P63.5</stp>
        <tr r="B800" s="1"/>
      </tp>
      <tp t="s">
        <v>N/A</v>
        <stp/>
        <stp>DESCRIPTION</stp>
        <stp>.XLE201120P33.5</stp>
        <tr r="B805" s="1"/>
      </tp>
      <tp t="s">
        <v>N/A</v>
        <stp/>
        <stp>STRIKE</stp>
        <stp>.IEMG201120P58</stp>
        <tr r="W260" s="1"/>
      </tp>
      <tp t="s">
        <v>N/A</v>
        <stp/>
        <stp>STRIKE</stp>
        <stp>.IEMG201120P57</stp>
        <tr r="W258" s="1"/>
      </tp>
      <tp t="s">
        <v>N/A</v>
        <stp/>
        <stp>PUT_CALL_RATIO</stp>
        <stp>.IEFA201120P66</stp>
        <tr r="C255" s="1"/>
      </tp>
      <tp t="s">
        <v>N/A</v>
        <stp/>
        <stp>PUT_CALL_RATIO</stp>
        <stp>.IEFA201120P65</stp>
        <tr r="C253" s="1"/>
      </tp>
      <tp t="s">
        <v>N/A</v>
        <stp/>
        <stp>DESCRIPTION</stp>
        <stp>.SSO201120P83.5</stp>
        <tr r="B654" s="1"/>
      </tp>
      <tp t="s">
        <v>N/A</v>
        <stp/>
        <stp>DESCRIPTION</stp>
        <stp>.SDS201120C13.5</stp>
        <tr r="B538" s="1"/>
      </tp>
      <tp t="s">
        <v>N/A</v>
        <stp/>
        <stp>DESCRIPTION</stp>
        <stp>.SSO201120C83.5</stp>
        <tr r="B653" s="1"/>
      </tp>
      <tp t="s">
        <v>N/A</v>
        <stp/>
        <stp>DESCRIPTION</stp>
        <stp>.SDS201120P13.5</stp>
        <tr r="B539" s="1"/>
      </tp>
      <tp t="s">
        <v>N/A</v>
        <stp/>
        <stp>DESCRIPTION</stp>
        <stp>.TAN201120C73.5</stp>
        <tr r="B664" s="1"/>
      </tp>
      <tp t="s">
        <v>N/A</v>
        <stp/>
        <stp>DESCRIPTION</stp>
        <stp>.TAN201120P73.5</stp>
        <tr r="B665" s="1"/>
      </tp>
      <tp t="s">
        <v>N/A</v>
        <stp/>
        <stp>PUT_CALL_RATIO</stp>
        <stp>.EUFN201120P16</stp>
        <tr r="C119" s="1"/>
      </tp>
      <tp>
        <v>20</v>
        <stp/>
        <stp>VOLUME</stp>
        <stp>.GUSH201120P27</stp>
        <tr r="F217" s="1"/>
      </tp>
      <tp>
        <v>263</v>
        <stp/>
        <stp>VOLUME</stp>
        <stp>.GUSH201120P26</stp>
        <tr r="F215" s="1"/>
      </tp>
      <tp>
        <v>114</v>
        <stp/>
        <stp>VOLUME</stp>
        <stp>.GUSH201120P28</stp>
        <tr r="F219" s="1"/>
      </tp>
      <tp t="s">
        <v>N/A</v>
        <stp/>
        <stp>EXTRINSIC</stp>
        <stp>.XLV201120C110</stp>
        <tr r="S857" s="1"/>
      </tp>
      <tp t="s">
        <v>N/A</v>
        <stp/>
        <stp>EXTRINSIC</stp>
        <stp>.XLV201120P110</stp>
        <tr r="S858" s="1"/>
      </tp>
      <tp t="s">
        <v>N/A</v>
        <stp/>
        <stp>EXTRINSIC</stp>
        <stp>.XLV201120C111</stp>
        <tr r="S861" s="1"/>
      </tp>
      <tp t="s">
        <v>N/A</v>
        <stp/>
        <stp>EXTRINSIC</stp>
        <stp>.XLV201120P111</stp>
        <tr r="S862" s="1"/>
      </tp>
      <tp t="s">
        <v>N/A</v>
        <stp/>
        <stp>EXTRINSIC</stp>
        <stp>.XLV201120C112</stp>
        <tr r="S865" s="1"/>
      </tp>
      <tp t="s">
        <v>N/A</v>
        <stp/>
        <stp>EXTRINSIC</stp>
        <stp>.XLV201120P112</stp>
        <tr r="S866" s="1"/>
      </tp>
      <tp t="s">
        <v>N/A</v>
        <stp/>
        <stp>PUT_CALL_RATIO</stp>
        <stp>.IXUS201120C63</stp>
        <tr r="C361" s="1"/>
      </tp>
      <tp t="s">
        <v>N/A</v>
        <stp/>
        <stp>STRIKE</stp>
        <stp>.USMV201120P67</stp>
        <tr r="W700" s="1"/>
      </tp>
      <tp t="s">
        <v>N/A</v>
        <stp/>
        <stp>PUT_CALL_RATIO</stp>
        <stp>.VXUS201120C56</stp>
        <tr r="C754" s="1"/>
      </tp>
      <tp t="s">
        <v>N/A</v>
        <stp/>
        <stp>PUT_CALL_RATIO</stp>
        <stp>.VXUS201120C57</stp>
        <tr r="C756" s="1"/>
      </tp>
      <tp t="s">
        <v>N/A</v>
        <stp/>
        <stp>DESCRIPTION</stp>
        <stp>.EWY201120P73.5</stp>
        <tr r="B171" s="1"/>
      </tp>
      <tp t="s">
        <v>N/A</v>
        <stp/>
        <stp>DESCRIPTION</stp>
        <stp>.EWJ201120P63.5</stp>
        <tr r="B139" s="1"/>
      </tp>
      <tp t="s">
        <v>N/A</v>
        <stp/>
        <stp>DESCRIPTION</stp>
        <stp>.EWY201120C73.5</stp>
        <tr r="B170" s="1"/>
      </tp>
      <tp t="s">
        <v>N/A</v>
        <stp/>
        <stp>DESCRIPTION</stp>
        <stp>.EWJ201120C63.5</stp>
        <tr r="B138" s="1"/>
      </tp>
      <tp>
        <v>4.22</v>
        <stp/>
        <stp>LOW</stp>
        <stp>.QQQ201120P291</stp>
        <tr r="K489" s="1"/>
      </tp>
      <tp>
        <v>2.98</v>
        <stp/>
        <stp>LOW</stp>
        <stp>.QQQ201120C291</stp>
        <tr r="K488" s="1"/>
      </tp>
      <tp>
        <v>3.84</v>
        <stp/>
        <stp>LOW</stp>
        <stp>.QQQ201120P290</stp>
        <tr r="K487" s="1"/>
      </tp>
      <tp>
        <v>3.45</v>
        <stp/>
        <stp>LOW</stp>
        <stp>.QQQ201120C290</stp>
        <tr r="K486" s="1"/>
      </tp>
      <tp>
        <v>5.23</v>
        <stp/>
        <stp>LOW</stp>
        <stp>.QQQ201120P293</stp>
        <tr r="K495" s="1"/>
      </tp>
      <tp>
        <v>2.16</v>
        <stp/>
        <stp>LOW</stp>
        <stp>.QQQ201120C293</stp>
        <tr r="K494" s="1"/>
      </tp>
      <tp>
        <v>4.6500000000000004</v>
        <stp/>
        <stp>LOW</stp>
        <stp>.QQQ201120P292</stp>
        <tr r="K491" s="1"/>
      </tp>
      <tp>
        <v>2.5</v>
        <stp/>
        <stp>LOW</stp>
        <stp>.QQQ201120C292</stp>
        <tr r="K490" s="1"/>
      </tp>
      <tp>
        <v>5.6</v>
        <stp/>
        <stp>LOW</stp>
        <stp>.QQQ201120P294</stp>
        <tr r="K497" s="1"/>
      </tp>
      <tp>
        <v>1.83</v>
        <stp/>
        <stp>LOW</stp>
        <stp>.QQQ201120C294</stp>
        <tr r="K496" s="1"/>
      </tp>
      <tp>
        <v>3.53</v>
        <stp/>
        <stp>LOW</stp>
        <stp>.QQQ201120P289</stp>
        <tr r="K485" s="1"/>
      </tp>
      <tp>
        <v>3.93</v>
        <stp/>
        <stp>LOW</stp>
        <stp>.QQQ201120C289</stp>
        <tr r="K484" s="1"/>
      </tp>
      <tp>
        <v>3.18</v>
        <stp/>
        <stp>LOW</stp>
        <stp>.QQQ201120P288</stp>
        <tr r="K483" s="1"/>
      </tp>
      <tp>
        <v>4.4800000000000004</v>
        <stp/>
        <stp>LOW</stp>
        <stp>.QQQ201120C288</stp>
        <tr r="K482" s="1"/>
      </tp>
      <tp>
        <v>2.89</v>
        <stp/>
        <stp>LOW</stp>
        <stp>.QQQ201120P287</stp>
        <tr r="K479" s="1"/>
      </tp>
      <tp>
        <v>5.25</v>
        <stp/>
        <stp>LOW</stp>
        <stp>.QQQ201120C287</stp>
        <tr r="K478" s="1"/>
      </tp>
      <tp>
        <v>2.65</v>
        <stp/>
        <stp>LOW</stp>
        <stp>.QQQ201120P286</stp>
        <tr r="K477" s="1"/>
      </tp>
      <tp>
        <v>5.64</v>
        <stp/>
        <stp>LOW</stp>
        <stp>.QQQ201120C286</stp>
        <tr r="K476" s="1"/>
      </tp>
      <tp t="s">
        <v>N/A</v>
        <stp/>
        <stp>DESCRIPTION</stp>
        <stp>.XOP201120C48</stp>
        <tr r="B894" s="1"/>
      </tp>
      <tp t="s">
        <v>N/A</v>
        <stp/>
        <stp>DESCRIPTION</stp>
        <stp>.XOP201120C49</stp>
        <tr r="B898" s="1"/>
      </tp>
      <tp t="s">
        <v>N/A</v>
        <stp/>
        <stp>DESCRIPTION</stp>
        <stp>.XOP201120C47</stp>
        <tr r="B890" s="1"/>
      </tp>
      <tp t="s">
        <v>N/A</v>
        <stp/>
        <stp>BID</stp>
        <stp>.VFH201120C67</stp>
        <tr r="H716" s="1"/>
      </tp>
      <tp t="s">
        <v>N/A</v>
        <stp/>
        <stp>BID</stp>
        <stp>.VFH201120C66</stp>
        <tr r="H714" s="1"/>
      </tp>
      <tp t="s">
        <v>N/A</v>
        <stp/>
        <stp>LOW</stp>
        <stp>.VFH201120P67</stp>
        <tr r="K717" s="1"/>
      </tp>
      <tp t="s">
        <v>N/A</v>
        <stp/>
        <stp>LOW</stp>
        <stp>.VFH201120P66</stp>
        <tr r="K715" s="1"/>
      </tp>
      <tp>
        <v>5.93</v>
        <stp/>
        <stp>ASK</stp>
        <stp>.QQQ201120C287</stp>
        <tr r="I478" s="1"/>
      </tp>
      <tp>
        <v>3.77</v>
        <stp/>
        <stp>ASK</stp>
        <stp>.QQQ201120P287</stp>
        <tr r="I479" s="1"/>
      </tp>
      <tp>
        <v>6.6</v>
        <stp/>
        <stp>ASK</stp>
        <stp>.QQQ201120C286</stp>
        <tr r="I476" s="1"/>
      </tp>
      <tp>
        <v>3.42</v>
        <stp/>
        <stp>ASK</stp>
        <stp>.QQQ201120P286</stp>
        <tr r="I477" s="1"/>
      </tp>
      <tp>
        <v>4.67</v>
        <stp/>
        <stp>ASK</stp>
        <stp>.QQQ201120C289</stp>
        <tr r="I484" s="1"/>
      </tp>
      <tp>
        <v>4.58</v>
        <stp/>
        <stp>ASK</stp>
        <stp>.QQQ201120P289</stp>
        <tr r="I485" s="1"/>
      </tp>
      <tp>
        <v>5.3</v>
        <stp/>
        <stp>ASK</stp>
        <stp>.QQQ201120C288</stp>
        <tr r="I482" s="1"/>
      </tp>
      <tp>
        <v>4.1500000000000004</v>
        <stp/>
        <stp>ASK</stp>
        <stp>.QQQ201120P288</stp>
        <tr r="I483" s="1"/>
      </tp>
      <tp>
        <v>0.625</v>
        <stp/>
        <stp>PUT_CALL_RATIO</stp>
        <stp>DGRO</stp>
        <tr r="C59" s="1"/>
      </tp>
      <tp>
        <v>2.25</v>
        <stp/>
        <stp>ASK</stp>
        <stp>.QQQ201120C294</stp>
        <tr r="I496" s="1"/>
      </tp>
      <tp>
        <v>7.21</v>
        <stp/>
        <stp>ASK</stp>
        <stp>.QQQ201120P294</stp>
        <tr r="I497" s="1"/>
      </tp>
      <tp>
        <v>3.58</v>
        <stp/>
        <stp>ASK</stp>
        <stp>.QQQ201120C291</stp>
        <tr r="I488" s="1"/>
      </tp>
      <tp>
        <v>5.53</v>
        <stp/>
        <stp>ASK</stp>
        <stp>.QQQ201120P291</stp>
        <tr r="I489" s="1"/>
      </tp>
      <tp>
        <v>4.1100000000000003</v>
        <stp/>
        <stp>ASK</stp>
        <stp>.QQQ201120C290</stp>
        <tr r="I486" s="1"/>
      </tp>
      <tp>
        <v>5</v>
        <stp/>
        <stp>ASK</stp>
        <stp>.QQQ201120P290</stp>
        <tr r="I487" s="1"/>
      </tp>
      <tp>
        <v>2.65</v>
        <stp/>
        <stp>ASK</stp>
        <stp>.QQQ201120C293</stp>
        <tr r="I494" s="1"/>
      </tp>
      <tp>
        <v>6.61</v>
        <stp/>
        <stp>ASK</stp>
        <stp>.QQQ201120P293</stp>
        <tr r="I495" s="1"/>
      </tp>
      <tp>
        <v>3.1</v>
        <stp/>
        <stp>ASK</stp>
        <stp>.QQQ201120C292</stp>
        <tr r="I490" s="1"/>
      </tp>
      <tp>
        <v>6.05</v>
        <stp/>
        <stp>ASK</stp>
        <stp>.QQQ201120P292</stp>
        <tr r="I491" s="1"/>
      </tp>
      <tp>
        <v>2.1800000000000002</v>
        <stp/>
        <stp>BID</stp>
        <stp>.QQQ201120C294</stp>
        <tr r="H496" s="1"/>
      </tp>
      <tp>
        <v>6.97</v>
        <stp/>
        <stp>BID</stp>
        <stp>.QQQ201120P294</stp>
        <tr r="H497" s="1"/>
      </tp>
      <tp>
        <v>2.58</v>
        <stp/>
        <stp>BID</stp>
        <stp>.QQQ201120C293</stp>
        <tr r="H494" s="1"/>
      </tp>
      <tp>
        <v>6.38</v>
        <stp/>
        <stp>BID</stp>
        <stp>.QQQ201120P293</stp>
        <tr r="H495" s="1"/>
      </tp>
      <tp>
        <v>3.02</v>
        <stp/>
        <stp>BID</stp>
        <stp>.QQQ201120C292</stp>
        <tr r="H490" s="1"/>
      </tp>
      <tp>
        <v>5.84</v>
        <stp/>
        <stp>BID</stp>
        <stp>.QQQ201120P292</stp>
        <tr r="H491" s="1"/>
      </tp>
      <tp>
        <v>3.5</v>
        <stp/>
        <stp>BID</stp>
        <stp>.QQQ201120C291</stp>
        <tr r="H488" s="1"/>
      </tp>
      <tp>
        <v>5.34</v>
        <stp/>
        <stp>BID</stp>
        <stp>.QQQ201120P291</stp>
        <tr r="H489" s="1"/>
      </tp>
      <tp>
        <v>4.0199999999999996</v>
        <stp/>
        <stp>BID</stp>
        <stp>.QQQ201120C290</stp>
        <tr r="H486" s="1"/>
      </tp>
      <tp>
        <v>4.91</v>
        <stp/>
        <stp>BID</stp>
        <stp>.QQQ201120P290</stp>
        <tr r="H487" s="1"/>
      </tp>
      <tp>
        <v>0.82</v>
        <stp/>
        <stp>LOW</stp>
        <stp>.EFA201120P69</stp>
        <tr r="K103" s="1"/>
      </tp>
      <tp>
        <v>0.49</v>
        <stp/>
        <stp>BID</stp>
        <stp>.EFA201120C69</stp>
        <tr r="H102" s="1"/>
      </tp>
      <tp t="s">
        <v>N/A</v>
        <stp/>
        <stp>RHO</stp>
        <stp>.XME201120C27</stp>
        <tr r="Q887" s="1"/>
      </tp>
      <tp>
        <v>4.57</v>
        <stp/>
        <stp>BID</stp>
        <stp>.QQQ201120C289</stp>
        <tr r="H484" s="1"/>
      </tp>
      <tp>
        <v>4.47</v>
        <stp/>
        <stp>BID</stp>
        <stp>.QQQ201120P289</stp>
        <tr r="H485" s="1"/>
      </tp>
      <tp>
        <v>5.14</v>
        <stp/>
        <stp>BID</stp>
        <stp>.QQQ201120C288</stp>
        <tr r="H482" s="1"/>
      </tp>
      <tp>
        <v>4.0599999999999996</v>
        <stp/>
        <stp>BID</stp>
        <stp>.QQQ201120P288</stp>
        <tr r="H483" s="1"/>
      </tp>
      <tp>
        <v>5.75</v>
        <stp/>
        <stp>BID</stp>
        <stp>.QQQ201120C287</stp>
        <tr r="H478" s="1"/>
      </tp>
      <tp>
        <v>3.7</v>
        <stp/>
        <stp>BID</stp>
        <stp>.QQQ201120P287</stp>
        <tr r="H479" s="1"/>
      </tp>
      <tp>
        <v>6.4</v>
        <stp/>
        <stp>BID</stp>
        <stp>.QQQ201120C286</stp>
        <tr r="H476" s="1"/>
      </tp>
      <tp>
        <v>3.35</v>
        <stp/>
        <stp>BID</stp>
        <stp>.QQQ201120P286</stp>
        <tr r="H477" s="1"/>
      </tp>
      <tp>
        <v>0.2</v>
        <stp/>
        <stp>BID</stp>
        <stp>.EFA201120C70</stp>
        <tr r="H106" s="1"/>
      </tp>
      <tp t="s">
        <v>N/A</v>
        <stp/>
        <stp>LOW</stp>
        <stp>.EFA201120P70</stp>
        <tr r="K107" s="1"/>
      </tp>
      <tp>
        <v>2190934</v>
        <stp/>
        <stp>VOLUME</stp>
        <stp>HYLB</stp>
        <tr r="F225" s="1"/>
      </tp>
      <tp>
        <v>0.111</v>
        <stp/>
        <stp>PUT_CALL_RATIO</stp>
        <stp>VGIT</stp>
        <tr r="C718" s="1"/>
      </tp>
      <tp>
        <v>10</v>
        <stp/>
        <stp>PUT_CALL_RATIO</stp>
        <stp>IGIB</stp>
        <tr r="C261" s="1"/>
      </tp>
      <tp t="s">
        <v>N/A</v>
        <stp/>
        <stp>DESCRIPTION</stp>
        <stp>.VOO201120P325</stp>
        <tr r="B731" s="1"/>
      </tp>
      <tp t="s">
        <v>N/A</v>
        <stp/>
        <stp>DESCRIPTION</stp>
        <stp>.VOO201120C325</stp>
        <tr r="B730" s="1"/>
      </tp>
      <tp t="s">
        <v>N/A</v>
        <stp/>
        <stp>ASK</stp>
        <stp>.EZU201120P42</stp>
        <tr r="I179" s="1"/>
      </tp>
      <tp t="s">
        <v>N/A</v>
        <stp/>
        <stp>DESCRIPTION</stp>
        <stp>.VOO201120P330</stp>
        <tr r="B733" s="1"/>
      </tp>
      <tp t="s">
        <v>N/A</v>
        <stp/>
        <stp>DESCRIPTION</stp>
        <stp>.VOO201120C330</stp>
        <tr r="B732" s="1"/>
      </tp>
      <tp t="s">
        <v>N/A</v>
        <stp/>
        <stp>ASK</stp>
        <stp>.BZQ201120P12</stp>
        <tr r="I53" s="1"/>
      </tp>
      <tp t="s">
        <v>N/A</v>
        <stp/>
        <stp>BID</stp>
        <stp>.EFV201120C45</stp>
        <tr r="H109" s="1"/>
      </tp>
      <tp t="s">
        <v>N/A</v>
        <stp/>
        <stp>LOW</stp>
        <stp>.EFV201120P45</stp>
        <tr r="K110" s="1"/>
      </tp>
      <tp t="s">
        <v>N/A</v>
        <stp/>
        <stp>DESCRIPTION</stp>
        <stp>.IWM201120C175</stp>
        <tr r="B358" s="1"/>
      </tp>
      <tp t="s">
        <v>N/A</v>
        <stp/>
        <stp>DESCRIPTION</stp>
        <stp>.IWM201120P175</stp>
        <tr r="B359" s="1"/>
      </tp>
      <tp t="s">
        <v>N/A</v>
        <stp/>
        <stp>DESCRIPTION</stp>
        <stp>.IWM201120C174</stp>
        <tr r="B356" s="1"/>
      </tp>
      <tp t="s">
        <v>N/A</v>
        <stp/>
        <stp>DESCRIPTION</stp>
        <stp>.IWM201120P174</stp>
        <tr r="B357" s="1"/>
      </tp>
      <tp t="s">
        <v>N/A</v>
        <stp/>
        <stp>DESCRIPTION</stp>
        <stp>.IWM201120C171</stp>
        <tr r="B348" s="1"/>
      </tp>
      <tp t="s">
        <v>N/A</v>
        <stp/>
        <stp>DESCRIPTION</stp>
        <stp>.IWM201120P171</stp>
        <tr r="B349" s="1"/>
      </tp>
      <tp t="s">
        <v>N/A</v>
        <stp/>
        <stp>DESCRIPTION</stp>
        <stp>.IWM201120C170</stp>
        <tr r="B346" s="1"/>
      </tp>
      <tp t="s">
        <v>N/A</v>
        <stp/>
        <stp>DESCRIPTION</stp>
        <stp>.IWM201120P170</stp>
        <tr r="B347" s="1"/>
      </tp>
      <tp t="s">
        <v>N/A</v>
        <stp/>
        <stp>DESCRIPTION</stp>
        <stp>.IWM201120C173</stp>
        <tr r="B354" s="1"/>
      </tp>
      <tp t="s">
        <v>N/A</v>
        <stp/>
        <stp>DESCRIPTION</stp>
        <stp>.IWM201120P173</stp>
        <tr r="B355" s="1"/>
      </tp>
      <tp t="s">
        <v>N/A</v>
        <stp/>
        <stp>DESCRIPTION</stp>
        <stp>.IWM201120C172</stp>
        <tr r="B350" s="1"/>
      </tp>
      <tp t="s">
        <v>N/A</v>
        <stp/>
        <stp>DESCRIPTION</stp>
        <stp>.IWM201120P172</stp>
        <tr r="B351" s="1"/>
      </tp>
      <tp t="s">
        <v>N/A</v>
        <stp/>
        <stp>RHO</stp>
        <stp>.QQQ201120C294</stp>
        <tr r="Q496" s="1"/>
      </tp>
      <tp t="s">
        <v>N/A</v>
        <stp/>
        <stp>RHO</stp>
        <stp>.QQQ201120P294</stp>
        <tr r="Q497" s="1"/>
      </tp>
      <tp t="s">
        <v>N/A</v>
        <stp/>
        <stp>RHO</stp>
        <stp>.QQQ201120C292</stp>
        <tr r="Q490" s="1"/>
      </tp>
      <tp t="s">
        <v>N/A</v>
        <stp/>
        <stp>RHO</stp>
        <stp>.QQQ201120P292</stp>
        <tr r="Q491" s="1"/>
      </tp>
      <tp t="s">
        <v>N/A</v>
        <stp/>
        <stp>RHO</stp>
        <stp>.QQQ201120C293</stp>
        <tr r="Q494" s="1"/>
      </tp>
      <tp t="s">
        <v>N/A</v>
        <stp/>
        <stp>RHO</stp>
        <stp>.QQQ201120P293</stp>
        <tr r="Q495" s="1"/>
      </tp>
      <tp t="s">
        <v>N/A</v>
        <stp/>
        <stp>RHO</stp>
        <stp>.QQQ201120C290</stp>
        <tr r="Q486" s="1"/>
      </tp>
      <tp t="s">
        <v>N/A</v>
        <stp/>
        <stp>RHO</stp>
        <stp>.QQQ201120P290</stp>
        <tr r="Q487" s="1"/>
      </tp>
      <tp t="s">
        <v>N/A</v>
        <stp/>
        <stp>RHO</stp>
        <stp>.QQQ201120C291</stp>
        <tr r="Q488" s="1"/>
      </tp>
      <tp t="s">
        <v>N/A</v>
        <stp/>
        <stp>RHO</stp>
        <stp>.QQQ201120P291</stp>
        <tr r="Q489" s="1"/>
      </tp>
      <tp t="s">
        <v>N/A</v>
        <stp/>
        <stp>RHO</stp>
        <stp>.QQQ201120C288</stp>
        <tr r="Q482" s="1"/>
      </tp>
      <tp t="s">
        <v>N/A</v>
        <stp/>
        <stp>RHO</stp>
        <stp>.QQQ201120P288</stp>
        <tr r="Q483" s="1"/>
      </tp>
      <tp t="s">
        <v>N/A</v>
        <stp/>
        <stp>RHO</stp>
        <stp>.QQQ201120C289</stp>
        <tr r="Q484" s="1"/>
      </tp>
      <tp t="s">
        <v>N/A</v>
        <stp/>
        <stp>RHO</stp>
        <stp>.QQQ201120P289</stp>
        <tr r="Q485" s="1"/>
      </tp>
      <tp t="s">
        <v>N/A</v>
        <stp/>
        <stp>RHO</stp>
        <stp>.QQQ201120C286</stp>
        <tr r="Q476" s="1"/>
      </tp>
      <tp t="s">
        <v>N/A</v>
        <stp/>
        <stp>RHO</stp>
        <stp>.QQQ201120P286</stp>
        <tr r="Q477" s="1"/>
      </tp>
      <tp t="s">
        <v>N/A</v>
        <stp/>
        <stp>RHO</stp>
        <stp>.QQQ201120C287</stp>
        <tr r="Q478" s="1"/>
      </tp>
      <tp t="s">
        <v>N/A</v>
        <stp/>
        <stp>RHO</stp>
        <stp>.QQQ201120P287</stp>
        <tr r="Q479" s="1"/>
      </tp>
      <tp t="s">
        <v>N/A</v>
        <stp/>
        <stp>PROB_OTM</stp>
        <stp>SSO</stp>
        <tr r="U642" s="1"/>
      </tp>
      <tp t="s">
        <v>N/A</v>
        <stp/>
        <stp>PROB_OTM</stp>
        <stp>SPY</stp>
        <tr r="U590" s="1"/>
      </tp>
      <tp t="s">
        <v>N/A</v>
        <stp/>
        <stp>PROB_OF_EXPIRING</stp>
        <stp>BZQ</stp>
        <tr r="T51" s="1"/>
      </tp>
      <tp t="s">
        <v>N/A</v>
        <stp/>
        <stp>PUT_CALL_RATIO</stp>
        <stp>.XOP201120P48.5</stp>
        <tr r="C897" s="1"/>
      </tp>
      <tp t="s">
        <v>N/A</v>
        <stp/>
        <stp>PUT_CALL_RATIO</stp>
        <stp>.XLB201120P68.5</stp>
        <tr r="C789" s="1"/>
      </tp>
      <tp t="s">
        <v>N/A</v>
        <stp/>
        <stp>PUT_CALL_RATIO</stp>
        <stp>.XLB201120C68.5</stp>
        <tr r="C788" s="1"/>
      </tp>
      <tp t="s">
        <v>N/A</v>
        <stp/>
        <stp>PUT_CALL_RATIO</stp>
        <stp>.XOP201120C48.5</stp>
        <tr r="C896" s="1"/>
      </tp>
      <tp t="s">
        <v>N/A</v>
        <stp/>
        <stp>PROB_OTM</stp>
        <stp>SCZ</stp>
        <tr r="U534" s="1"/>
      </tp>
      <tp t="s">
        <v>N/A</v>
        <stp/>
        <stp>PUT_CALL_RATIO</stp>
        <stp>.EWU201120C28.5</stp>
        <tr r="C152" s="1"/>
      </tp>
      <tp t="s">
        <v>N/A</v>
        <stp/>
        <stp>PUT_CALL_RATIO</stp>
        <stp>.EWW201120C38.5</stp>
        <tr r="C155" s="1"/>
      </tp>
      <tp t="s">
        <v>N/A</v>
        <stp/>
        <stp>PUT_CALL_RATIO</stp>
        <stp>.EEM201120P48.5</stp>
        <tr r="C100" s="1"/>
      </tp>
      <tp t="s">
        <v>N/A</v>
        <stp/>
        <stp>PUT_CALL_RATIO</stp>
        <stp>.EEM201120C48.5</stp>
        <tr r="C99" s="1"/>
      </tp>
      <tp t="s">
        <v>N/A</v>
        <stp/>
        <stp>PUT_CALL_RATIO</stp>
        <stp>.EWU201120P28.5</stp>
        <tr r="C153" s="1"/>
      </tp>
      <tp t="s">
        <v>N/A</v>
        <stp/>
        <stp>PUT_CALL_RATIO</stp>
        <stp>.EWW201120P38.5</stp>
        <tr r="C156" s="1"/>
      </tp>
      <tp t="s">
        <v>N/A</v>
        <stp/>
        <stp>PROB_OTM</stp>
        <stp>SDS</stp>
        <tr r="U537" s="1"/>
      </tp>
      <tp t="s">
        <v>N/A</v>
        <stp/>
        <stp>PROB_OTM</stp>
        <stp>SHY</stp>
        <tr r="U545" s="1"/>
      </tp>
      <tp t="s">
        <v>N/A</v>
        <stp/>
        <stp>PROB_OTM</stp>
        <stp>SMH</stp>
        <tr r="U551" s="1"/>
      </tp>
      <tp t="s">
        <v>N/A</v>
        <stp/>
        <stp>PROB_OTM</stp>
        <stp>.XLV201120P110.5</stp>
        <tr r="U860" s="1"/>
      </tp>
      <tp t="s">
        <v>N/A</v>
        <stp/>
        <stp>PROB_OTM</stp>
        <stp>.XLK201120P120.5</stp>
        <tr r="U830" s="1"/>
      </tp>
      <tp t="s">
        <v>N/A</v>
        <stp/>
        <stp>IMPL_VOL</stp>
        <stp>.XBI201120P124.5</stp>
        <tr r="D775" s="1"/>
      </tp>
      <tp t="s">
        <v>93.51%</v>
        <stp/>
        <stp>PROB_OF_TOUCHING</stp>
        <stp>.SPY201120C352.5</stp>
        <tr r="V607" s="1"/>
      </tp>
      <tp t="s">
        <v>N/A</v>
        <stp/>
        <stp>OPEN</stp>
        <stp>.EWY201120P73.5</stp>
        <tr r="L171" s="1"/>
      </tp>
      <tp t="s">
        <v>N/A</v>
        <stp/>
        <stp>OPEN</stp>
        <stp>.EWJ201120P63.5</stp>
        <tr r="L139" s="1"/>
      </tp>
      <tp t="s">
        <v>N/A</v>
        <stp/>
        <stp>OPEN</stp>
        <stp>.EWY201120C73.5</stp>
        <tr r="L170" s="1"/>
      </tp>
      <tp>
        <v>0.39</v>
        <stp/>
        <stp>OPEN</stp>
        <stp>.EWJ201120C63.5</stp>
        <tr r="L138" s="1"/>
      </tp>
      <tp t="s">
        <v>N/A</v>
        <stp/>
        <stp>PROB_OF_EXPIRING</stp>
        <stp>.SMH201120P197.5</stp>
        <tr r="T573" s="1"/>
      </tp>
      <tp t="s">
        <v>34.32%</v>
        <stp/>
        <stp>PROB_OF_EXPIRING</stp>
        <stp>.SPY201120C357.5</stp>
        <tr r="T619" s="1"/>
      </tp>
      <tp t="s">
        <v>N/A</v>
        <stp/>
        <stp>OPEN_INT</stp>
        <stp>.LQD201120P134.5</stp>
        <tr r="G406" s="1"/>
      </tp>
      <tp t="s">
        <v>N/A</v>
        <stp/>
        <stp>OPEN_INT</stp>
        <stp>.IBB201120C141.5</stp>
        <tr r="G243" s="1"/>
      </tp>
      <tp t="s">
        <v>N/A</v>
        <stp/>
        <stp>PROB_OF_TOUCHING</stp>
        <stp>.XLK201120P119.5</stp>
        <tr r="V826" s="1"/>
      </tp>
      <tp t="s">
        <v>N/A</v>
        <stp/>
        <stp>PROB_OF_TOUCHING</stp>
        <stp>.TLT201120P155.5</stp>
        <tr r="V693" s="1"/>
      </tp>
      <tp t="s">
        <v>N/A</v>
        <stp/>
        <stp>PROB_OF_TOUCHING</stp>
        <stp>.SMH201120P192.5</stp>
        <tr r="V553" s="1"/>
      </tp>
      <tp t="s">
        <v>N/A</v>
        <stp/>
        <stp>IMPL_VOL</stp>
        <stp>.XLY201120P154.5</stp>
        <tr r="D881" s="1"/>
      </tp>
      <tp t="s">
        <v>N/A</v>
        <stp/>
        <stp>EXTRINSIC</stp>
        <stp>INDA</stp>
        <tr r="S280" s="1"/>
      </tp>
      <tp t="s">
        <v>N/A</v>
        <stp/>
        <stp>EXTRINSIC</stp>
        <stp>INDY</stp>
        <tr r="S285" s="1"/>
      </tp>
      <tp t="s">
        <v>N/A</v>
        <stp/>
        <stp>IMPL_VOL</stp>
        <stp>.XBI201120C124.5</stp>
        <tr r="D774" s="1"/>
      </tp>
      <tp t="s">
        <v>92.84%</v>
        <stp/>
        <stp>PROB_OF_TOUCHING</stp>
        <stp>.SPY201120P352.5</stp>
        <tr r="V608" s="1"/>
      </tp>
      <tp t="s">
        <v>N/A</v>
        <stp/>
        <stp>OPEN</stp>
        <stp>.SSO201120P83.5</stp>
        <tr r="L654" s="1"/>
      </tp>
      <tp t="s">
        <v>N/A</v>
        <stp/>
        <stp>OPEN</stp>
        <stp>.SDS201120C13.5</stp>
        <tr r="L538" s="1"/>
      </tp>
      <tp t="s">
        <v>N/A</v>
        <stp/>
        <stp>OPEN</stp>
        <stp>.SSO201120C83.5</stp>
        <tr r="L653" s="1"/>
      </tp>
      <tp t="s">
        <v>N/A</v>
        <stp/>
        <stp>OPEN</stp>
        <stp>.SDS201120P13.5</stp>
        <tr r="L539" s="1"/>
      </tp>
      <tp t="s">
        <v>N/A</v>
        <stp/>
        <stp>PROB_OTM</stp>
        <stp>.XLV201120C110.5</stp>
        <tr r="U859" s="1"/>
      </tp>
      <tp t="s">
        <v>N/A</v>
        <stp/>
        <stp>PROB_OTM</stp>
        <stp>.XLK201120C120.5</stp>
        <tr r="U829" s="1"/>
      </tp>
      <tp t="s">
        <v>N/A</v>
        <stp/>
        <stp>PROB_OF_EXPIRING</stp>
        <stp>.SMH201120C197.5</stp>
        <tr r="T572" s="1"/>
      </tp>
      <tp t="s">
        <v>N/A</v>
        <stp/>
        <stp>OPEN</stp>
        <stp>.TAN201120C73.5</stp>
        <tr r="L664" s="1"/>
      </tp>
      <tp t="s">
        <v>N/A</v>
        <stp/>
        <stp>OPEN</stp>
        <stp>.TAN201120P73.5</stp>
        <tr r="L665" s="1"/>
      </tp>
      <tp t="s">
        <v>N/A</v>
        <stp/>
        <stp>IMPL_VOL</stp>
        <stp>.XLY201120P154</stp>
        <tr r="D879" s="1"/>
      </tp>
      <tp t="s">
        <v>N/A</v>
        <stp/>
        <stp>IMPL_VOL</stp>
        <stp>.XLY201120C154</stp>
        <tr r="D878" s="1"/>
      </tp>
      <tp t="s">
        <v>N/A</v>
        <stp/>
        <stp>IMPL_VOL</stp>
        <stp>.XLY201120P155</stp>
        <tr r="D883" s="1"/>
      </tp>
      <tp t="s">
        <v>N/A</v>
        <stp/>
        <stp>IMPL_VOL</stp>
        <stp>.XLY201120C155</stp>
        <tr r="D882" s="1"/>
      </tp>
      <tp t="s">
        <v>N/A</v>
        <stp/>
        <stp>IMPL_VOL</stp>
        <stp>.XLY201120P152</stp>
        <tr r="D871" s="1"/>
      </tp>
      <tp t="s">
        <v>N/A</v>
        <stp/>
        <stp>IMPL_VOL</stp>
        <stp>.XLY201120C152</stp>
        <tr r="D870" s="1"/>
      </tp>
      <tp t="s">
        <v>N/A</v>
        <stp/>
        <stp>IMPL_VOL</stp>
        <stp>.XLY201120P153</stp>
        <tr r="D875" s="1"/>
      </tp>
      <tp t="s">
        <v>N/A</v>
        <stp/>
        <stp>IMPL_VOL</stp>
        <stp>.XLY201120C153</stp>
        <tr r="D874" s="1"/>
      </tp>
      <tp t="s">
        <v>N/A</v>
        <stp/>
        <stp>OPEN_INT</stp>
        <stp>.LQD201120C134.5</stp>
        <tr r="G405" s="1"/>
      </tp>
      <tp>
        <v>560</v>
        <stp/>
        <stp>OPEN_INT</stp>
        <stp>.IBB201120P141.5</stp>
        <tr r="G244" s="1"/>
      </tp>
      <tp>
        <v>0.66</v>
        <stp/>
        <stp>OPEN</stp>
        <stp>.XLE201120C33.5</stp>
        <tr r="L804" s="1"/>
      </tp>
      <tp t="s">
        <v>N/A</v>
        <stp/>
        <stp>OPEN</stp>
        <stp>.XLC201120C63.5</stp>
        <tr r="L799" s="1"/>
      </tp>
      <tp>
        <v>0.97</v>
        <stp/>
        <stp>OPEN</stp>
        <stp>.XLE201120P33.5</stp>
        <tr r="L805" s="1"/>
      </tp>
      <tp>
        <v>0.8</v>
        <stp/>
        <stp>OPEN</stp>
        <stp>.XLC201120P63.5</stp>
        <tr r="L800" s="1"/>
      </tp>
      <tp t="s">
        <v>67.48%</v>
        <stp/>
        <stp>PROB_OF_EXPIRING</stp>
        <stp>.SPY201120P357.5</stp>
        <tr r="T620" s="1"/>
      </tp>
      <tp t="s">
        <v>N/A</v>
        <stp/>
        <stp>INTRINSIC</stp>
        <stp>INDY</stp>
        <tr r="R285" s="1"/>
      </tp>
      <tp t="s">
        <v>N/A</v>
        <stp/>
        <stp>INTRINSIC</stp>
        <stp>INDA</stp>
        <tr r="R280" s="1"/>
      </tp>
      <tp t="s">
        <v>N/A</v>
        <stp/>
        <stp>PROB_OF_TOUCHING</stp>
        <stp>.SMH201120C192.5</stp>
        <tr r="V552" s="1"/>
      </tp>
      <tp t="s">
        <v>N/A</v>
        <stp/>
        <stp>IMPL_VOL</stp>
        <stp>.XLY201120C154.5</stp>
        <tr r="D880" s="1"/>
      </tp>
      <tp t="s">
        <v>N/A</v>
        <stp/>
        <stp>PROB_OF_TOUCHING</stp>
        <stp>.XLK201120C119.5</stp>
        <tr r="V825" s="1"/>
      </tp>
      <tp t="s">
        <v>N/A</v>
        <stp/>
        <stp>PROB_OF_TOUCHING</stp>
        <stp>.TLT201120C155.5</stp>
        <tr r="V692" s="1"/>
      </tp>
      <tp t="s">
        <v>N/A</v>
        <stp/>
        <stp>PUT_CALL_RATIO</stp>
        <stp>.KWEB201120P74</stp>
        <tr r="C403" s="1"/>
      </tp>
      <tp t="s">
        <v>N/A</v>
        <stp/>
        <stp>PUT_CALL_RATIO</stp>
        <stp>.KWEB201120P73</stp>
        <tr r="C401" s="1"/>
      </tp>
      <tp t="s">
        <v>N/A</v>
        <stp/>
        <stp>PUT_CALL_RATIO</stp>
        <stp>.KWEB201120P72</stp>
        <tr r="C399" s="1"/>
      </tp>
      <tp t="s">
        <v>N/A</v>
        <stp/>
        <stp>PUT_CALL_RATIO</stp>
        <stp>.DFEN201120P13</stp>
        <tr r="C56" s="1"/>
      </tp>
      <tp t="s">
        <v>N/A</v>
        <stp/>
        <stp>PUT_CALL_RATIO</stp>
        <stp>.DFEN201120P14</stp>
        <tr r="C58" s="1"/>
      </tp>
      <tp t="s">
        <v>N/A</v>
        <stp/>
        <stp>PUT_CALL_RATIO</stp>
        <stp>.SRVR201120C35</stp>
        <tr r="C638" s="1"/>
      </tp>
      <tp t="s">
        <v>N/A</v>
        <stp/>
        <stp>PUT_CALL_RATIO</stp>
        <stp>.SRVR201120C36</stp>
        <tr r="C640" s="1"/>
      </tp>
      <tp>
        <v>0.37</v>
        <stp/>
        <stp>LOW</stp>
        <stp>.EEM201120P48</stp>
        <tr r="K98" s="1"/>
      </tp>
      <tp>
        <v>0.38</v>
        <stp/>
        <stp>BID</stp>
        <stp>.EEM201120C48</stp>
        <tr r="H97" s="1"/>
      </tp>
      <tp t="s">
        <v>N/A</v>
        <stp/>
        <stp>DESCRIPTION</stp>
        <stp>.XLP201120C67</stp>
        <tr r="B844" s="1"/>
      </tp>
      <tp t="s">
        <v>N/A</v>
        <stp/>
        <stp>DESCRIPTION</stp>
        <stp>.XLU201120C66</stp>
        <tr r="B850" s="1"/>
      </tp>
      <tp t="s">
        <v>N/A</v>
        <stp/>
        <stp>DESCRIPTION</stp>
        <stp>.XLU201120C67</stp>
        <tr r="B854" s="1"/>
      </tp>
      <tp>
        <v>0.52400000000000002</v>
        <stp/>
        <stp>PUT_CALL_RATIO</stp>
        <stp>GDXJ</stp>
        <tr r="C202" s="1"/>
      </tp>
      <tp>
        <v>1.06</v>
        <stp/>
        <stp>ASK</stp>
        <stp>.HYG201120P86</stp>
        <tr r="I224" s="1"/>
      </tp>
      <tp t="s">
        <v>N/A</v>
        <stp/>
        <stp>STRIKE</stp>
        <stp>HYLB</stp>
        <tr r="W225" s="1"/>
      </tp>
      <tp>
        <v>0.3</v>
        <stp/>
        <stp>BID</stp>
        <stp>.VEA201120C44</stp>
        <tr r="H708" s="1"/>
      </tp>
      <tp t="s">
        <v>N/A</v>
        <stp/>
        <stp>ASK</stp>
        <stp>.VYM201120P87</stp>
        <tr r="I760" s="1"/>
      </tp>
      <tp t="s">
        <v>N/A</v>
        <stp/>
        <stp>ASK</stp>
        <stp>.VYM201120P88</stp>
        <tr r="I762" s="1"/>
      </tp>
      <tp t="s">
        <v>N/A</v>
        <stp/>
        <stp>LOW</stp>
        <stp>.VEA201120P44</stp>
        <tr r="K709" s="1"/>
      </tp>
      <tp t="s">
        <v>N/A</v>
        <stp/>
        <stp>ASK</stp>
        <stp>.IYE201120P18</stp>
        <tr r="I365" s="1"/>
      </tp>
      <tp t="s">
        <v>N/A</v>
        <stp/>
        <stp>BID</stp>
        <stp>.FVD201120P35</stp>
        <tr r="H187" s="1"/>
      </tp>
      <tp t="s">
        <v>N/A</v>
        <stp/>
        <stp>LOW</stp>
        <stp>.FVD201120C35</stp>
        <tr r="K186" s="1"/>
      </tp>
      <tp t="s">
        <v>N/A</v>
        <stp/>
        <stp>RHO</stp>
        <stp>.VNQ201120C85</stp>
        <tr r="Q727" s="1"/>
      </tp>
      <tp t="s">
        <v>N/A</v>
        <stp/>
        <stp>RHO</stp>
        <stp>.VNQ201120C84</stp>
        <tr r="Q725" s="1"/>
      </tp>
      <tp t="s">
        <v>N/A</v>
        <stp/>
        <stp>DESCRIPTION</stp>
        <stp>.XLE201120C34</stp>
        <tr r="B806" s="1"/>
      </tp>
      <tp t="s">
        <v>N/A</v>
        <stp/>
        <stp>DESCRIPTION</stp>
        <stp>.XLB201120C69</stp>
        <tr r="B790" s="1"/>
      </tp>
      <tp t="s">
        <v>N/A</v>
        <stp/>
        <stp>DESCRIPTION</stp>
        <stp>.XLF201120C27</stp>
        <tr r="B811" s="1"/>
      </tp>
      <tp t="s">
        <v>N/A</v>
        <stp/>
        <stp>DESCRIPTION</stp>
        <stp>.ILF201120C25</stp>
        <tr r="B278" s="1"/>
      </tp>
      <tp t="s">
        <v>N/A</v>
        <stp/>
        <stp>ASK</stp>
        <stp>.IYR201120P84</stp>
        <tr r="I368" s="1"/>
      </tp>
      <tp>
        <v>1.93</v>
        <stp/>
        <stp>ASK</stp>
        <stp>.IYR201120P85</stp>
        <tr r="I372" s="1"/>
      </tp>
      <tp t="s">
        <v>N/A</v>
        <stp/>
        <stp>ASK</stp>
        <stp>.IJR201120C80</stp>
        <tr r="I275" s="1"/>
      </tp>
      <tp t="s">
        <v>N/A</v>
        <stp/>
        <stp>DESCRIPTION</stp>
        <stp>.XLC201120C63</stp>
        <tr r="B797" s="1"/>
      </tp>
      <tp t="s">
        <v>N/A</v>
        <stp/>
        <stp>DESCRIPTION</stp>
        <stp>.XLB201120C70</stp>
        <tr r="B794" s="1"/>
      </tp>
      <tp t="s">
        <v>N/A</v>
        <stp/>
        <stp>DESCRIPTION</stp>
        <stp>.XLC201120C64</stp>
        <tr r="B801" s="1"/>
      </tp>
      <tp t="s">
        <v>N/A</v>
        <stp/>
        <stp>BID</stp>
        <stp>.FEZ201120C40</stp>
        <tr r="H183" s="1"/>
      </tp>
      <tp>
        <v>1</v>
        <stp/>
        <stp>LOW</stp>
        <stp>.FEZ201120P40</stp>
        <tr r="K184" s="1"/>
      </tp>
      <tp t="s">
        <v>N/A</v>
        <stp/>
        <stp>DESCRIPTION</stp>
        <stp>.XLI201120C86</stp>
        <tr r="B822" s="1"/>
      </tp>
      <tp t="s">
        <v>N/A</v>
        <stp/>
        <stp>DESCRIPTION</stp>
        <stp>.XLI201120C84</stp>
        <tr r="B814" s="1"/>
      </tp>
      <tp t="s">
        <v>N/A</v>
        <stp/>
        <stp>DESCRIPTION</stp>
        <stp>.XLI201120C85</stp>
        <tr r="B818" s="1"/>
      </tp>
      <tp>
        <v>0.05</v>
        <stp/>
        <stp>BID</stp>
        <stp>.VEU201120C55</stp>
        <tr r="H711" s="1"/>
      </tp>
      <tp>
        <v>3.1</v>
        <stp/>
        <stp>BID</stp>
        <stp>.DVY201120P93</stp>
        <tr r="H90" s="1"/>
      </tp>
      <tp t="s">
        <v>N/A</v>
        <stp/>
        <stp>BID</stp>
        <stp>.DVY201120P92</stp>
        <tr r="H88" s="1"/>
      </tp>
      <tp t="s">
        <v>N/A</v>
        <stp/>
        <stp>BID</stp>
        <stp>.DVY201120P91</stp>
        <tr r="H86" s="1"/>
      </tp>
      <tp t="s">
        <v>N/A</v>
        <stp/>
        <stp>LOW</stp>
        <stp>.DVY201120C91</stp>
        <tr r="K85" s="1"/>
      </tp>
      <tp t="s">
        <v>N/A</v>
        <stp/>
        <stp>LOW</stp>
        <stp>.DVY201120C93</stp>
        <tr r="K89" s="1"/>
      </tp>
      <tp t="s">
        <v>N/A</v>
        <stp/>
        <stp>LOW</stp>
        <stp>.DVY201120C92</stp>
        <tr r="K87" s="1"/>
      </tp>
      <tp t="s">
        <v>N/A</v>
        <stp/>
        <stp>LOW</stp>
        <stp>.VEU201120P55</stp>
        <tr r="K712" s="1"/>
      </tp>
      <tp t="s">
        <v>N/A</v>
        <stp/>
        <stp>DESCRIPTION</stp>
        <stp>.QLD201120C98</stp>
        <tr r="B467" s="1"/>
      </tp>
      <tp t="s">
        <v>N/A</v>
        <stp/>
        <stp>DESCRIPTION</stp>
        <stp>.QLD201120C99</stp>
        <tr r="B469" s="1"/>
      </tp>
      <tp t="s">
        <v>N/A</v>
        <stp/>
        <stp>DESCRIPTION</stp>
        <stp>.QLD201120C96</stp>
        <tr r="B463" s="1"/>
      </tp>
      <tp t="s">
        <v>N/A</v>
        <stp/>
        <stp>DESCRIPTION</stp>
        <stp>.QLD201120C97</stp>
        <tr r="B465" s="1"/>
      </tp>
      <tp>
        <v>0.03</v>
        <stp/>
        <stp>PUT_CALL_RATIO</stp>
        <stp>PDBC</stp>
        <tr r="C451" s="1"/>
      </tp>
      <tp>
        <v>0</v>
        <stp/>
        <stp>OPEN_INT</stp>
        <stp>TBT</stp>
        <tr r="G683" s="1"/>
      </tp>
      <tp>
        <v>0</v>
        <stp/>
        <stp>OPEN_INT</stp>
        <stp>TBF</stp>
        <tr r="G680" s="1"/>
      </tp>
      <tp t="s">
        <v>21.15%</v>
        <stp/>
        <stp>IMPL_VOL</stp>
        <stp>VWO</stp>
        <tr r="D748" s="1"/>
      </tp>
      <tp t="s">
        <v>N/A</v>
        <stp/>
        <stp>PROB_OF_TOUCHING</stp>
        <stp>VYM</stp>
        <tr r="V758" s="1"/>
      </tp>
      <tp t="s">
        <v>24.94%</v>
        <stp/>
        <stp>IMPL_VOL</stp>
        <stp>VTI</stp>
        <tr r="D739" s="1"/>
      </tp>
      <tp>
        <v>0</v>
        <stp/>
        <stp>OPEN_INT</stp>
        <stp>TAN</stp>
        <tr r="G659" s="1"/>
      </tp>
      <tp t="s">
        <v>N/A</v>
        <stp/>
        <stp>PROB_OTM</stp>
        <stp>PXH</stp>
        <tr r="U457" s="1"/>
      </tp>
      <tp>
        <v>0</v>
        <stp/>
        <stp>OPEN_INT</stp>
        <stp>TIP</stp>
        <tr r="G686" s="1"/>
      </tp>
      <tp t="s">
        <v>N/A</v>
        <stp/>
        <stp>PROB_OF_TOUCHING</stp>
        <stp>VWO</stp>
        <tr r="V748" s="1"/>
      </tp>
      <tp>
        <v>0</v>
        <stp/>
        <stp>OPEN_INT</stp>
        <stp>TLT</stp>
        <tr r="G689" s="1"/>
      </tp>
      <tp t="s">
        <v>20.70%</v>
        <stp/>
        <stp>IMPL_VOL</stp>
        <stp>VYM</stp>
        <tr r="D758" s="1"/>
      </tp>
      <tp t="s">
        <v>N/A</v>
        <stp/>
        <stp>PROB_OF_TOUCHING</stp>
        <stp>VTI</stp>
        <tr r="V739" s="1"/>
      </tp>
      <tp t="s">
        <v>28.36%</v>
        <stp/>
        <stp>IMPL_VOL</stp>
        <stp>VFH</stp>
        <tr r="D713" s="1"/>
      </tp>
      <tp t="s">
        <v>24.18%</v>
        <stp/>
        <stp>IMPL_VOL</stp>
        <stp>VGK</stp>
        <tr r="D721" s="1"/>
      </tp>
      <tp t="s">
        <v>18.66%</v>
        <stp/>
        <stp>IMPL_VOL</stp>
        <stp>VEA</stp>
        <tr r="D707" s="1"/>
      </tp>
      <tp t="s">
        <v>20.23%</v>
        <stp/>
        <stp>IMPL_VOL</stp>
        <stp>VEU</stp>
        <tr r="D710" s="1"/>
      </tp>
      <tp t="s">
        <v>N/A</v>
        <stp/>
        <stp>PROB_OF_TOUCHING</stp>
        <stp>VOO</stp>
        <tr r="V729" s="1"/>
      </tp>
      <tp t="s">
        <v>N/A</v>
        <stp/>
        <stp>PROB_OTM</stp>
        <stp>PGX</stp>
        <tr r="U454" s="1"/>
      </tp>
      <tp t="s">
        <v>N/A</v>
        <stp/>
        <stp>PROB_OF_TOUCHING</stp>
        <stp>VNQ</stp>
        <tr r="V724" s="1"/>
      </tp>
      <tp t="s">
        <v>23.97%</v>
        <stp/>
        <stp>IMPL_VOL</stp>
        <stp>VNQ</stp>
        <tr r="D724" s="1"/>
      </tp>
      <tp t="s">
        <v>23.23%</v>
        <stp/>
        <stp>IMPL_VOL</stp>
        <stp>VOO</stp>
        <tr r="D729" s="1"/>
      </tp>
      <tp t="s">
        <v>N/A</v>
        <stp/>
        <stp>PROB_OF_EXPIRING</stp>
        <stp>AGG</stp>
        <tr r="T15" s="1"/>
      </tp>
      <tp t="s">
        <v>N/A</v>
        <stp/>
        <stp>PROB_OF_TOUCHING</stp>
        <stp>VGK</stp>
        <tr r="V721" s="1"/>
      </tp>
      <tp t="s">
        <v>N/A</v>
        <stp/>
        <stp>PROB_OF_TOUCHING</stp>
        <stp>VFH</stp>
        <tr r="V713" s="1"/>
      </tp>
      <tp t="s">
        <v>N/A</v>
        <stp/>
        <stp>PROB_OF_TOUCHING</stp>
        <stp>VEA</stp>
        <tr r="V707" s="1"/>
      </tp>
      <tp t="s">
        <v>N/A</v>
        <stp/>
        <stp>PROB_OF_TOUCHING</stp>
        <stp>VEU</stp>
        <tr r="V710" s="1"/>
      </tp>
      <tp t="s">
        <v>N/A</v>
        <stp/>
        <stp>PROB_OTM</stp>
        <stp>.XLV201120P111.5</stp>
        <tr r="U864" s="1"/>
      </tp>
      <tp t="s">
        <v>N/A</v>
        <stp/>
        <stp>PROB_OTM</stp>
        <stp>.XLY201120P151.5</stp>
        <tr r="U869" s="1"/>
      </tp>
      <tp t="s">
        <v>N/A</v>
        <stp/>
        <stp>PROB_OTM</stp>
        <stp>.XLK201120P121.5</stp>
        <tr r="U834" s="1"/>
      </tp>
      <tp t="s">
        <v>N/A</v>
        <stp/>
        <stp>IMPL_VOL</stp>
        <stp>.XBI201120P125.5</stp>
        <tr r="D779" s="1"/>
      </tp>
      <tp t="s">
        <v>N/A</v>
        <stp/>
        <stp>PROB_OF_EXPIRING</stp>
        <stp>.XLV201120P112</stp>
        <tr r="T866" s="1"/>
      </tp>
      <tp t="s">
        <v>N/A</v>
        <stp/>
        <stp>PROB_OF_EXPIRING</stp>
        <stp>.XLV201120C112</stp>
        <tr r="T865" s="1"/>
      </tp>
      <tp t="s">
        <v>N/A</v>
        <stp/>
        <stp>PROB_OF_EXPIRING</stp>
        <stp>.XLV201120P110</stp>
        <tr r="T858" s="1"/>
      </tp>
      <tp t="s">
        <v>N/A</v>
        <stp/>
        <stp>PROB_OF_EXPIRING</stp>
        <stp>.XLV201120C110</stp>
        <tr r="T857" s="1"/>
      </tp>
      <tp t="s">
        <v>N/A</v>
        <stp/>
        <stp>PROB_OF_EXPIRING</stp>
        <stp>.XLV201120P111</stp>
        <tr r="T862" s="1"/>
      </tp>
      <tp t="s">
        <v>N/A</v>
        <stp/>
        <stp>PROB_OF_EXPIRING</stp>
        <stp>.XLV201120C111</stp>
        <tr r="T861" s="1"/>
      </tp>
      <tp t="s">
        <v>N/A</v>
        <stp/>
        <stp>OPEN</stp>
        <stp>.EWY201120P72.5</stp>
        <tr r="L167" s="1"/>
      </tp>
      <tp t="s">
        <v>N/A</v>
        <stp/>
        <stp>OPEN</stp>
        <stp>.EWY201120C72.5</stp>
        <tr r="L166" s="1"/>
      </tp>
      <tp t="s">
        <v>N/A</v>
        <stp/>
        <stp>PROB_OF_EXPIRING</stp>
        <stp>.SMH201120P196.5</stp>
        <tr r="T569" s="1"/>
      </tp>
      <tp t="s">
        <v>N/A</v>
        <stp/>
        <stp>OPEN_INT</stp>
        <stp>.LQD201120P135.5</stp>
        <tr r="G410" s="1"/>
      </tp>
      <tp t="s">
        <v>N/A</v>
        <stp/>
        <stp>OPEN_INT</stp>
        <stp>.IBB201120C140.5</stp>
        <tr r="G239" s="1"/>
      </tp>
      <tp t="s">
        <v>N/A</v>
        <stp/>
        <stp>PROB_OF_TOUCHING</stp>
        <stp>.SMH201120P193.5</stp>
        <tr r="V557" s="1"/>
      </tp>
      <tp t="s">
        <v>N/A</v>
        <stp/>
        <stp>OPEN</stp>
        <stp>.RSX201120P22.5</stp>
        <tr r="L516" s="1"/>
      </tp>
      <tp t="s">
        <v>N/A</v>
        <stp/>
        <stp>OPEN</stp>
        <stp>.RSX201120C22.5</stp>
        <tr r="L515" s="1"/>
      </tp>
      <tp t="s">
        <v>N/A</v>
        <stp/>
        <stp>IMPL_VOL</stp>
        <stp>.XBI201120C125.5</stp>
        <tr r="D778" s="1"/>
      </tp>
      <tp t="s">
        <v>N/A</v>
        <stp/>
        <stp>OPEN</stp>
        <stp>.SSO201120P82.5</stp>
        <tr r="L650" s="1"/>
      </tp>
      <tp t="s">
        <v>N/A</v>
        <stp/>
        <stp>OPEN</stp>
        <stp>.SSO201120C82.5</stp>
        <tr r="L649" s="1"/>
      </tp>
      <tp t="s">
        <v>N/A</v>
        <stp/>
        <stp>PROB_OTM</stp>
        <stp>.XLV201120C111.5</stp>
        <tr r="U863" s="1"/>
      </tp>
      <tp t="s">
        <v>N/A</v>
        <stp/>
        <stp>PROB_OTM</stp>
        <stp>.XLY201120C151.5</stp>
        <tr r="U868" s="1"/>
      </tp>
      <tp>
        <v>0</v>
        <stp/>
        <stp>OPEN</stp>
        <stp>.VT201120P86</stp>
        <tr r="L736" s="1"/>
      </tp>
      <tp>
        <v>0</v>
        <stp/>
        <stp>OPEN</stp>
        <stp>.VT201120P87</stp>
        <tr r="L738" s="1"/>
      </tp>
      <tp t="s">
        <v>N/A</v>
        <stp/>
        <stp>PROB_OTM</stp>
        <stp>.XLK201120C121.5</stp>
        <tr r="U833" s="1"/>
      </tp>
      <tp t="s">
        <v>N/A</v>
        <stp/>
        <stp>PROB_OF_EXPIRING</stp>
        <stp>.SMH201120C196.5</stp>
        <tr r="T568" s="1"/>
      </tp>
      <tp>
        <v>4.2</v>
        <stp/>
        <stp>OPEN</stp>
        <stp>.TAN201120C72.5</stp>
        <tr r="L660" s="1"/>
      </tp>
      <tp t="s">
        <v>N/A</v>
        <stp/>
        <stp>OPEN</stp>
        <stp>.TAN201120P72.5</stp>
        <tr r="L661" s="1"/>
      </tp>
      <tp>
        <v>8559</v>
        <stp/>
        <stp>OPEN_INT</stp>
        <stp>.LQD201120C135.5</stp>
        <tr r="G409" s="1"/>
      </tp>
      <tp>
        <v>3</v>
        <stp/>
        <stp>OPEN_INT</stp>
        <stp>.IBB201120P140.5</stp>
        <tr r="G240" s="1"/>
      </tp>
      <tp>
        <v>0.35</v>
        <stp/>
        <stp>LAST</stp>
        <stp>.SH201120C19</stp>
        <tr r="E543" s="1"/>
      </tp>
      <tp t="s">
        <v>N/A</v>
        <stp/>
        <stp>PROB_OF_TOUCHING</stp>
        <stp>.SMH201120C193.5</stp>
        <tr r="V556" s="1"/>
      </tp>
      <tp t="s">
        <v>N/A</v>
        <stp/>
        <stp>PUT_CALL_RATIO</stp>
        <stp>.ACWI201120C86</stp>
        <tr r="C10" s="1"/>
      </tp>
      <tp t="s">
        <v>N/A</v>
        <stp/>
        <stp>PUT_CALL_RATIO</stp>
        <stp>.ACWI201120C85</stp>
        <tr r="C8" s="1"/>
      </tp>
      <tp t="s">
        <v>N/A</v>
        <stp/>
        <stp>PUT_CALL_RATIO</stp>
        <stp>.INDA201120P36</stp>
        <tr r="C282" s="1"/>
      </tp>
      <tp t="s">
        <v>N/A</v>
        <stp/>
        <stp>DESCRIPTION</stp>
        <stp>.SSO201120P81.5</stp>
        <tr r="B646" s="1"/>
      </tp>
      <tp t="s">
        <v>N/A</v>
        <stp/>
        <stp>DESCRIPTION</stp>
        <stp>.SSO201120C81.5</stp>
        <tr r="B645" s="1"/>
      </tp>
      <tp t="s">
        <v>N/A</v>
        <stp/>
        <stp>INTRINSIC</stp>
        <stp>.EMB201120C114</stp>
        <tr r="R112" s="1"/>
      </tp>
      <tp t="s">
        <v>N/A</v>
        <stp/>
        <stp>INTRINSIC</stp>
        <stp>.EMB201120P114</stp>
        <tr r="R113" s="1"/>
      </tp>
      <tp t="s">
        <v>N/A</v>
        <stp/>
        <stp>EXTRINSIC</stp>
        <stp>.IGV201120C315</stp>
        <tr r="S265" s="1"/>
      </tp>
      <tp t="s">
        <v>N/A</v>
        <stp/>
        <stp>EXTRINSIC</stp>
        <stp>.IGV201120P315</stp>
        <tr r="S266" s="1"/>
      </tp>
      <tp t="s">
        <v>N/A</v>
        <stp/>
        <stp>INTRINSIC</stp>
        <stp>.MUB201120P116</stp>
        <tr r="R437" s="1"/>
      </tp>
      <tp t="s">
        <v>N/A</v>
        <stp/>
        <stp>INTRINSIC</stp>
        <stp>.MUB201120C116</stp>
        <tr r="R436" s="1"/>
      </tp>
      <tp t="s">
        <v>N/A</v>
        <stp/>
        <stp>EXTRINSIC</stp>
        <stp>.IGV201120C325</stp>
        <tr r="S269" s="1"/>
      </tp>
      <tp t="s">
        <v>N/A</v>
        <stp/>
        <stp>EXTRINSIC</stp>
        <stp>.IGV201120P325</stp>
        <tr r="S270" s="1"/>
      </tp>
      <tp t="s">
        <v>N/A</v>
        <stp/>
        <stp>EXTRINSIC</stp>
        <stp>.IGV201120C320</stp>
        <tr r="S267" s="1"/>
      </tp>
      <tp t="s">
        <v>N/A</v>
        <stp/>
        <stp>EXTRINSIC</stp>
        <stp>.IGV201120P320</stp>
        <tr r="S268" s="1"/>
      </tp>
      <tp t="s">
        <v>N/A</v>
        <stp/>
        <stp>INTRINSIC</stp>
        <stp>.IBB201120C139</stp>
        <tr r="R233" s="1"/>
      </tp>
      <tp t="s">
        <v>N/A</v>
        <stp/>
        <stp>INTRINSIC</stp>
        <stp>.IBB201120P139</stp>
        <tr r="R234" s="1"/>
      </tp>
      <tp t="s">
        <v>N/A</v>
        <stp/>
        <stp>INTRINSIC</stp>
        <stp>.IBB201120C138</stp>
        <tr r="R229" s="1"/>
      </tp>
      <tp t="s">
        <v>N/A</v>
        <stp/>
        <stp>INTRINSIC</stp>
        <stp>.IBB201120P138</stp>
        <tr r="R230" s="1"/>
      </tp>
      <tp t="s">
        <v>N/A</v>
        <stp/>
        <stp>INTRINSIC</stp>
        <stp>.IBB201120C141</stp>
        <tr r="R241" s="1"/>
      </tp>
      <tp t="s">
        <v>N/A</v>
        <stp/>
        <stp>INTRINSIC</stp>
        <stp>.IBB201120P141</stp>
        <tr r="R242" s="1"/>
      </tp>
      <tp t="s">
        <v>N/A</v>
        <stp/>
        <stp>INTRINSIC</stp>
        <stp>.IBB201120C140</stp>
        <tr r="R237" s="1"/>
      </tp>
      <tp t="s">
        <v>N/A</v>
        <stp/>
        <stp>INTRINSIC</stp>
        <stp>.IBB201120P140</stp>
        <tr r="R238" s="1"/>
      </tp>
      <tp t="s">
        <v>N/A</v>
        <stp/>
        <stp>PUT_CALL_RATIO</stp>
        <stp>.SPDW201120P32</stp>
        <tr r="C580" s="1"/>
      </tp>
      <tp t="s">
        <v>N/A</v>
        <stp/>
        <stp>EXTRINSIC</stp>
        <stp>.IVV201120P359</stp>
        <tr r="S323" s="1"/>
      </tp>
      <tp t="s">
        <v>N/A</v>
        <stp/>
        <stp>EXTRINSIC</stp>
        <stp>.IVV201120C359</stp>
        <tr r="S322" s="1"/>
      </tp>
      <tp t="s">
        <v>N/A</v>
        <stp/>
        <stp>EXTRINSIC</stp>
        <stp>.IVV201120P358</stp>
        <tr r="S321" s="1"/>
      </tp>
      <tp t="s">
        <v>N/A</v>
        <stp/>
        <stp>EXTRINSIC</stp>
        <stp>.IVV201120C358</stp>
        <tr r="S320" s="1"/>
      </tp>
      <tp t="s">
        <v>N/A</v>
        <stp/>
        <stp>EXTRINSIC</stp>
        <stp>.IVV201120P355</stp>
        <tr r="S313" s="1"/>
      </tp>
      <tp t="s">
        <v>N/A</v>
        <stp/>
        <stp>EXTRINSIC</stp>
        <stp>.IVV201120C355</stp>
        <tr r="S312" s="1"/>
      </tp>
      <tp t="s">
        <v>N/A</v>
        <stp/>
        <stp>EXTRINSIC</stp>
        <stp>.IVV201120P354</stp>
        <tr r="S311" s="1"/>
      </tp>
      <tp t="s">
        <v>N/A</v>
        <stp/>
        <stp>EXTRINSIC</stp>
        <stp>.IVV201120C354</stp>
        <tr r="S310" s="1"/>
      </tp>
      <tp t="s">
        <v>N/A</v>
        <stp/>
        <stp>EXTRINSIC</stp>
        <stp>.IVV201120P357</stp>
        <tr r="S317" s="1"/>
      </tp>
      <tp t="s">
        <v>N/A</v>
        <stp/>
        <stp>EXTRINSIC</stp>
        <stp>.IVV201120C357</stp>
        <tr r="S316" s="1"/>
      </tp>
      <tp t="s">
        <v>N/A</v>
        <stp/>
        <stp>EXTRINSIC</stp>
        <stp>.IVV201120P356</stp>
        <tr r="S315" s="1"/>
      </tp>
      <tp t="s">
        <v>N/A</v>
        <stp/>
        <stp>EXTRINSIC</stp>
        <stp>.IVV201120C356</stp>
        <tr r="S314" s="1"/>
      </tp>
      <tp t="s">
        <v>N/A</v>
        <stp/>
        <stp>EXTRINSIC</stp>
        <stp>.TLT201120C155</stp>
        <tr r="S690" s="1"/>
      </tp>
      <tp t="s">
        <v>N/A</v>
        <stp/>
        <stp>EXTRINSIC</stp>
        <stp>.TLT201120P155</stp>
        <tr r="S691" s="1"/>
      </tp>
      <tp t="s">
        <v>N/A</v>
        <stp/>
        <stp>EXTRINSIC</stp>
        <stp>.TLT201120C156</stp>
        <tr r="S694" s="1"/>
      </tp>
      <tp t="s">
        <v>N/A</v>
        <stp/>
        <stp>EXTRINSIC</stp>
        <stp>.TLT201120P156</stp>
        <tr r="S695" s="1"/>
      </tp>
      <tp t="s">
        <v>N/A</v>
        <stp/>
        <stp>EXTRINSIC</stp>
        <stp>.IVV201120P361</stp>
        <tr r="S327" s="1"/>
      </tp>
      <tp t="s">
        <v>N/A</v>
        <stp/>
        <stp>EXTRINSIC</stp>
        <stp>.IVV201120C361</stp>
        <tr r="S326" s="1"/>
      </tp>
      <tp t="s">
        <v>N/A</v>
        <stp/>
        <stp>EXTRINSIC</stp>
        <stp>.IVV201120P360</stp>
        <tr r="S325" s="1"/>
      </tp>
      <tp t="s">
        <v>N/A</v>
        <stp/>
        <stp>EXTRINSIC</stp>
        <stp>.IVV201120C360</stp>
        <tr r="S324" s="1"/>
      </tp>
      <tp t="s">
        <v>N/A</v>
        <stp/>
        <stp>EXTRINSIC</stp>
        <stp>.IVV201120P362</stp>
        <tr r="S329" s="1"/>
      </tp>
      <tp t="s">
        <v>N/A</v>
        <stp/>
        <stp>EXTRINSIC</stp>
        <stp>.IVV201120C362</stp>
        <tr r="S328" s="1"/>
      </tp>
      <tp>
        <v>0</v>
        <stp/>
        <stp>VOLUME</stp>
        <stp>.PDBC201120C14</stp>
        <tr r="F452" s="1"/>
      </tp>
      <tp t="s">
        <v>N/A</v>
        <stp/>
        <stp>INTRINSIC</stp>
        <stp>.DIA201120C291</stp>
        <tr r="R63" s="1"/>
      </tp>
      <tp t="s">
        <v>N/A</v>
        <stp/>
        <stp>INTRINSIC</stp>
        <stp>.DIA201120P291</stp>
        <tr r="R64" s="1"/>
      </tp>
      <tp t="s">
        <v>N/A</v>
        <stp/>
        <stp>INTRINSIC</stp>
        <stp>.DIA201120C292</stp>
        <tr r="R65" s="1"/>
      </tp>
      <tp t="s">
        <v>N/A</v>
        <stp/>
        <stp>INTRINSIC</stp>
        <stp>.DIA201120P292</stp>
        <tr r="R66" s="1"/>
      </tp>
      <tp t="s">
        <v>N/A</v>
        <stp/>
        <stp>INTRINSIC</stp>
        <stp>.DIA201120C293</stp>
        <tr r="R69" s="1"/>
      </tp>
      <tp t="s">
        <v>N/A</v>
        <stp/>
        <stp>INTRINSIC</stp>
        <stp>.DIA201120P293</stp>
        <tr r="R70" s="1"/>
      </tp>
      <tp t="s">
        <v>N/A</v>
        <stp/>
        <stp>INTRINSIC</stp>
        <stp>.DIA201120C294</stp>
        <tr r="R71" s="1"/>
      </tp>
      <tp t="s">
        <v>N/A</v>
        <stp/>
        <stp>INTRINSIC</stp>
        <stp>.DIA201120P294</stp>
        <tr r="R72" s="1"/>
      </tp>
      <tp t="s">
        <v>N/A</v>
        <stp/>
        <stp>INTRINSIC</stp>
        <stp>.DIA201120C295</stp>
        <tr r="R73" s="1"/>
      </tp>
      <tp t="s">
        <v>N/A</v>
        <stp/>
        <stp>INTRINSIC</stp>
        <stp>.DIA201120P295</stp>
        <tr r="R74" s="1"/>
      </tp>
      <tp t="s">
        <v>N/A</v>
        <stp/>
        <stp>INTRINSIC</stp>
        <stp>.DIA201120C296</stp>
        <tr r="R75" s="1"/>
      </tp>
      <tp t="s">
        <v>N/A</v>
        <stp/>
        <stp>INTRINSIC</stp>
        <stp>.DIA201120P296</stp>
        <tr r="R76" s="1"/>
      </tp>
      <tp t="s">
        <v>N/A</v>
        <stp/>
        <stp>INTRINSIC</stp>
        <stp>.DIA201120C297</stp>
        <tr r="R77" s="1"/>
      </tp>
      <tp t="s">
        <v>N/A</v>
        <stp/>
        <stp>INTRINSIC</stp>
        <stp>.DIA201120P297</stp>
        <tr r="R78" s="1"/>
      </tp>
      <tp t="s">
        <v>N/A</v>
        <stp/>
        <stp>PUT_CALL_RATIO</stp>
        <stp>.INDY201120P38</stp>
        <tr r="C287" s="1"/>
      </tp>
      <tp t="s">
        <v>N/A</v>
        <stp/>
        <stp>STRIKE</stp>
        <stp>.ITOT201120P80</stp>
        <tr r="W299" s="1"/>
      </tp>
      <tp t="s">
        <v>N/A</v>
        <stp/>
        <stp>STRIKE</stp>
        <stp>.ITOT201120P81</stp>
        <tr r="W301" s="1"/>
      </tp>
      <tp t="s">
        <v>N/A</v>
        <stp/>
        <stp>PUT_CALL_RATIO</stp>
        <stp>.ACWX201120C50</stp>
        <tr r="C13" s="1"/>
      </tp>
      <tp t="s">
        <v>N/A</v>
        <stp/>
        <stp>DESCRIPTION</stp>
        <stp>.EWY201120P71.5</stp>
        <tr r="B163" s="1"/>
      </tp>
      <tp t="s">
        <v>N/A</v>
        <stp/>
        <stp>DESCRIPTION</stp>
        <stp>.EWZ201120P31.5</stp>
        <tr r="B174" s="1"/>
      </tp>
      <tp t="s">
        <v>N/A</v>
        <stp/>
        <stp>DESCRIPTION</stp>
        <stp>.EWY201120C71.5</stp>
        <tr r="B162" s="1"/>
      </tp>
      <tp t="s">
        <v>N/A</v>
        <stp/>
        <stp>DESCRIPTION</stp>
        <stp>.EWZ201120C31.5</stp>
        <tr r="B173" s="1"/>
      </tp>
      <tp>
        <v>1.65</v>
        <stp/>
        <stp>ASK</stp>
        <stp>.PXH201120P19</stp>
        <tr r="I459" s="1"/>
      </tp>
      <tp t="s">
        <v>N/A</v>
        <stp/>
        <stp>BID</stp>
        <stp>.EWL201120P43</stp>
        <tr r="H144" s="1"/>
      </tp>
      <tp t="s">
        <v>N/A</v>
        <stp/>
        <stp>LOW</stp>
        <stp>.EWL201120C43</stp>
        <tr r="K143" s="1"/>
      </tp>
      <tp t="s">
        <v>N/A</v>
        <stp/>
        <stp>BID</stp>
        <stp>.VWO201120P47</stp>
        <tr r="H752" s="1"/>
      </tp>
      <tp>
        <v>0.6</v>
        <stp/>
        <stp>BID</stp>
        <stp>.EWI201120P27</stp>
        <tr r="H134" s="1"/>
      </tp>
      <tp t="s">
        <v>N/A</v>
        <stp/>
        <stp>LOW</stp>
        <stp>.VWO201120C47</stp>
        <tr r="K751" s="1"/>
      </tp>
      <tp>
        <v>0</v>
        <stp/>
        <stp>LOW</stp>
        <stp>.EWI201120C27</stp>
        <tr r="K133" s="1"/>
      </tp>
      <tp t="s">
        <v>N/A</v>
        <stp/>
        <stp>BID</stp>
        <stp>.EWH201120P24</stp>
        <tr r="H131" s="1"/>
      </tp>
      <tp t="s">
        <v>N/A</v>
        <stp/>
        <stp>ASK</stp>
        <stp>.PXH201120P20</stp>
        <tr r="I461" s="1"/>
      </tp>
      <tp t="s">
        <v>N/A</v>
        <stp/>
        <stp>LOW</stp>
        <stp>.EWH201120C24</stp>
        <tr r="K130" s="1"/>
      </tp>
      <tp>
        <v>0.67</v>
        <stp/>
        <stp>ASK</stp>
        <stp>.FXI201120P47</stp>
        <tr r="I190" s="1"/>
      </tp>
      <tp>
        <v>1.29</v>
        <stp/>
        <stp>ASK</stp>
        <stp>.FXI201120P48</stp>
        <tr r="I194" s="1"/>
      </tp>
      <tp t="s">
        <v>N/A</v>
        <stp/>
        <stp>ASK</stp>
        <stp>.RSP201120C118</stp>
        <tr r="I506" s="1"/>
      </tp>
      <tp t="s">
        <v>N/A</v>
        <stp/>
        <stp>ASK</stp>
        <stp>.RSP201120P118</stp>
        <tr r="I507" s="1"/>
      </tp>
      <tp t="s">
        <v>N/A</v>
        <stp/>
        <stp>ASK</stp>
        <stp>.RSP201120C119</stp>
        <tr r="I508" s="1"/>
      </tp>
      <tp t="s">
        <v>N/A</v>
        <stp/>
        <stp>ASK</stp>
        <stp>.RSP201120P119</stp>
        <tr r="I509" s="1"/>
      </tp>
      <tp>
        <v>0.25</v>
        <stp/>
        <stp>BID</stp>
        <stp>.RSP201120C120</stp>
        <tr r="H510" s="1"/>
      </tp>
      <tp t="s">
        <v>N/A</v>
        <stp/>
        <stp>BID</stp>
        <stp>.RSP201120P120</stp>
        <tr r="H511" s="1"/>
      </tp>
      <tp t="s">
        <v>N/A</v>
        <stp/>
        <stp>BID</stp>
        <stp>.TIP201120P125</stp>
        <tr r="H688" s="1"/>
      </tp>
      <tp>
        <v>0.4</v>
        <stp/>
        <stp>BID</stp>
        <stp>.TIP201120C125</stp>
        <tr r="H687" s="1"/>
      </tp>
      <tp t="s">
        <v>N/A</v>
        <stp/>
        <stp>BID</stp>
        <stp>.EWJ201120P64</stp>
        <tr r="H141" s="1"/>
      </tp>
      <tp t="s">
        <v>N/A</v>
        <stp/>
        <stp>BID</stp>
        <stp>.EWJ201120P63</stp>
        <tr r="H137" s="1"/>
      </tp>
      <tp>
        <v>0.44</v>
        <stp/>
        <stp>LOW</stp>
        <stp>.EWJ201120C63</stp>
        <tr r="K136" s="1"/>
      </tp>
      <tp>
        <v>0.18</v>
        <stp/>
        <stp>LOW</stp>
        <stp>.EWJ201120C64</stp>
        <tr r="K140" s="1"/>
      </tp>
      <tp t="s">
        <v>N/A</v>
        <stp/>
        <stp>ASK</stp>
        <stp>.TIP201120P125</stp>
        <tr r="I688" s="1"/>
      </tp>
      <tp>
        <v>0.65</v>
        <stp/>
        <stp>ASK</stp>
        <stp>.TIP201120C125</stp>
        <tr r="I687" s="1"/>
      </tp>
      <tp>
        <v>0.45</v>
        <stp/>
        <stp>ASK</stp>
        <stp>.RSP201120C120</stp>
        <tr r="I510" s="1"/>
      </tp>
      <tp t="s">
        <v>N/A</v>
        <stp/>
        <stp>ASK</stp>
        <stp>.RSP201120P120</stp>
        <tr r="I511" s="1"/>
      </tp>
      <tp t="s">
        <v>N/A</v>
        <stp/>
        <stp>BID</stp>
        <stp>.RSP201120C118</stp>
        <tr r="H506" s="1"/>
      </tp>
      <tp t="s">
        <v>N/A</v>
        <stp/>
        <stp>BID</stp>
        <stp>.RSP201120P118</stp>
        <tr r="H507" s="1"/>
      </tp>
      <tp t="s">
        <v>N/A</v>
        <stp/>
        <stp>BID</stp>
        <stp>.RSP201120C119</stp>
        <tr r="H508" s="1"/>
      </tp>
      <tp t="s">
        <v>N/A</v>
        <stp/>
        <stp>BID</stp>
        <stp>.RSP201120P119</stp>
        <tr r="H509" s="1"/>
      </tp>
      <tp>
        <v>0.65</v>
        <stp/>
        <stp>LOW</stp>
        <stp>.RWM201120C29</stp>
        <tr r="K518" s="1"/>
      </tp>
      <tp>
        <v>0.2</v>
        <stp/>
        <stp>BID</stp>
        <stp>.RWM201120P29</stp>
        <tr r="H519" s="1"/>
      </tp>
      <tp t="s">
        <v>N/A</v>
        <stp/>
        <stp>LOW</stp>
        <stp>.RSP201120P118</stp>
        <tr r="K507" s="1"/>
      </tp>
      <tp t="s">
        <v>N/A</v>
        <stp/>
        <stp>LOW</stp>
        <stp>.RSP201120C118</stp>
        <tr r="K506" s="1"/>
      </tp>
      <tp t="s">
        <v>N/A</v>
        <stp/>
        <stp>LOW</stp>
        <stp>.RSP201120P119</stp>
        <tr r="K509" s="1"/>
      </tp>
      <tp t="s">
        <v>N/A</v>
        <stp/>
        <stp>LOW</stp>
        <stp>.RSP201120C119</stp>
        <tr r="K508" s="1"/>
      </tp>
      <tp t="s">
        <v>N/A</v>
        <stp/>
        <stp>LOW</stp>
        <stp>.EWC201120C29</stp>
        <tr r="K124" s="1"/>
      </tp>
      <tp t="s">
        <v>N/A</v>
        <stp/>
        <stp>BID</stp>
        <stp>.EWC201120P29</stp>
        <tr r="H125" s="1"/>
      </tp>
      <tp>
        <v>0.78900000000000003</v>
        <stp/>
        <stp>PUT_CALL_RATIO</stp>
        <stp>JETS</stp>
        <tr r="C375" s="1"/>
      </tp>
      <tp t="s">
        <v>N/A</v>
        <stp/>
        <stp>BID</stp>
        <stp>.EWA201120P22</stp>
        <tr r="H122" s="1"/>
      </tp>
      <tp t="s">
        <v>N/A</v>
        <stp/>
        <stp>LOW</stp>
        <stp>.EWA201120C22</stp>
        <tr r="K121" s="1"/>
      </tp>
      <tp>
        <v>0</v>
        <stp/>
        <stp>LOW</stp>
        <stp>.TIP201120C125</stp>
        <tr r="K687" s="1"/>
      </tp>
      <tp t="s">
        <v>N/A</v>
        <stp/>
        <stp>LOW</stp>
        <stp>.TIP201120P125</stp>
        <tr r="K688" s="1"/>
      </tp>
      <tp t="s">
        <v>N/A</v>
        <stp/>
        <stp>LOW</stp>
        <stp>.RSP201120P120</stp>
        <tr r="K511" s="1"/>
      </tp>
      <tp>
        <v>0</v>
        <stp/>
        <stp>LOW</stp>
        <stp>.RSP201120C120</stp>
        <tr r="K510" s="1"/>
      </tp>
      <tp>
        <v>0.4</v>
        <stp/>
        <stp>ASK</stp>
        <stp>.DXD201120P14</stp>
        <tr r="I93" s="1"/>
      </tp>
      <tp t="s">
        <v>N/A</v>
        <stp/>
        <stp>BID</stp>
        <stp>.EWG201120P30</stp>
        <tr r="H128" s="1"/>
      </tp>
      <tp t="s">
        <v>N/A</v>
        <stp/>
        <stp>LOW</stp>
        <stp>.EWG201120C30</stp>
        <tr r="K127" s="1"/>
      </tp>
      <tp>
        <v>1.48</v>
        <stp/>
        <stp>BID</stp>
        <stp>.EWZ201120P32</stp>
        <tr r="H176" s="1"/>
      </tp>
      <tp>
        <v>0.21</v>
        <stp/>
        <stp>LOW</stp>
        <stp>.EWZ201120C32</stp>
        <tr r="K175" s="1"/>
      </tp>
      <tp t="s">
        <v>N/A</v>
        <stp/>
        <stp>DESCRIPTION</stp>
        <stp>.XME201120C27</stp>
        <tr r="B887" s="1"/>
      </tp>
      <tp>
        <v>1.1200000000000001</v>
        <stp/>
        <stp>BID</stp>
        <stp>.GDX201120C37</stp>
        <tr r="H198" s="1"/>
      </tp>
      <tp>
        <v>0.46</v>
        <stp/>
        <stp>LOW</stp>
        <stp>.GDX201120P37</stp>
        <tr r="K199" s="1"/>
      </tp>
      <tp t="s">
        <v>N/A</v>
        <stp/>
        <stp>STRIKE</stp>
        <stp>IXUS</stp>
        <tr r="W360" s="1"/>
      </tp>
      <tp t="s">
        <v>N/A</v>
        <stp/>
        <stp>STRIKE</stp>
        <stp>VXUS</stp>
        <tr r="W753" s="1"/>
      </tp>
      <tp>
        <v>0.106</v>
        <stp/>
        <stp>PUT_CALL_RATIO</stp>
        <stp>IEMG</stp>
        <tr r="C256" s="1"/>
      </tp>
      <tp t="s">
        <v>N/A</v>
        <stp/>
        <stp>RHO</stp>
        <stp>.RSP201120C120</stp>
        <tr r="Q510" s="1"/>
      </tp>
      <tp t="s">
        <v>N/A</v>
        <stp/>
        <stp>RHO</stp>
        <stp>.RSP201120P120</stp>
        <tr r="Q511" s="1"/>
      </tp>
      <tp t="s">
        <v>N/A</v>
        <stp/>
        <stp>RHO</stp>
        <stp>.TIP201120P125</stp>
        <tr r="Q688" s="1"/>
      </tp>
      <tp t="s">
        <v>N/A</v>
        <stp/>
        <stp>RHO</stp>
        <stp>.TIP201120C125</stp>
        <tr r="Q687" s="1"/>
      </tp>
      <tp t="s">
        <v>N/A</v>
        <stp/>
        <stp>RHO</stp>
        <stp>.RSP201120C119</stp>
        <tr r="Q508" s="1"/>
      </tp>
      <tp t="s">
        <v>N/A</v>
        <stp/>
        <stp>RHO</stp>
        <stp>.RSP201120P119</stp>
        <tr r="Q509" s="1"/>
      </tp>
      <tp t="s">
        <v>N/A</v>
        <stp/>
        <stp>RHO</stp>
        <stp>.RSP201120C118</stp>
        <tr r="Q506" s="1"/>
      </tp>
      <tp t="s">
        <v>N/A</v>
        <stp/>
        <stp>RHO</stp>
        <stp>.RSP201120P118</stp>
        <tr r="Q507" s="1"/>
      </tp>
      <tp t="s">
        <v>N/A</v>
        <stp/>
        <stp>BID</stp>
        <stp>.EWY201120P73</stp>
        <tr r="H169" s="1"/>
      </tp>
      <tp t="s">
        <v>N/A</v>
        <stp/>
        <stp>BID</stp>
        <stp>.EWY201120P72</stp>
        <tr r="H165" s="1"/>
      </tp>
      <tp t="s">
        <v>N/A</v>
        <stp/>
        <stp>LOW</stp>
        <stp>.EWY201120C73</stp>
        <tr r="K168" s="1"/>
      </tp>
      <tp t="s">
        <v>N/A</v>
        <stp/>
        <stp>LOW</stp>
        <stp>.EWY201120C72</stp>
        <tr r="K164" s="1"/>
      </tp>
      <tp>
        <v>0.16300000000000001</v>
        <stp/>
        <stp>PUT_CALL_RATIO</stp>
        <stp>IEFA</stp>
        <tr r="C251" s="1"/>
      </tp>
      <tp t="s">
        <v>N/A</v>
        <stp/>
        <stp>LOW</stp>
        <stp>.EWT201120C48</stp>
        <tr r="K149" s="1"/>
      </tp>
      <tp>
        <v>0.55000000000000004</v>
        <stp/>
        <stp>BID</stp>
        <stp>.EWT201120P48</stp>
        <tr r="H150" s="1"/>
      </tp>
      <tp t="s">
        <v>N/A</v>
        <stp/>
        <stp>BID</stp>
        <stp>.EWP201120P26</stp>
        <tr r="H147" s="1"/>
      </tp>
      <tp>
        <v>0.38</v>
        <stp/>
        <stp>BID</stp>
        <stp>.SDS201120C14</stp>
        <tr r="H540" s="1"/>
      </tp>
      <tp t="s">
        <v>N/A</v>
        <stp/>
        <stp>LOW</stp>
        <stp>.SDS201120P14</stp>
        <tr r="K541" s="1"/>
      </tp>
      <tp t="s">
        <v>N/A</v>
        <stp/>
        <stp>LOW</stp>
        <stp>.EWP201120C26</stp>
        <tr r="K146" s="1"/>
      </tp>
      <tp>
        <v>0.35</v>
        <stp/>
        <stp>LOW</stp>
        <stp>.EWW201120C39</stp>
        <tr r="K157" s="1"/>
      </tp>
      <tp>
        <v>1.1200000000000001</v>
        <stp/>
        <stp>BID</stp>
        <stp>.EWW201120P39</stp>
        <tr r="H158" s="1"/>
      </tp>
      <tp t="s">
        <v>N/A</v>
        <stp/>
        <stp>RHO</stp>
        <stp>.XOP201120C47</stp>
        <tr r="Q890" s="1"/>
      </tp>
      <tp t="s">
        <v>N/A</v>
        <stp/>
        <stp>RHO</stp>
        <stp>.XOP201120C49</stp>
        <tr r="Q898" s="1"/>
      </tp>
      <tp t="s">
        <v>N/A</v>
        <stp/>
        <stp>RHO</stp>
        <stp>.XOP201120C48</stp>
        <tr r="Q894" s="1"/>
      </tp>
      <tp t="s">
        <v>N/A</v>
        <stp/>
        <stp>PROB_OTM</stp>
        <stp>QQQ</stp>
        <tr r="U475" s="1"/>
      </tp>
      <tp t="s">
        <v>N/A</v>
        <stp/>
        <stp>PROB_OTM</stp>
        <stp>QLD</stp>
        <tr r="U462" s="1"/>
      </tp>
      <tp t="s">
        <v>N/A</v>
        <stp/>
        <stp>INTRINSIC</stp>
        <stp>SHYG</stp>
        <tr r="R548" s="1"/>
      </tp>
      <tp t="s">
        <v>N/A</v>
        <stp/>
        <stp>HIGH</stp>
        <stp>.SH201120P19</stp>
        <tr r="J544" s="1"/>
      </tp>
      <tp t="s">
        <v>N/A</v>
        <stp/>
        <stp>IMPL_VOL</stp>
        <stp>.XBI201120P122.5</stp>
        <tr r="D767" s="1"/>
      </tp>
      <tp t="s">
        <v>N/A</v>
        <stp/>
        <stp>PROB_OF_EXPIRING</stp>
        <stp>.TLT201120P156.5</stp>
        <tr r="T697" s="1"/>
      </tp>
      <tp>
        <v>0.43</v>
        <stp/>
        <stp>OPEN</stp>
        <stp>.HYG201120P85.5</stp>
        <tr r="L222" s="1"/>
      </tp>
      <tp>
        <v>0.43</v>
        <stp/>
        <stp>OPEN</stp>
        <stp>.HYG201120C85.5</stp>
        <tr r="L221" s="1"/>
      </tp>
      <tp t="s">
        <v>N/A</v>
        <stp/>
        <stp>PROB_OF_TOUCHING</stp>
        <stp>.IVW201120P61.25</stp>
        <tr r="V332" s="1"/>
      </tp>
      <tp t="s">
        <v>N/A</v>
        <stp/>
        <stp>OPEN</stp>
        <stp>.IYR201120P85.5</stp>
        <tr r="L374" s="1"/>
      </tp>
      <tp t="s">
        <v>N/A</v>
        <stp/>
        <stp>OPEN</stp>
        <stp>.ITB201120P55.5</stp>
        <tr r="L294" s="1"/>
      </tp>
      <tp t="s">
        <v>N/A</v>
        <stp/>
        <stp>OPEN</stp>
        <stp>.IYR201120C85.5</stp>
        <tr r="L373" s="1"/>
      </tp>
      <tp>
        <v>1.19</v>
        <stp/>
        <stp>OPEN</stp>
        <stp>.ITB201120C55.5</stp>
        <tr r="L293" s="1"/>
      </tp>
      <tp t="s">
        <v>N/A</v>
        <stp/>
        <stp>VEGA</stp>
        <stp>.SH201120P19</stp>
        <tr r="P544" s="1"/>
      </tp>
      <tp>
        <v>31</v>
        <stp/>
        <stp>OPEN_INT</stp>
        <stp>.IWF201120P227.5</stp>
        <tr r="G344" s="1"/>
      </tp>
      <tp t="s">
        <v>N/A</v>
        <stp/>
        <stp>EXTRINSIC</stp>
        <stp>SHYG</stp>
        <tr r="S548" s="1"/>
      </tp>
      <tp t="s">
        <v>N/A</v>
        <stp/>
        <stp>IMPL_VOL</stp>
        <stp>.XLK201120P122.5</stp>
        <tr r="D838" s="1"/>
      </tp>
      <tp t="s">
        <v>N/A</v>
        <stp/>
        <stp>PROB_OF_TOUCHING</stp>
        <stp>.SMH201120P194.5</stp>
        <tr r="V561" s="1"/>
      </tp>
      <tp t="s">
        <v>N/A</v>
        <stp/>
        <stp>IMPL_VOL</stp>
        <stp>.XLY201120P152.5</stp>
        <tr r="D873" s="1"/>
      </tp>
      <tp>
        <v>2</v>
        <stp/>
        <stp>OPEN_INT</stp>
        <stp>.IVV201120P357.5</stp>
        <tr r="G319" s="1"/>
      </tp>
      <tp t="s">
        <v>N/A</v>
        <stp/>
        <stp>IMPL_VOL</stp>
        <stp>.XBI201120C122.5</stp>
        <tr r="D766" s="1"/>
      </tp>
      <tp>
        <v>163</v>
        <stp/>
        <stp>OPEN_INT</stp>
        <stp>.XLY201120C152</stp>
        <tr r="G870" s="1"/>
      </tp>
      <tp t="s">
        <v>N/A</v>
        <stp/>
        <stp>OPEN_INT</stp>
        <stp>.XLY201120P152</stp>
        <tr r="G871" s="1"/>
      </tp>
      <tp t="s">
        <v>N/A</v>
        <stp/>
        <stp>OPEN_INT</stp>
        <stp>.XLY201120C153</stp>
        <tr r="G874" s="1"/>
      </tp>
      <tp t="s">
        <v>N/A</v>
        <stp/>
        <stp>OPEN_INT</stp>
        <stp>.XLY201120P153</stp>
        <tr r="G875" s="1"/>
      </tp>
      <tp>
        <v>171</v>
        <stp/>
        <stp>OPEN_INT</stp>
        <stp>.XLY201120C154</stp>
        <tr r="G878" s="1"/>
      </tp>
      <tp t="s">
        <v>N/A</v>
        <stp/>
        <stp>OPEN_INT</stp>
        <stp>.XLY201120P154</stp>
        <tr r="G879" s="1"/>
      </tp>
      <tp>
        <v>797</v>
        <stp/>
        <stp>OPEN_INT</stp>
        <stp>.XLY201120C155</stp>
        <tr r="G882" s="1"/>
      </tp>
      <tp t="s">
        <v>N/A</v>
        <stp/>
        <stp>OPEN_INT</stp>
        <stp>.XLY201120P155</stp>
        <tr r="G883" s="1"/>
      </tp>
      <tp t="s">
        <v>N/A</v>
        <stp/>
        <stp>PROB_OF_EXPIRING</stp>
        <stp>.TLT201120C156.5</stp>
        <tr r="T696" s="1"/>
      </tp>
      <tp t="s">
        <v>N/A</v>
        <stp/>
        <stp>OPEN</stp>
        <stp>.TAN201120C75.5</stp>
        <tr r="L672" s="1"/>
      </tp>
      <tp t="s">
        <v>N/A</v>
        <stp/>
        <stp>OPEN</stp>
        <stp>.TAN201120P75.5</stp>
        <tr r="L673" s="1"/>
      </tp>
      <tp t="s">
        <v>N/A</v>
        <stp/>
        <stp>PROB_OF_TOUCHING</stp>
        <stp>.IVW201120C61.25</stp>
        <tr r="V331" s="1"/>
      </tp>
      <tp>
        <v>0.95</v>
        <stp/>
        <stp>OPEN</stp>
        <stp>.XHB201120C55.5</stp>
        <tr r="L783" s="1"/>
      </tp>
      <tp>
        <v>0.54</v>
        <stp/>
        <stp>OPEN</stp>
        <stp>.XLI201120C85.5</stp>
        <tr r="L820" s="1"/>
      </tp>
      <tp t="s">
        <v>N/A</v>
        <stp/>
        <stp>OPEN</stp>
        <stp>.XRT201120P55.5</stp>
        <tr r="L910" s="1"/>
      </tp>
      <tp>
        <v>1.04</v>
        <stp/>
        <stp>OPEN</stp>
        <stp>.XHB201120P55.5</stp>
        <tr r="L784" s="1"/>
      </tp>
      <tp t="s">
        <v>N/A</v>
        <stp/>
        <stp>OPEN</stp>
        <stp>.XLI201120P85.5</stp>
        <tr r="L821" s="1"/>
      </tp>
      <tp t="s">
        <v>N/A</v>
        <stp/>
        <stp>OPEN</stp>
        <stp>.XRT201120C55.5</stp>
        <tr r="L909" s="1"/>
      </tp>
      <tp t="s">
        <v>N/A</v>
        <stp/>
        <stp>IMPL_VOL</stp>
        <stp>.XLK201120C122.5</stp>
        <tr r="D837" s="1"/>
      </tp>
      <tp t="s">
        <v>N/A</v>
        <stp/>
        <stp>PROB_OF_TOUCHING</stp>
        <stp>.SMH201120C194.5</stp>
        <tr r="V560" s="1"/>
      </tp>
      <tp t="s">
        <v>N/A</v>
        <stp/>
        <stp>IMPL_VOL</stp>
        <stp>.XLY201120C152.5</stp>
        <tr r="D872" s="1"/>
      </tp>
      <tp>
        <v>1</v>
        <stp/>
        <stp>OPEN_INT</stp>
        <stp>.IVV201120C357.5</stp>
        <tr r="G318" s="1"/>
      </tp>
      <tp t="s">
        <v>N/A</v>
        <stp/>
        <stp>OPEN_INT</stp>
        <stp>.IWF201120C227.5</stp>
        <tr r="G343" s="1"/>
      </tp>
      <tp t="s">
        <v>N/A</v>
        <stp/>
        <stp>STRIKE</stp>
        <stp>.SPHD201120P36</stp>
        <tr r="W583" s="1"/>
      </tp>
      <tp t="s">
        <v>N/A</v>
        <stp/>
        <stp>STRIKE</stp>
        <stp>.SCHE201120P29</stp>
        <tr r="W527" s="1"/>
      </tp>
      <tp t="s">
        <v>N/A</v>
        <stp/>
        <stp>DESCRIPTION</stp>
        <stp>.XME201120C26.5</stp>
        <tr r="B885" s="1"/>
      </tp>
      <tp t="s">
        <v>N/A</v>
        <stp/>
        <stp>DESCRIPTION</stp>
        <stp>.XLP201120C66.5</stp>
        <tr r="B842" s="1"/>
      </tp>
      <tp t="s">
        <v>N/A</v>
        <stp/>
        <stp>DESCRIPTION</stp>
        <stp>.XLU201120C66.5</stp>
        <tr r="B852" s="1"/>
      </tp>
      <tp t="s">
        <v>N/A</v>
        <stp/>
        <stp>DESCRIPTION</stp>
        <stp>.XLP201120P66.5</stp>
        <tr r="B843" s="1"/>
      </tp>
      <tp t="s">
        <v>N/A</v>
        <stp/>
        <stp>DESCRIPTION</stp>
        <stp>.XLU201120P66.5</stp>
        <tr r="B853" s="1"/>
      </tp>
      <tp t="s">
        <v>N/A</v>
        <stp/>
        <stp>DESCRIPTION</stp>
        <stp>.XME201120P26.5</stp>
        <tr r="B886" s="1"/>
      </tp>
      <tp t="s">
        <v>N/A</v>
        <stp/>
        <stp>STRIKE</stp>
        <stp>.SCHF201120P34</stp>
        <tr r="W530" s="1"/>
      </tp>
      <tp t="s">
        <v>N/A</v>
        <stp/>
        <stp>STRIKE</stp>
        <stp>.SCHD201120P61</stp>
        <tr r="W522" s="1"/>
      </tp>
      <tp t="s">
        <v>N/A</v>
        <stp/>
        <stp>STRIKE</stp>
        <stp>.SCHD201120P62</stp>
        <tr r="W524" s="1"/>
      </tp>
      <tp t="s">
        <v>N/A</v>
        <stp/>
        <stp>STRIKE</stp>
        <stp>.MCHI201120P80</stp>
        <tr r="W413" s="1"/>
      </tp>
      <tp t="s">
        <v>N/A</v>
        <stp/>
        <stp>DESCRIPTION</stp>
        <stp>.SHY201120C86.5</stp>
        <tr r="B546" s="1"/>
      </tp>
      <tp t="s">
        <v>N/A</v>
        <stp/>
        <stp>DESCRIPTION</stp>
        <stp>.SHY201120P86.5</stp>
        <tr r="B547" s="1"/>
      </tp>
      <tp t="s">
        <v>N/A</v>
        <stp/>
        <stp>VOLUME</stp>
        <stp>.SRVR201120P36</stp>
        <tr r="F641" s="1"/>
      </tp>
      <tp>
        <v>0</v>
        <stp/>
        <stp>VOLUME</stp>
        <stp>.SRVR201120P35</stp>
        <tr r="F639" s="1"/>
      </tp>
      <tp t="s">
        <v>N/A</v>
        <stp/>
        <stp>DESCRIPTION</stp>
        <stp>.VWO201120P46.5</stp>
        <tr r="B750" s="1"/>
      </tp>
      <tp t="s">
        <v>N/A</v>
        <stp/>
        <stp>DESCRIPTION</stp>
        <stp>.VWO201120C46.5</stp>
        <tr r="B749" s="1"/>
      </tp>
      <tp t="s">
        <v>N/A</v>
        <stp/>
        <stp>DESCRIPTION</stp>
        <stp>.TAN201120C76.5</stp>
        <tr r="B676" s="1"/>
      </tp>
      <tp t="s">
        <v>N/A</v>
        <stp/>
        <stp>DESCRIPTION</stp>
        <stp>.TAN201120P76.5</stp>
        <tr r="B677" s="1"/>
      </tp>
      <tp t="s">
        <v>N/A</v>
        <stp/>
        <stp>STRIKE</stp>
        <stp>.SCHP201120P61</stp>
        <tr r="W533" s="1"/>
      </tp>
      <tp t="s">
        <v>N/A</v>
        <stp/>
        <stp>DESCRIPTION</stp>
        <stp>.KRE201120P46.5</stp>
        <tr r="B392" s="1"/>
      </tp>
      <tp t="s">
        <v>N/A</v>
        <stp/>
        <stp>DESCRIPTION</stp>
        <stp>.KRE201120C46.5</stp>
        <tr r="B391" s="1"/>
      </tp>
      <tp t="s">
        <v>N/A</v>
        <stp/>
        <stp>INTRINSIC</stp>
        <stp>.IWF201120P225</stp>
        <tr r="R342" s="1"/>
      </tp>
      <tp t="s">
        <v>N/A</v>
        <stp/>
        <stp>INTRINSIC</stp>
        <stp>.IWF201120C225</stp>
        <tr r="R341" s="1"/>
      </tp>
      <tp t="s">
        <v>N/A</v>
        <stp/>
        <stp>INTRINSIC</stp>
        <stp>.IVE201120P121</stp>
        <tr r="R304" s="1"/>
      </tp>
      <tp t="s">
        <v>N/A</v>
        <stp/>
        <stp>INTRINSIC</stp>
        <stp>.IVE201120C121</stp>
        <tr r="R303" s="1"/>
      </tp>
      <tp t="s">
        <v>N/A</v>
        <stp/>
        <stp>INTRINSIC</stp>
        <stp>.IVE201120P123</stp>
        <tr r="R308" s="1"/>
      </tp>
      <tp t="s">
        <v>N/A</v>
        <stp/>
        <stp>INTRINSIC</stp>
        <stp>.IVE201120C123</stp>
        <tr r="R307" s="1"/>
      </tp>
      <tp t="s">
        <v>N/A</v>
        <stp/>
        <stp>INTRINSIC</stp>
        <stp>.IVE201120P122</stp>
        <tr r="R306" s="1"/>
      </tp>
      <tp t="s">
        <v>N/A</v>
        <stp/>
        <stp>INTRINSIC</stp>
        <stp>.IVE201120C122</stp>
        <tr r="R305" s="1"/>
      </tp>
      <tp>
        <v>148</v>
        <stp/>
        <stp>VOLUME</stp>
        <stp>.DFEN201120C14</stp>
        <tr r="F57" s="1"/>
      </tp>
      <tp>
        <v>202</v>
        <stp/>
        <stp>VOLUME</stp>
        <stp>.DFEN201120C13</stp>
        <tr r="F55" s="1"/>
      </tp>
      <tp t="s">
        <v>N/A</v>
        <stp/>
        <stp>STRIKE</stp>
        <stp>.ASHR201120P38</stp>
        <tr r="W47" s="1"/>
      </tp>
      <tp t="s">
        <v>N/A</v>
        <stp/>
        <stp>DESCRIPTION</stp>
        <stp>.GDX201120C36.5</stp>
        <tr r="B196" s="1"/>
      </tp>
      <tp t="s">
        <v>N/A</v>
        <stp/>
        <stp>DESCRIPTION</stp>
        <stp>.GDX201120P36.5</stp>
        <tr r="B197" s="1"/>
      </tp>
      <tp t="s">
        <v>N/A</v>
        <stp/>
        <stp>VOLUME</stp>
        <stp>.KWEB201120C73</stp>
        <tr r="F400" s="1"/>
      </tp>
      <tp t="s">
        <v>N/A</v>
        <stp/>
        <stp>VOLUME</stp>
        <stp>.KWEB201120C72</stp>
        <tr r="F398" s="1"/>
      </tp>
      <tp t="s">
        <v>N/A</v>
        <stp/>
        <stp>VOLUME</stp>
        <stp>.KWEB201120C74</stp>
        <tr r="F402" s="1"/>
      </tp>
      <tp>
        <v>5.4</v>
        <stp/>
        <stp>ASK</stp>
        <stp>.QLD201120C96</stp>
        <tr r="I463" s="1"/>
      </tp>
      <tp>
        <v>3.4</v>
        <stp/>
        <stp>ASK</stp>
        <stp>.QLD201120C97</stp>
        <tr r="I465" s="1"/>
      </tp>
      <tp>
        <v>4.3</v>
        <stp/>
        <stp>ASK</stp>
        <stp>.QLD201120C98</stp>
        <tr r="I467" s="1"/>
      </tp>
      <tp>
        <v>3.5</v>
        <stp/>
        <stp>ASK</stp>
        <stp>.QLD201120C99</stp>
        <tr r="I469" s="1"/>
      </tp>
      <tp t="s">
        <v>N/A</v>
        <stp/>
        <stp>ASK</stp>
        <stp>.XLI201120C84</stp>
        <tr r="I814" s="1"/>
      </tp>
      <tp>
        <v>1.07</v>
        <stp/>
        <stp>ASK</stp>
        <stp>.XLI201120C85</stp>
        <tr r="I818" s="1"/>
      </tp>
      <tp t="s">
        <v>N/A</v>
        <stp/>
        <stp>ASK</stp>
        <stp>.XLI201120C86</stp>
        <tr r="I822" s="1"/>
      </tp>
      <tp>
        <v>5</v>
        <stp/>
        <stp>ASK</stp>
        <stp>.XLC201120C64</stp>
        <tr r="I801" s="1"/>
      </tp>
      <tp>
        <v>0.53</v>
        <stp/>
        <stp>ASK</stp>
        <stp>.XLB201120C70</stp>
        <tr r="I794" s="1"/>
      </tp>
      <tp>
        <v>5</v>
        <stp/>
        <stp>ASK</stp>
        <stp>.XLC201120C63</stp>
        <tr r="I797" s="1"/>
      </tp>
      <tp t="s">
        <v>N/A</v>
        <stp/>
        <stp>DESCRIPTION</stp>
        <stp>.IJR201120C80</stp>
        <tr r="B275" s="1"/>
      </tp>
      <tp t="s">
        <v>N/A</v>
        <stp/>
        <stp>DESCRIPTION</stp>
        <stp>.IYR201120P84</stp>
        <tr r="B368" s="1"/>
      </tp>
      <tp t="s">
        <v>N/A</v>
        <stp/>
        <stp>DESCRIPTION</stp>
        <stp>.IYR201120P85</stp>
        <tr r="B372" s="1"/>
      </tp>
      <tp t="s">
        <v>N/A</v>
        <stp/>
        <stp>ASK</stp>
        <stp>.ILF201120C25</stp>
        <tr r="I278" s="1"/>
      </tp>
      <tp>
        <v>0.35</v>
        <stp/>
        <stp>ASK</stp>
        <stp>.XLF201120C27</stp>
        <tr r="I811" s="1"/>
      </tp>
      <tp>
        <v>0.83</v>
        <stp/>
        <stp>ASK</stp>
        <stp>.XLB201120C69</stp>
        <tr r="I790" s="1"/>
      </tp>
      <tp t="s">
        <v>N/A</v>
        <stp/>
        <stp>RHO</stp>
        <stp>.XHB201120C56</stp>
        <tr r="Q785" s="1"/>
      </tp>
      <tp t="s">
        <v>N/A</v>
        <stp/>
        <stp>RHO</stp>
        <stp>.XHB201120C55</stp>
        <tr r="Q781" s="1"/>
      </tp>
      <tp>
        <v>0.38</v>
        <stp/>
        <stp>ASK</stp>
        <stp>.XLE201120C34</stp>
        <tr r="I806" s="1"/>
      </tp>
      <tp t="s">
        <v>N/A</v>
        <stp/>
        <stp>DESCRIPTION</stp>
        <stp>.IYE201120P18</stp>
        <tr r="B365" s="1"/>
      </tp>
      <tp t="s">
        <v>N/A</v>
        <stp/>
        <stp>DESCRIPTION</stp>
        <stp>.SMH201120P197</stp>
        <tr r="B571" s="1"/>
      </tp>
      <tp t="s">
        <v>N/A</v>
        <stp/>
        <stp>DESCRIPTION</stp>
        <stp>.SMH201120C197</stp>
        <tr r="B570" s="1"/>
      </tp>
      <tp t="s">
        <v>N/A</v>
        <stp/>
        <stp>DESCRIPTION</stp>
        <stp>.SMH201120P196</stp>
        <tr r="B567" s="1"/>
      </tp>
      <tp t="s">
        <v>N/A</v>
        <stp/>
        <stp>DESCRIPTION</stp>
        <stp>.SMH201120C196</stp>
        <tr r="B566" s="1"/>
      </tp>
      <tp t="s">
        <v>N/A</v>
        <stp/>
        <stp>DESCRIPTION</stp>
        <stp>.SMH201120P195</stp>
        <tr r="B563" s="1"/>
      </tp>
      <tp t="s">
        <v>N/A</v>
        <stp/>
        <stp>DESCRIPTION</stp>
        <stp>.SMH201120C195</stp>
        <tr r="B562" s="1"/>
      </tp>
      <tp t="s">
        <v>N/A</v>
        <stp/>
        <stp>DESCRIPTION</stp>
        <stp>.SMH201120P194</stp>
        <tr r="B559" s="1"/>
      </tp>
      <tp t="s">
        <v>N/A</v>
        <stp/>
        <stp>DESCRIPTION</stp>
        <stp>.SMH201120C194</stp>
        <tr r="B558" s="1"/>
      </tp>
      <tp t="s">
        <v>N/A</v>
        <stp/>
        <stp>DESCRIPTION</stp>
        <stp>.SMH201120P193</stp>
        <tr r="B555" s="1"/>
      </tp>
      <tp t="s">
        <v>N/A</v>
        <stp/>
        <stp>DESCRIPTION</stp>
        <stp>.SMH201120C193</stp>
        <tr r="B554" s="1"/>
      </tp>
      <tp t="s">
        <v>N/A</v>
        <stp/>
        <stp>DESCRIPTION</stp>
        <stp>.SMH201120P198</stp>
        <tr r="B575" s="1"/>
      </tp>
      <tp t="s">
        <v>N/A</v>
        <stp/>
        <stp>DESCRIPTION</stp>
        <stp>.SMH201120C198</stp>
        <tr r="B574" s="1"/>
      </tp>
      <tp t="s">
        <v>N/A</v>
        <stp/>
        <stp>DESCRIPTION</stp>
        <stp>.VYM201120P88</stp>
        <tr r="B762" s="1"/>
      </tp>
      <tp t="s">
        <v>N/A</v>
        <stp/>
        <stp>DESCRIPTION</stp>
        <stp>.VYM201120P87</stp>
        <tr r="B760" s="1"/>
      </tp>
      <tp t="s">
        <v>N/A</v>
        <stp/>
        <stp>BID</stp>
        <stp>.SCZ201120C63</stp>
        <tr r="H535" s="1"/>
      </tp>
      <tp>
        <v>0</v>
        <stp/>
        <stp>LOW</stp>
        <stp>.SCZ201120P63</stp>
        <tr r="K536" s="1"/>
      </tp>
      <tp t="s">
        <v>N/A</v>
        <stp/>
        <stp>DESCRIPTION</stp>
        <stp>.HYG201120P86</stp>
        <tr r="B224" s="1"/>
      </tp>
      <tp>
        <v>0.86</v>
        <stp/>
        <stp>ASK</stp>
        <stp>.XLU201120C66</stp>
        <tr r="I850" s="1"/>
      </tp>
      <tp>
        <v>0.28000000000000003</v>
        <stp/>
        <stp>ASK</stp>
        <stp>.XLU201120C67</stp>
        <tr r="I854" s="1"/>
      </tp>
      <tp>
        <v>0.7</v>
        <stp/>
        <stp>ASK</stp>
        <stp>.XLP201120C67</stp>
        <tr r="I844" s="1"/>
      </tp>
      <tp t="s">
        <v>N/A</v>
        <stp/>
        <stp>PROB_OF_TOUCHING</stp>
        <stp>PXH</stp>
        <tr r="V457" s="1"/>
      </tp>
      <tp t="s">
        <v>N/A</v>
        <stp/>
        <stp>PROB_OTM</stp>
        <stp>VWO</stp>
        <tr r="U748" s="1"/>
      </tp>
      <tp t="s">
        <v>N/A</v>
        <stp/>
        <stp>PROB_OTM</stp>
        <stp>VTI</stp>
        <tr r="U739" s="1"/>
      </tp>
      <tp t="s">
        <v>N/A</v>
        <stp/>
        <stp>PROB_OTM</stp>
        <stp>VYM</stp>
        <tr r="U758" s="1"/>
      </tp>
      <tp t="s">
        <v>61.47%</v>
        <stp/>
        <stp>IMPL_VOL</stp>
        <stp>PXH</stp>
        <tr r="D457" s="1"/>
      </tp>
      <tp>
        <v>0</v>
        <stp/>
        <stp>OPEN_INT</stp>
        <stp>RSP</stp>
        <tr r="G505" s="1"/>
      </tp>
      <tp>
        <v>0</v>
        <stp/>
        <stp>OPEN_INT</stp>
        <stp>RSX</stp>
        <tr r="G512" s="1"/>
      </tp>
      <tp t="s">
        <v>2.12%</v>
        <stp/>
        <stp>IMPL_VOL</stp>
        <stp>PGX</stp>
        <tr r="D454" s="1"/>
      </tp>
      <tp t="s">
        <v>N/A</v>
        <stp/>
        <stp>PROB_OTM</stp>
        <stp>VFH</stp>
        <tr r="U713" s="1"/>
      </tp>
      <tp t="s">
        <v>N/A</v>
        <stp/>
        <stp>PROB_OTM</stp>
        <stp>VGK</stp>
        <tr r="U721" s="1"/>
      </tp>
      <tp>
        <v>0</v>
        <stp/>
        <stp>OPEN_INT</stp>
        <stp>RWM</stp>
        <tr r="G517" s="1"/>
      </tp>
      <tp t="s">
        <v>N/A</v>
        <stp/>
        <stp>PROB_OTM</stp>
        <stp>VEA</stp>
        <tr r="U707" s="1"/>
      </tp>
      <tp t="s">
        <v>N/A</v>
        <stp/>
        <stp>PROB_OTM</stp>
        <stp>VEU</stp>
        <tr r="U710" s="1"/>
      </tp>
      <tp t="s">
        <v>N/A</v>
        <stp/>
        <stp>PROB_OF_EXPIRING</stp>
        <stp>GDX</stp>
        <tr r="T195" s="1"/>
      </tp>
      <tp t="s">
        <v>N/A</v>
        <stp/>
        <stp>PROB_OTM</stp>
        <stp>VNQ</stp>
        <tr r="U724" s="1"/>
      </tp>
      <tp t="s">
        <v>N/A</v>
        <stp/>
        <stp>PROB_OF_TOUCHING</stp>
        <stp>PGX</stp>
        <tr r="V454" s="1"/>
      </tp>
      <tp t="s">
        <v>N/A</v>
        <stp/>
        <stp>PROB_OTM</stp>
        <stp>VOO</stp>
        <tr r="U729" s="1"/>
      </tp>
      <tp t="s">
        <v>N/A</v>
        <stp/>
        <stp>PROB_OF_TOUCHING</stp>
        <stp>.QQQ201120C287.5</stp>
        <tr r="V480" s="1"/>
      </tp>
      <tp t="s">
        <v>N/A</v>
        <stp/>
        <stp>IMPL_VOL</stp>
        <stp>.XBI201120P123.5</stp>
        <tr r="D771" s="1"/>
      </tp>
      <tp t="s">
        <v>N/A</v>
        <stp/>
        <stp>PROB_OF_EXPIRING</stp>
        <stp>.RSP201120C118</stp>
        <tr r="T506" s="1"/>
      </tp>
      <tp t="s">
        <v>N/A</v>
        <stp/>
        <stp>PROB_OF_EXPIRING</stp>
        <stp>.RSP201120P118</stp>
        <tr r="T507" s="1"/>
      </tp>
      <tp t="s">
        <v>N/A</v>
        <stp/>
        <stp>PROB_OF_EXPIRING</stp>
        <stp>.RSP201120C119</stp>
        <tr r="T508" s="1"/>
      </tp>
      <tp t="s">
        <v>N/A</v>
        <stp/>
        <stp>PROB_OF_EXPIRING</stp>
        <stp>.RSP201120P119</stp>
        <tr r="T509" s="1"/>
      </tp>
      <tp t="s">
        <v>N/A</v>
        <stp/>
        <stp>PROB_OF_EXPIRING</stp>
        <stp>.RSP201120C120</stp>
        <tr r="T510" s="1"/>
      </tp>
      <tp t="s">
        <v>N/A</v>
        <stp/>
        <stp>PROB_OF_EXPIRING</stp>
        <stp>.RSP201120P120</stp>
        <tr r="T511" s="1"/>
      </tp>
      <tp t="s">
        <v>N/A</v>
        <stp/>
        <stp>PROB_OF_EXPIRING</stp>
        <stp>.TIP201120P125</stp>
        <tr r="T688" s="1"/>
      </tp>
      <tp t="s">
        <v>N/A</v>
        <stp/>
        <stp>PROB_OF_EXPIRING</stp>
        <stp>.TIP201120C125</stp>
        <tr r="T687" s="1"/>
      </tp>
      <tp t="s">
        <v>N/A</v>
        <stp/>
        <stp>PROB_OF_EXPIRING</stp>
        <stp>.QQQ201120C292.5</stp>
        <tr r="T492" s="1"/>
      </tp>
      <tp t="s">
        <v>N/A</v>
        <stp/>
        <stp>OPEN</stp>
        <stp>.IYR201120P84.5</stp>
        <tr r="L370" s="1"/>
      </tp>
      <tp t="s">
        <v>N/A</v>
        <stp/>
        <stp>OPEN</stp>
        <stp>.ITB201120P54.5</stp>
        <tr r="L290" s="1"/>
      </tp>
      <tp t="s">
        <v>N/A</v>
        <stp/>
        <stp>OPEN</stp>
        <stp>.IYR201120C84.5</stp>
        <tr r="L369" s="1"/>
      </tp>
      <tp t="s">
        <v>N/A</v>
        <stp/>
        <stp>OPEN</stp>
        <stp>.ITB201120C54.5</stp>
        <tr r="L289" s="1"/>
      </tp>
      <tp t="s">
        <v>N/A</v>
        <stp/>
        <stp>IMPL_VOL</stp>
        <stp>.SMH201120P198.5</stp>
        <tr r="D577" s="1"/>
      </tp>
      <tp t="s">
        <v>N/A</v>
        <stp/>
        <stp>OPEN_INT</stp>
        <stp>.MDY201120C382.5</stp>
        <tr r="G417" s="1"/>
      </tp>
      <tp t="s">
        <v>N/A</v>
        <stp/>
        <stp>PROB_OF_TOUCHING</stp>
        <stp>.SMH201120P195.5</stp>
        <tr r="V565" s="1"/>
      </tp>
      <tp t="s">
        <v>N/A</v>
        <stp/>
        <stp>IMPL_VOL</stp>
        <stp>.XLY201120P153.5</stp>
        <tr r="D877" s="1"/>
      </tp>
      <tp t="s">
        <v>N/A</v>
        <stp/>
        <stp>IMPL_VOL</stp>
        <stp>.XBI201120C123.5</stp>
        <tr r="D770" s="1"/>
      </tp>
      <tp t="s">
        <v>N/A</v>
        <stp/>
        <stp>OPEN</stp>
        <stp>.SSO201120P84.5</stp>
        <tr r="L658" s="1"/>
      </tp>
      <tp t="s">
        <v>N/A</v>
        <stp/>
        <stp>OPEN</stp>
        <stp>.SSO201120C84.5</stp>
        <tr r="L657" s="1"/>
      </tp>
      <tp t="s">
        <v>N/A</v>
        <stp/>
        <stp>PROB_OF_TOUCHING</stp>
        <stp>.QQQ201120P287.5</stp>
        <tr r="V481" s="1"/>
      </tp>
      <tp t="s">
        <v>95.96%</v>
        <stp/>
        <stp>PROB_OF_TOUCHING</stp>
        <stp>.SPY201118C353</stp>
        <tr r="V591" s="1"/>
      </tp>
      <tp t="s">
        <v>95.50%</v>
        <stp/>
        <stp>PROB_OF_TOUCHING</stp>
        <stp>.SPY201118P353</stp>
        <tr r="V592" s="1"/>
      </tp>
      <tp t="s">
        <v>95.62%</v>
        <stp/>
        <stp>PROB_OF_TOUCHING</stp>
        <stp>.SPY201118C354</stp>
        <tr r="V593" s="1"/>
      </tp>
      <tp t="s">
        <v>95.12%</v>
        <stp/>
        <stp>PROB_OF_TOUCHING</stp>
        <stp>.SPY201118P354</stp>
        <tr r="V594" s="1"/>
      </tp>
      <tp t="s">
        <v>86.59%</v>
        <stp/>
        <stp>PROB_OF_TOUCHING</stp>
        <stp>.SPY201118C355</stp>
        <tr r="V595" s="1"/>
      </tp>
      <tp t="s">
        <v>84.95%</v>
        <stp/>
        <stp>PROB_OF_TOUCHING</stp>
        <stp>.SPY201118P355</stp>
        <tr r="V596" s="1"/>
      </tp>
      <tp t="s">
        <v>77.32%</v>
        <stp/>
        <stp>PROB_OF_TOUCHING</stp>
        <stp>.SPY201118C356</stp>
        <tr r="V597" s="1"/>
      </tp>
      <tp t="s">
        <v>74.41%</v>
        <stp/>
        <stp>PROB_OF_TOUCHING</stp>
        <stp>.SPY201118P356</stp>
        <tr r="V598" s="1"/>
      </tp>
      <tp t="s">
        <v>67.91%</v>
        <stp/>
        <stp>PROB_OF_TOUCHING</stp>
        <stp>.SPY201118C357</stp>
        <tr r="V599" s="1"/>
      </tp>
      <tp t="s">
        <v>63.58%</v>
        <stp/>
        <stp>PROB_OF_TOUCHING</stp>
        <stp>.SPY201118P357</stp>
        <tr r="V600" s="1"/>
      </tp>
      <tp t="s">
        <v>58.64%</v>
        <stp/>
        <stp>PROB_OF_TOUCHING</stp>
        <stp>.SPY201118C358</stp>
        <tr r="V601" s="1"/>
      </tp>
      <tp t="s">
        <v>50.86%</v>
        <stp/>
        <stp>PROB_OF_TOUCHING</stp>
        <stp>.SPY201120C360</stp>
        <tr r="V625" s="1"/>
      </tp>
      <tp t="s">
        <v>52.72%</v>
        <stp/>
        <stp>PROB_OF_TOUCHING</stp>
        <stp>.SPY201118P358</stp>
        <tr r="V602" s="1"/>
      </tp>
      <tp t="s">
        <v>43.89%</v>
        <stp/>
        <stp>PROB_OF_TOUCHING</stp>
        <stp>.SPY201120P360</stp>
        <tr r="V626" s="1"/>
      </tp>
      <tp t="s">
        <v>49.68%</v>
        <stp/>
        <stp>PROB_OF_TOUCHING</stp>
        <stp>.SPY201118C359</stp>
        <tr r="V603" s="1"/>
      </tp>
      <tp t="s">
        <v>43.76%</v>
        <stp/>
        <stp>PROB_OF_TOUCHING</stp>
        <stp>.SPY201120C361</stp>
        <tr r="V627" s="1"/>
      </tp>
      <tp t="s">
        <v>41.96%</v>
        <stp/>
        <stp>PROB_OF_TOUCHING</stp>
        <stp>.SPY201118P359</stp>
        <tr r="V604" s="1"/>
      </tp>
      <tp t="s">
        <v>35.37%</v>
        <stp/>
        <stp>PROB_OF_TOUCHING</stp>
        <stp>.SPY201120P361</stp>
        <tr r="V628" s="1"/>
      </tp>
      <tp t="s">
        <v>N/A</v>
        <stp/>
        <stp>PROB_OTM</stp>
        <stp>.AGG201120P117</stp>
        <tr r="U17" s="1"/>
      </tp>
      <tp t="s">
        <v>N/A</v>
        <stp/>
        <stp>PROB_OTM</stp>
        <stp>.AGG201120C117</stp>
        <tr r="U16" s="1"/>
      </tp>
      <tp t="s">
        <v>N/A</v>
        <stp/>
        <stp>OPEN</stp>
        <stp>.TAN201120C74.5</stp>
        <tr r="L668" s="1"/>
      </tp>
      <tp t="s">
        <v>N/A</v>
        <stp/>
        <stp>OPEN</stp>
        <stp>.TAN201120P74.5</stp>
        <tr r="L669" s="1"/>
      </tp>
      <tp t="s">
        <v>41.26%</v>
        <stp/>
        <stp>PROB_OF_TOUCHING</stp>
        <stp>.SPY201118C360</stp>
        <tr r="V605" s="1"/>
      </tp>
      <tp t="s">
        <v>65.96%</v>
        <stp/>
        <stp>PROB_OF_TOUCHING</stp>
        <stp>.SPY201120C358</stp>
        <tr r="V621" s="1"/>
      </tp>
      <tp t="s">
        <v>31.64%</v>
        <stp/>
        <stp>PROB_OF_TOUCHING</stp>
        <stp>.SPY201118P360</stp>
        <tr r="V606" s="1"/>
      </tp>
      <tp t="s">
        <v>61.74%</v>
        <stp/>
        <stp>PROB_OF_TOUCHING</stp>
        <stp>.SPY201120P358</stp>
        <tr r="V622" s="1"/>
      </tp>
      <tp t="s">
        <v>58.34%</v>
        <stp/>
        <stp>PROB_OF_TOUCHING</stp>
        <stp>.SPY201120C359</stp>
        <tr r="V623" s="1"/>
      </tp>
      <tp t="s">
        <v>52.77%</v>
        <stp/>
        <stp>PROB_OF_TOUCHING</stp>
        <stp>.SPY201120P359</stp>
        <tr r="V624" s="1"/>
      </tp>
      <tp t="s">
        <v>96.72%</v>
        <stp/>
        <stp>PROB_OF_TOUCHING</stp>
        <stp>.SPY201120C353</stp>
        <tr r="V609" s="1"/>
      </tp>
      <tp t="s">
        <v>96.38%</v>
        <stp/>
        <stp>PROB_OF_TOUCHING</stp>
        <stp>.SPY201120P353</stp>
        <tr r="V610" s="1"/>
      </tp>
      <tp t="s">
        <v>96.42%</v>
        <stp/>
        <stp>PROB_OF_TOUCHING</stp>
        <stp>.SPY201120C354</stp>
        <tr r="V611" s="1"/>
      </tp>
      <tp t="s">
        <v>96.04%</v>
        <stp/>
        <stp>PROB_OF_TOUCHING</stp>
        <stp>.SPY201120P354</stp>
        <tr r="V612" s="1"/>
      </tp>
      <tp t="s">
        <v>89.05%</v>
        <stp/>
        <stp>PROB_OF_TOUCHING</stp>
        <stp>.SPY201120C355</stp>
        <tr r="V613" s="1"/>
      </tp>
      <tp t="s">
        <v>87.84%</v>
        <stp/>
        <stp>PROB_OF_TOUCHING</stp>
        <stp>.SPY201120P355</stp>
        <tr r="V614" s="1"/>
      </tp>
      <tp t="s">
        <v>81.45%</v>
        <stp/>
        <stp>PROB_OF_TOUCHING</stp>
        <stp>.SPY201120C356</stp>
        <tr r="V615" s="1"/>
      </tp>
      <tp t="s">
        <v>79.33%</v>
        <stp/>
        <stp>PROB_OF_TOUCHING</stp>
        <stp>.SPY201120P356</stp>
        <tr r="V616" s="1"/>
      </tp>
      <tp t="s">
        <v>73.74%</v>
        <stp/>
        <stp>PROB_OF_TOUCHING</stp>
        <stp>.SPY201120C357</stp>
        <tr r="V617" s="1"/>
      </tp>
      <tp t="s">
        <v>70.63%</v>
        <stp/>
        <stp>PROB_OF_TOUCHING</stp>
        <stp>.SPY201120P357</stp>
        <tr r="V618" s="1"/>
      </tp>
      <tp t="s">
        <v>N/A</v>
        <stp/>
        <stp>PROB_OF_TOUCHING</stp>
        <stp>.MDY201120P385</stp>
        <tr r="V420" s="1"/>
      </tp>
      <tp t="s">
        <v>N/A</v>
        <stp/>
        <stp>PROB_OF_TOUCHING</stp>
        <stp>.MDY201120C385</stp>
        <tr r="V419" s="1"/>
      </tp>
      <tp t="s">
        <v>N/A</v>
        <stp/>
        <stp>PROB_OF_TOUCHING</stp>
        <stp>.MDY201120P380</stp>
        <tr r="V416" s="1"/>
      </tp>
      <tp t="s">
        <v>N/A</v>
        <stp/>
        <stp>PROB_OF_TOUCHING</stp>
        <stp>.MDY201120C380</stp>
        <tr r="V415" s="1"/>
      </tp>
      <tp t="s">
        <v>N/A</v>
        <stp/>
        <stp>OPEN</stp>
        <stp>.XLI201120C84.5</stp>
        <tr r="L816" s="1"/>
      </tp>
      <tp>
        <v>0.39</v>
        <stp/>
        <stp>OPEN</stp>
        <stp>.XLE201120C34.5</stp>
        <tr r="L808" s="1"/>
      </tp>
      <tp t="s">
        <v>N/A</v>
        <stp/>
        <stp>OPEN</stp>
        <stp>.XRT201120P54.5</stp>
        <tr r="L906" s="1"/>
      </tp>
      <tp t="s">
        <v>N/A</v>
        <stp/>
        <stp>OPEN</stp>
        <stp>.XLI201120P84.5</stp>
        <tr r="L817" s="1"/>
      </tp>
      <tp>
        <v>1.6</v>
        <stp/>
        <stp>OPEN</stp>
        <stp>.XLE201120P34.5</stp>
        <tr r="L809" s="1"/>
      </tp>
      <tp t="s">
        <v>N/A</v>
        <stp/>
        <stp>OPEN</stp>
        <stp>.XRT201120C54.5</stp>
        <tr r="L905" s="1"/>
      </tp>
      <tp t="s">
        <v>N/A</v>
        <stp/>
        <stp>PROB_OF_EXPIRING</stp>
        <stp>.QQQ201120P292.5</stp>
        <tr r="T493" s="1"/>
      </tp>
      <tp t="s">
        <v>N/A</v>
        <stp/>
        <stp>PROB_OF_TOUCHING</stp>
        <stp>.SMH201120C195.5</stp>
        <tr r="V564" s="1"/>
      </tp>
      <tp t="s">
        <v>N/A</v>
        <stp/>
        <stp>IMPL_VOL</stp>
        <stp>.XLY201120C153.5</stp>
        <tr r="D876" s="1"/>
      </tp>
      <tp t="s">
        <v>N/A</v>
        <stp/>
        <stp>IMPL_VOL</stp>
        <stp>.SMH201120C198.5</stp>
        <tr r="D576" s="1"/>
      </tp>
      <tp t="s">
        <v>N/A</v>
        <stp/>
        <stp>OPEN_INT</stp>
        <stp>.MDY201120P382.5</stp>
        <tr r="G418" s="1"/>
      </tp>
      <tp>
        <v>0</v>
        <stp/>
        <stp>VOLUME</stp>
        <stp>.INDY201120C38</stp>
        <tr r="F286" s="1"/>
      </tp>
      <tp>
        <v>0</v>
        <stp/>
        <stp>THETA</stp>
        <stp>MJ</stp>
        <tr r="O423" s="1"/>
      </tp>
      <tp t="s">
        <v>N/A</v>
        <stp/>
        <stp>DESCRIPTION</stp>
        <stp>.XOP201120C47.5</stp>
        <tr r="B892" s="1"/>
      </tp>
      <tp t="s">
        <v>N/A</v>
        <stp/>
        <stp>PUT_CALL_RATIO</stp>
        <stp>.PDBC201120P14</stp>
        <tr r="C453" s="1"/>
      </tp>
      <tp t="s">
        <v>N/A</v>
        <stp/>
        <stp>STRIKE</stp>
        <stp>.IGIB201120P61</stp>
        <tr r="W263" s="1"/>
      </tp>
      <tp t="s">
        <v>N/A</v>
        <stp/>
        <stp>DESCRIPTION</stp>
        <stp>.XOP201120P47.5</stp>
        <tr r="B893" s="1"/>
      </tp>
      <tp t="s">
        <v>N/A</v>
        <stp/>
        <stp>VOLUME</stp>
        <stp>.ACWX201120P50</stp>
        <tr r="F14" s="1"/>
      </tp>
      <tp>
        <v>0</v>
        <stp/>
        <stp>VOLUME</stp>
        <stp>.SPDW201120C32</stp>
        <tr r="F579" s="1"/>
      </tp>
      <tp t="s">
        <v>N/A</v>
        <stp/>
        <stp>STRIKE</stp>
        <stp>.NAIL201120P49</stp>
        <tr r="W450" s="1"/>
      </tp>
      <tp t="s">
        <v>N/A</v>
        <stp/>
        <stp>STRIKE</stp>
        <stp>.NAIL201120P48</stp>
        <tr r="W448" s="1"/>
      </tp>
      <tp t="s">
        <v>N/A</v>
        <stp/>
        <stp>STRIKE</stp>
        <stp>.NAIL201120P45</stp>
        <tr r="W442" s="1"/>
      </tp>
      <tp t="s">
        <v>N/A</v>
        <stp/>
        <stp>STRIKE</stp>
        <stp>.NAIL201120P44</stp>
        <tr r="W440" s="1"/>
      </tp>
      <tp t="s">
        <v>N/A</v>
        <stp/>
        <stp>STRIKE</stp>
        <stp>.NAIL201120P47</stp>
        <tr r="W446" s="1"/>
      </tp>
      <tp t="s">
        <v>N/A</v>
        <stp/>
        <stp>STRIKE</stp>
        <stp>.NAIL201120P46</stp>
        <tr r="W444" s="1"/>
      </tp>
      <tp t="s">
        <v>N/A</v>
        <stp/>
        <stp>INTRINSIC</stp>
        <stp>.QLD201120C101</stp>
        <tr r="R473" s="1"/>
      </tp>
      <tp t="s">
        <v>N/A</v>
        <stp/>
        <stp>INTRINSIC</stp>
        <stp>.QLD201120P101</stp>
        <tr r="R474" s="1"/>
      </tp>
      <tp t="s">
        <v>N/A</v>
        <stp/>
        <stp>INTRINSIC</stp>
        <stp>.QLD201120C100</stp>
        <tr r="R471" s="1"/>
      </tp>
      <tp t="s">
        <v>N/A</v>
        <stp/>
        <stp>INTRINSIC</stp>
        <stp>.QLD201120P100</stp>
        <tr r="R472" s="1"/>
      </tp>
      <tp t="s">
        <v>N/A</v>
        <stp/>
        <stp>DESCRIPTION</stp>
        <stp>.KRE201120P47.5</stp>
        <tr r="B396" s="1"/>
      </tp>
      <tp t="s">
        <v>N/A</v>
        <stp/>
        <stp>DESCRIPTION</stp>
        <stp>.KRE201120C47.5</stp>
        <tr r="B395" s="1"/>
      </tp>
      <tp t="s">
        <v>N/A</v>
        <stp/>
        <stp>INTRINSIC</stp>
        <stp>.IWD201120P129</stp>
        <tr r="R337" s="1"/>
      </tp>
      <tp t="s">
        <v>N/A</v>
        <stp/>
        <stp>INTRINSIC</stp>
        <stp>.IWD201120C129</stp>
        <tr r="R336" s="1"/>
      </tp>
      <tp t="s">
        <v>N/A</v>
        <stp/>
        <stp>INTRINSIC</stp>
        <stp>.IWD201120P128</stp>
        <tr r="R335" s="1"/>
      </tp>
      <tp t="s">
        <v>N/A</v>
        <stp/>
        <stp>INTRINSIC</stp>
        <stp>.IWD201120C128</stp>
        <tr r="R334" s="1"/>
      </tp>
      <tp t="s">
        <v>N/A</v>
        <stp/>
        <stp>STRIKE</stp>
        <stp>.DRIP201120P45</stp>
        <tr r="W83" s="1"/>
      </tp>
      <tp t="s">
        <v>N/A</v>
        <stp/>
        <stp>INTRINSIC</stp>
        <stp>.LQD201120P135</stp>
        <tr r="R408" s="1"/>
      </tp>
      <tp t="s">
        <v>N/A</v>
        <stp/>
        <stp>INTRINSIC</stp>
        <stp>.IWD201120P130</stp>
        <tr r="R339" s="1"/>
      </tp>
      <tp t="s">
        <v>N/A</v>
        <stp/>
        <stp>INTRINSIC</stp>
        <stp>.LQD201120C135</stp>
        <tr r="R407" s="1"/>
      </tp>
      <tp t="s">
        <v>N/A</v>
        <stp/>
        <stp>INTRINSIC</stp>
        <stp>.IWD201120C130</stp>
        <tr r="R338" s="1"/>
      </tp>
      <tp t="s">
        <v>N/A</v>
        <stp/>
        <stp>STRIKE</stp>
        <stp>.VGIT201120P70</stp>
        <tr r="W720" s="1"/>
      </tp>
      <tp t="s">
        <v>N/A</v>
        <stp/>
        <stp>EXTRINSIC</stp>
        <stp>.QQQ201120P287</stp>
        <tr r="S479" s="1"/>
      </tp>
      <tp t="s">
        <v>N/A</v>
        <stp/>
        <stp>EXTRINSIC</stp>
        <stp>.QQQ201120C287</stp>
        <tr r="S478" s="1"/>
      </tp>
      <tp t="s">
        <v>N/A</v>
        <stp/>
        <stp>EXTRINSIC</stp>
        <stp>.QQQ201120P286</stp>
        <tr r="S477" s="1"/>
      </tp>
      <tp t="s">
        <v>N/A</v>
        <stp/>
        <stp>EXTRINSIC</stp>
        <stp>.QQQ201120C286</stp>
        <tr r="S476" s="1"/>
      </tp>
      <tp t="s">
        <v>N/A</v>
        <stp/>
        <stp>EXTRINSIC</stp>
        <stp>.QQQ201120P289</stp>
        <tr r="S485" s="1"/>
      </tp>
      <tp t="s">
        <v>N/A</v>
        <stp/>
        <stp>EXTRINSIC</stp>
        <stp>.QQQ201120C289</stp>
        <tr r="S484" s="1"/>
      </tp>
      <tp t="s">
        <v>N/A</v>
        <stp/>
        <stp>EXTRINSIC</stp>
        <stp>.QQQ201120P288</stp>
        <tr r="S483" s="1"/>
      </tp>
      <tp t="s">
        <v>N/A</v>
        <stp/>
        <stp>EXTRINSIC</stp>
        <stp>.QQQ201120C288</stp>
        <tr r="S482" s="1"/>
      </tp>
      <tp t="s">
        <v>N/A</v>
        <stp/>
        <stp>VOLUME</stp>
        <stp>.INDA201120C36</stp>
        <tr r="F281" s="1"/>
      </tp>
      <tp t="s">
        <v>N/A</v>
        <stp/>
        <stp>EXTRINSIC</stp>
        <stp>.QQQ201120P294</stp>
        <tr r="S497" s="1"/>
      </tp>
      <tp t="s">
        <v>N/A</v>
        <stp/>
        <stp>EXTRINSIC</stp>
        <stp>.QQQ201120C294</stp>
        <tr r="S496" s="1"/>
      </tp>
      <tp t="s">
        <v>N/A</v>
        <stp/>
        <stp>EXTRINSIC</stp>
        <stp>.QQQ201120P291</stp>
        <tr r="S489" s="1"/>
      </tp>
      <tp t="s">
        <v>N/A</v>
        <stp/>
        <stp>EXTRINSIC</stp>
        <stp>.QQQ201120C291</stp>
        <tr r="S488" s="1"/>
      </tp>
      <tp t="s">
        <v>N/A</v>
        <stp/>
        <stp>EXTRINSIC</stp>
        <stp>.QQQ201120P290</stp>
        <tr r="S487" s="1"/>
      </tp>
      <tp t="s">
        <v>N/A</v>
        <stp/>
        <stp>EXTRINSIC</stp>
        <stp>.QQQ201120C290</stp>
        <tr r="S486" s="1"/>
      </tp>
      <tp t="s">
        <v>N/A</v>
        <stp/>
        <stp>EXTRINSIC</stp>
        <stp>.QQQ201120P293</stp>
        <tr r="S495" s="1"/>
      </tp>
      <tp t="s">
        <v>N/A</v>
        <stp/>
        <stp>EXTRINSIC</stp>
        <stp>.QQQ201120C293</stp>
        <tr r="S494" s="1"/>
      </tp>
      <tp t="s">
        <v>N/A</v>
        <stp/>
        <stp>EXTRINSIC</stp>
        <stp>.QQQ201120P292</stp>
        <tr r="S491" s="1"/>
      </tp>
      <tp t="s">
        <v>N/A</v>
        <stp/>
        <stp>EXTRINSIC</stp>
        <stp>.QQQ201120C292</stp>
        <tr r="S490" s="1"/>
      </tp>
      <tp>
        <v>0</v>
        <stp/>
        <stp>THETA</stp>
        <stp>VT</stp>
        <tr r="O734" s="1"/>
      </tp>
      <tp t="s">
        <v>N/A</v>
        <stp/>
        <stp>STRIKE</stp>
        <stp>.VCIT201120P96</stp>
        <tr r="W703" s="1"/>
      </tp>
      <tp t="s">
        <v>N/A</v>
        <stp/>
        <stp>VOLUME</stp>
        <stp>.ACWI201120P85</stp>
        <tr r="F9" s="1"/>
      </tp>
      <tp t="s">
        <v>N/A</v>
        <stp/>
        <stp>VOLUME</stp>
        <stp>.ACWI201120P86</stp>
        <tr r="F11" s="1"/>
      </tp>
      <tp t="s">
        <v>N/A</v>
        <stp/>
        <stp>DESCRIPTION</stp>
        <stp>.FXI201120P47.5</stp>
        <tr r="B192" s="1"/>
      </tp>
      <tp t="s">
        <v>N/A</v>
        <stp/>
        <stp>DESCRIPTION</stp>
        <stp>.FXI201120C47.5</stp>
        <tr r="B191" s="1"/>
      </tp>
      <tp t="s">
        <v>N/A</v>
        <stp/>
        <stp>DESCRIPTION</stp>
        <stp>.GDX201120C37.5</stp>
        <tr r="B200" s="1"/>
      </tp>
      <tp t="s">
        <v>N/A</v>
        <stp/>
        <stp>DESCRIPTION</stp>
        <stp>.GDX201120P37.5</stp>
        <tr r="B201" s="1"/>
      </tp>
      <tp>
        <v>0</v>
        <stp/>
        <stp>THETA</stp>
        <stp>SH</stp>
        <tr r="O542" s="1"/>
      </tp>
      <tp t="s">
        <v>N/A</v>
        <stp/>
        <stp>DESCRIPTION</stp>
        <stp>.EEM201120C47.5</stp>
        <tr r="B95" s="1"/>
      </tp>
      <tp t="s">
        <v>N/A</v>
        <stp/>
        <stp>DESCRIPTION</stp>
        <stp>.EEM201120P47.5</stp>
        <tr r="B96" s="1"/>
      </tp>
      <tp>
        <v>1.0900000000000001</v>
        <stp/>
        <stp>ASK</stp>
        <stp>.XLV201120P110</stp>
        <tr r="I858" s="1"/>
      </tp>
      <tp>
        <v>1.89</v>
        <stp/>
        <stp>ASK</stp>
        <stp>.XLV201120C110</stp>
        <tr r="I857" s="1"/>
      </tp>
      <tp>
        <v>1.73</v>
        <stp/>
        <stp>ASK</stp>
        <stp>.XLV201120P111</stp>
        <tr r="I862" s="1"/>
      </tp>
      <tp>
        <v>1.47</v>
        <stp/>
        <stp>ASK</stp>
        <stp>.XLV201120C111</stp>
        <tr r="I861" s="1"/>
      </tp>
      <tp>
        <v>2.2400000000000002</v>
        <stp/>
        <stp>ASK</stp>
        <stp>.XLV201120P112</stp>
        <tr r="I866" s="1"/>
      </tp>
      <tp>
        <v>0.76</v>
        <stp/>
        <stp>ASK</stp>
        <stp>.XLV201120C112</stp>
        <tr r="I865" s="1"/>
      </tp>
      <tp>
        <v>1.58</v>
        <stp/>
        <stp>BID</stp>
        <stp>.XLV201120P112</stp>
        <tr r="H866" s="1"/>
      </tp>
      <tp>
        <v>0.47</v>
        <stp/>
        <stp>BID</stp>
        <stp>.XLV201120C112</stp>
        <tr r="H865" s="1"/>
      </tp>
      <tp>
        <v>0.76</v>
        <stp/>
        <stp>BID</stp>
        <stp>.XLV201120P110</stp>
        <tr r="H858" s="1"/>
      </tp>
      <tp>
        <v>1.36</v>
        <stp/>
        <stp>BID</stp>
        <stp>.XLV201120C110</stp>
        <tr r="H857" s="1"/>
      </tp>
      <tp>
        <v>1.07</v>
        <stp/>
        <stp>BID</stp>
        <stp>.XLV201120P111</stp>
        <tr r="H862" s="1"/>
      </tp>
      <tp>
        <v>0.88</v>
        <stp/>
        <stp>BID</stp>
        <stp>.XLV201120C111</stp>
        <tr r="H861" s="1"/>
      </tp>
      <tp>
        <v>1.43</v>
        <stp/>
        <stp>LOW</stp>
        <stp>.XLV201120C110</stp>
        <tr r="K857" s="1"/>
      </tp>
      <tp>
        <v>0.74</v>
        <stp/>
        <stp>LOW</stp>
        <stp>.XLV201120P110</stp>
        <tr r="K858" s="1"/>
      </tp>
      <tp>
        <v>0.86</v>
        <stp/>
        <stp>LOW</stp>
        <stp>.XLV201120C111</stp>
        <tr r="K861" s="1"/>
      </tp>
      <tp>
        <v>1.36</v>
        <stp/>
        <stp>LOW</stp>
        <stp>.XLV201120P111</stp>
        <tr r="K862" s="1"/>
      </tp>
      <tp>
        <v>0.5</v>
        <stp/>
        <stp>LOW</stp>
        <stp>.XLV201120C112</stp>
        <tr r="K865" s="1"/>
      </tp>
      <tp>
        <v>1.57</v>
        <stp/>
        <stp>LOW</stp>
        <stp>.XLV201120P112</stp>
        <tr r="K866" s="1"/>
      </tp>
      <tp>
        <v>3.5</v>
        <stp/>
        <stp>PUT_CALL_RATIO</stp>
        <stp>ACWX</stp>
        <tr r="C12" s="1"/>
      </tp>
      <tp>
        <v>128</v>
        <stp/>
        <stp>PUT_CALL_RATIO</stp>
        <stp>ACWI</stp>
        <tr r="C7" s="1"/>
      </tp>
      <tp t="s">
        <v>N/A</v>
        <stp/>
        <stp>BID</stp>
        <stp>.TBF201120C16</stp>
        <tr r="H681" s="1"/>
      </tp>
      <tp>
        <v>0.4</v>
        <stp/>
        <stp>ASK</stp>
        <stp>.XME201120C27</stp>
        <tr r="I887" s="1"/>
      </tp>
      <tp>
        <v>0</v>
        <stp/>
        <stp>LOW</stp>
        <stp>.TBF201120P16</stp>
        <tr r="K682" s="1"/>
      </tp>
      <tp t="s">
        <v>N/A</v>
        <stp/>
        <stp>LOW</stp>
        <stp>.KBE201120P38</stp>
        <tr r="K387" s="1"/>
      </tp>
      <tp t="s">
        <v>N/A</v>
        <stp/>
        <stp>BID</stp>
        <stp>.KBE201120C38</stp>
        <tr r="H386" s="1"/>
      </tp>
      <tp>
        <v>1</v>
        <stp/>
        <stp>PUT_CALL_RATIO</stp>
        <stp>VCLT</stp>
        <tr r="C704" s="1"/>
      </tp>
      <tp t="s">
        <v>N/A</v>
        <stp/>
        <stp>DESCRIPTION</stp>
        <stp>.VTI201120C182</stp>
        <tr r="B742" s="1"/>
      </tp>
      <tp t="s">
        <v>N/A</v>
        <stp/>
        <stp>DESCRIPTION</stp>
        <stp>.VTI201120P182</stp>
        <tr r="B743" s="1"/>
      </tp>
      <tp t="s">
        <v>N/A</v>
        <stp/>
        <stp>DESCRIPTION</stp>
        <stp>.VTI201120C183</stp>
        <tr r="B744" s="1"/>
      </tp>
      <tp t="s">
        <v>N/A</v>
        <stp/>
        <stp>DESCRIPTION</stp>
        <stp>.VTI201120P183</stp>
        <tr r="B745" s="1"/>
      </tp>
      <tp t="s">
        <v>N/A</v>
        <stp/>
        <stp>DESCRIPTION</stp>
        <stp>.VTI201120C181</stp>
        <tr r="B740" s="1"/>
      </tp>
      <tp t="s">
        <v>N/A</v>
        <stp/>
        <stp>DESCRIPTION</stp>
        <stp>.VTI201120P181</stp>
        <tr r="B741" s="1"/>
      </tp>
      <tp t="s">
        <v>N/A</v>
        <stp/>
        <stp>DESCRIPTION</stp>
        <stp>.VTI201120C184</stp>
        <tr r="B746" s="1"/>
      </tp>
      <tp t="s">
        <v>N/A</v>
        <stp/>
        <stp>DESCRIPTION</stp>
        <stp>.VTI201120P184</stp>
        <tr r="B747" s="1"/>
      </tp>
      <tp>
        <v>0.09</v>
        <stp/>
        <stp>PUT_CALL_RATIO</stp>
        <stp>ICLN</stp>
        <tr r="C245" s="1"/>
      </tp>
      <tp t="s">
        <v>N/A</v>
        <stp/>
        <stp>DESCRIPTION</stp>
        <stp>.DXD201120P14</stp>
        <tr r="B93" s="1"/>
      </tp>
      <tp>
        <v>4</v>
        <stp/>
        <stp>PUT_CALL_RATIO</stp>
        <stp>SCHP</stp>
        <tr r="C531" s="1"/>
      </tp>
      <tp>
        <v>0.252</v>
        <stp/>
        <stp>PUT_CALL_RATIO</stp>
        <stp>SCHD</stp>
        <tr r="C520" s="1"/>
      </tp>
      <tp>
        <v>9.0999999999999998E-2</v>
        <stp/>
        <stp>PUT_CALL_RATIO</stp>
        <stp>SCHE</stp>
        <tr r="C525" s="1"/>
      </tp>
      <tp>
        <v>0.08</v>
        <stp/>
        <stp>PUT_CALL_RATIO</stp>
        <stp>SCHF</stp>
        <tr r="C528" s="1"/>
      </tp>
      <tp t="s">
        <v>N/A</v>
        <stp/>
        <stp>RHO</stp>
        <stp>.XLV201120P112</stp>
        <tr r="Q866" s="1"/>
      </tp>
      <tp t="s">
        <v>N/A</v>
        <stp/>
        <stp>RHO</stp>
        <stp>.XLV201120C112</stp>
        <tr r="Q865" s="1"/>
      </tp>
      <tp t="s">
        <v>N/A</v>
        <stp/>
        <stp>RHO</stp>
        <stp>.XLV201120P111</stp>
        <tr r="Q862" s="1"/>
      </tp>
      <tp t="s">
        <v>N/A</v>
        <stp/>
        <stp>RHO</stp>
        <stp>.XLV201120C111</stp>
        <tr r="Q861" s="1"/>
      </tp>
      <tp t="s">
        <v>N/A</v>
        <stp/>
        <stp>RHO</stp>
        <stp>.XLV201120P110</stp>
        <tr r="Q858" s="1"/>
      </tp>
      <tp t="s">
        <v>N/A</v>
        <stp/>
        <stp>RHO</stp>
        <stp>.XLV201120C110</stp>
        <tr r="Q857" s="1"/>
      </tp>
      <tp>
        <v>6.6000000000000003E-2</v>
        <stp/>
        <stp>PUT_CALL_RATIO</stp>
        <stp>MCHI</stp>
        <tr r="C411" s="1"/>
      </tp>
      <tp>
        <v>1</v>
        <stp/>
        <stp>PUT_CALL_RATIO</stp>
        <stp>VCIT</stp>
        <tr r="C701" s="1"/>
      </tp>
      <tp t="s">
        <v>N/A</v>
        <stp/>
        <stp>DESCRIPTION</stp>
        <stp>.XBI201120P124</stp>
        <tr r="B773" s="1"/>
      </tp>
      <tp t="s">
        <v>N/A</v>
        <stp/>
        <stp>DESCRIPTION</stp>
        <stp>.XBI201120C124</stp>
        <tr r="B772" s="1"/>
      </tp>
      <tp t="s">
        <v>N/A</v>
        <stp/>
        <stp>DESCRIPTION</stp>
        <stp>.XBI201120P125</stp>
        <tr r="B777" s="1"/>
      </tp>
      <tp t="s">
        <v>N/A</v>
        <stp/>
        <stp>DESCRIPTION</stp>
        <stp>.XBI201120C125</stp>
        <tr r="B776" s="1"/>
      </tp>
      <tp t="s">
        <v>N/A</v>
        <stp/>
        <stp>DESCRIPTION</stp>
        <stp>.XBI201120P122</stp>
        <tr r="B765" s="1"/>
      </tp>
      <tp t="s">
        <v>N/A</v>
        <stp/>
        <stp>DESCRIPTION</stp>
        <stp>.XBI201120C122</stp>
        <tr r="B764" s="1"/>
      </tp>
      <tp t="s">
        <v>N/A</v>
        <stp/>
        <stp>DESCRIPTION</stp>
        <stp>.XBI201120P123</stp>
        <tr r="B769" s="1"/>
      </tp>
      <tp t="s">
        <v>N/A</v>
        <stp/>
        <stp>DESCRIPTION</stp>
        <stp>.XBI201120C123</stp>
        <tr r="B768" s="1"/>
      </tp>
      <tp t="s">
        <v>N/A</v>
        <stp/>
        <stp>RHO</stp>
        <stp>.EZU201120P42</stp>
        <tr r="Q179" s="1"/>
      </tp>
      <tp t="s">
        <v>N/A</v>
        <stp/>
        <stp>RHO</stp>
        <stp>.BZQ201120P12</stp>
        <tr r="Q53" s="1"/>
      </tp>
      <tp t="s">
        <v>N/A</v>
        <stp/>
        <stp>DESCRIPTION</stp>
        <stp>.FXI201120P48</stp>
        <tr r="B194" s="1"/>
      </tp>
      <tp t="s">
        <v>N/A</v>
        <stp/>
        <stp>DESCRIPTION</stp>
        <stp>.FXI201120P47</stp>
        <tr r="B190" s="1"/>
      </tp>
      <tp t="s">
        <v>N/A</v>
        <stp/>
        <stp>BID</stp>
        <stp>.TBT201120C17</stp>
        <tr r="H684" s="1"/>
      </tp>
      <tp t="s">
        <v>N/A</v>
        <stp/>
        <stp>LOW</stp>
        <stp>.TBT201120P17</stp>
        <tr r="K685" s="1"/>
      </tp>
      <tp t="s">
        <v>N/A</v>
        <stp/>
        <stp>DESCRIPTION</stp>
        <stp>.PXH201120P20</stp>
        <tr r="B461" s="1"/>
      </tp>
      <tp t="s">
        <v>N/A</v>
        <stp/>
        <stp>DESCRIPTION</stp>
        <stp>.PXH201120P19</stp>
        <tr r="B459" s="1"/>
      </tp>
      <tp>
        <v>0</v>
        <stp/>
        <stp>OPEN_INT</stp>
        <stp>SCZ</stp>
        <tr r="G534" s="1"/>
      </tp>
      <tp>
        <v>0</v>
        <stp/>
        <stp>OPEN_INT</stp>
        <stp>SDS</stp>
        <tr r="G537" s="1"/>
      </tp>
      <tp t="s">
        <v>N/A</v>
        <stp/>
        <stp>PROB_OF_EXPIRING</stp>
        <stp>FXI</stp>
        <tr r="T188" s="1"/>
      </tp>
      <tp t="s">
        <v>30.44%</v>
        <stp/>
        <stp>IMPL_VOL</stp>
        <stp>QQQ</stp>
        <tr r="D475" s="1"/>
      </tp>
      <tp t="s">
        <v>N/A</v>
        <stp/>
        <stp>PROB_OF_EXPIRING</stp>
        <stp>FVD</stp>
        <tr r="T185" s="1"/>
      </tp>
      <tp>
        <v>0</v>
        <stp/>
        <stp>OPEN_INT</stp>
        <stp>SHY</stp>
        <tr r="G545" s="1"/>
      </tp>
      <tp t="s">
        <v>N/A</v>
        <stp/>
        <stp>PROB_OF_TOUCHING</stp>
        <stp>QQQ</stp>
        <tr r="V475" s="1"/>
      </tp>
      <tp>
        <v>0</v>
        <stp/>
        <stp>OPEN_INT</stp>
        <stp>SMH</stp>
        <tr r="G551" s="1"/>
      </tp>
      <tp>
        <v>0</v>
        <stp/>
        <stp>OPEN_INT</stp>
        <stp>SSO</stp>
        <tr r="G642" s="1"/>
      </tp>
      <tp>
        <v>0</v>
        <stp/>
        <stp>OPEN_INT</stp>
        <stp>SPY</stp>
        <tr r="G590" s="1"/>
      </tp>
      <tp>
        <v>0</v>
        <stp/>
        <stp>OPEN_INT</stp>
        <stp>.INDA201120P36.5</stp>
        <tr r="G284" s="1"/>
      </tp>
      <tp t="s">
        <v>N/A</v>
        <stp/>
        <stp>OPEN_INT</stp>
        <stp>.INDA201120C36.5</stp>
        <tr r="G283" s="1"/>
      </tp>
      <tp t="s">
        <v>N/A</v>
        <stp/>
        <stp>PROB_OF_TOUCHING</stp>
        <stp>QLD</stp>
        <tr r="V462" s="1"/>
      </tp>
      <tp t="s">
        <v>55.08%</v>
        <stp/>
        <stp>IMPL_VOL</stp>
        <stp>QLD</stp>
        <tr r="D462" s="1"/>
      </tp>
      <tp t="s">
        <v>N/A</v>
        <stp/>
        <stp>PROB_OF_EXPIRING</stp>
        <stp>FEZ</stp>
        <tr r="T180" s="1"/>
      </tp>
      <tp t="s">
        <v>N/A</v>
        <stp/>
        <stp>PROB_OTM</stp>
        <stp>.XLY201120P154.5</stp>
        <tr r="U881" s="1"/>
      </tp>
      <tp>
        <v>0.56999999999999995</v>
        <stp/>
        <stp>OPEN</stp>
        <stp>.FXI201120P47.5</stp>
        <tr r="L192" s="1"/>
      </tp>
      <tp>
        <v>0.62</v>
        <stp/>
        <stp>OPEN</stp>
        <stp>.FXI201120C47.5</stp>
        <tr r="L191" s="1"/>
      </tp>
      <tp t="s">
        <v>N/A</v>
        <stp/>
        <stp>OPEN</stp>
        <stp>.SH201120P19</stp>
        <tr r="L544" s="1"/>
      </tp>
      <tp>
        <v>1.02</v>
        <stp/>
        <stp>OPEN</stp>
        <stp>.GDX201120C37.5</stp>
        <tr r="L200" s="1"/>
      </tp>
      <tp>
        <v>0.92</v>
        <stp/>
        <stp>OPEN</stp>
        <stp>.GDX201120P37.5</stp>
        <tr r="L201" s="1"/>
      </tp>
      <tp t="s">
        <v>N/A</v>
        <stp/>
        <stp>OPEN_INT</stp>
        <stp>.JNK201120C106.5</stp>
        <tr r="G381" s="1"/>
      </tp>
      <tp>
        <v>1</v>
        <stp/>
        <stp>OPEN</stp>
        <stp>.EEM201120C47.5</stp>
        <tr r="L95" s="1"/>
      </tp>
      <tp>
        <v>0.3</v>
        <stp/>
        <stp>OPEN</stp>
        <stp>.EEM201120P47.5</stp>
        <tr r="L96" s="1"/>
      </tp>
      <tp t="s">
        <v>N/A</v>
        <stp/>
        <stp>PROB_OF_EXPIRING</stp>
        <stp>.SMH201120P193.5</stp>
        <tr r="T557" s="1"/>
      </tp>
      <tp>
        <v>2.41</v>
        <stp/>
        <stp>OPEN</stp>
        <stp>.KRE201120P47.5</stp>
        <tr r="L396" s="1"/>
      </tp>
      <tp>
        <v>0.44</v>
        <stp/>
        <stp>OPEN</stp>
        <stp>.KRE201120C47.5</stp>
        <tr r="L395" s="1"/>
      </tp>
      <tp>
        <v>0.95</v>
        <stp/>
        <stp>LAST</stp>
        <stp>.VT201120C87</stp>
        <tr r="E737" s="1"/>
      </tp>
      <tp>
        <v>1.4</v>
        <stp/>
        <stp>LAST</stp>
        <stp>.VT201120C86</stp>
        <tr r="E735" s="1"/>
      </tp>
      <tp t="s">
        <v>N/A</v>
        <stp/>
        <stp>PROB_OTM</stp>
        <stp>.XBI201120P124.5</stp>
        <tr r="U775" s="1"/>
      </tp>
      <tp t="s">
        <v>N/A</v>
        <stp/>
        <stp>IMPL_VOL</stp>
        <stp>.XLK201120P120.5</stp>
        <tr r="D830" s="1"/>
      </tp>
      <tp t="s">
        <v>N/A</v>
        <stp/>
        <stp>PROB_OF_TOUCHING</stp>
        <stp>.SMH201120P196.5</stp>
        <tr r="V569" s="1"/>
      </tp>
      <tp t="s">
        <v>N/A</v>
        <stp/>
        <stp>IMPL_VOL</stp>
        <stp>.XLV201120P110.5</stp>
        <tr r="D860" s="1"/>
      </tp>
      <tp t="s">
        <v>N/A</v>
        <stp/>
        <stp>PROB_OTM</stp>
        <stp>.XLY201120C154.5</stp>
        <tr r="U880" s="1"/>
      </tp>
      <tp t="s">
        <v>N/A</v>
        <stp/>
        <stp>PROB_OTM</stp>
        <stp>.QLD201120P101</stp>
        <tr r="U474" s="1"/>
      </tp>
      <tp t="s">
        <v>N/A</v>
        <stp/>
        <stp>PROB_OTM</stp>
        <stp>.QLD201120C101</stp>
        <tr r="U473" s="1"/>
      </tp>
      <tp t="s">
        <v>N/A</v>
        <stp/>
        <stp>PROB_OTM</stp>
        <stp>.QLD201120P100</stp>
        <tr r="U472" s="1"/>
      </tp>
      <tp t="s">
        <v>N/A</v>
        <stp/>
        <stp>PROB_OTM</stp>
        <stp>.QLD201120C100</stp>
        <tr r="U471" s="1"/>
      </tp>
      <tp t="s">
        <v>N/A</v>
        <stp/>
        <stp>PROB_OF_EXPIRING</stp>
        <stp>.SMH201120C193.5</stp>
        <tr r="T556" s="1"/>
      </tp>
      <tp>
        <v>4677</v>
        <stp/>
        <stp>OPEN_INT</stp>
        <stp>.SPY201120P353</stp>
        <tr r="G610" s="1"/>
      </tp>
      <tp>
        <v>6417</v>
        <stp/>
        <stp>OPEN_INT</stp>
        <stp>.SPY201120C353</stp>
        <tr r="G609" s="1"/>
      </tp>
      <tp>
        <v>19516</v>
        <stp/>
        <stp>OPEN_INT</stp>
        <stp>.SPY201120P355</stp>
        <tr r="G614" s="1"/>
      </tp>
      <tp>
        <v>101402</v>
        <stp/>
        <stp>OPEN_INT</stp>
        <stp>.SPY201120C355</stp>
        <tr r="G613" s="1"/>
      </tp>
      <tp>
        <v>15264</v>
        <stp/>
        <stp>OPEN_INT</stp>
        <stp>.SPY201120P354</stp>
        <tr r="G612" s="1"/>
      </tp>
      <tp>
        <v>7324</v>
        <stp/>
        <stp>OPEN_INT</stp>
        <stp>.SPY201120C354</stp>
        <tr r="G611" s="1"/>
      </tp>
      <tp>
        <v>1753</v>
        <stp/>
        <stp>OPEN_INT</stp>
        <stp>.SPY201120P357</stp>
        <tr r="G618" s="1"/>
      </tp>
      <tp>
        <v>9870</v>
        <stp/>
        <stp>OPEN_INT</stp>
        <stp>.SPY201120C357</stp>
        <tr r="G617" s="1"/>
      </tp>
      <tp>
        <v>3016</v>
        <stp/>
        <stp>OPEN_INT</stp>
        <stp>.SPY201120P356</stp>
        <tr r="G616" s="1"/>
      </tp>
      <tp>
        <v>9848</v>
        <stp/>
        <stp>OPEN_INT</stp>
        <stp>.SPY201120C356</stp>
        <tr r="G615" s="1"/>
      </tp>
      <tp>
        <v>1424</v>
        <stp/>
        <stp>OPEN_INT</stp>
        <stp>.SPY201120P359</stp>
        <tr r="G624" s="1"/>
      </tp>
      <tp>
        <v>4891</v>
        <stp/>
        <stp>OPEN_INT</stp>
        <stp>.SPY201120C359</stp>
        <tr r="G623" s="1"/>
      </tp>
      <tp>
        <v>715</v>
        <stp/>
        <stp>OPEN_INT</stp>
        <stp>.SPY201118P360</stp>
        <tr r="G606" s="1"/>
      </tp>
      <tp>
        <v>2731</v>
        <stp/>
        <stp>OPEN_INT</stp>
        <stp>.SPY201120P358</stp>
        <tr r="G622" s="1"/>
      </tp>
      <tp>
        <v>1208</v>
        <stp/>
        <stp>OPEN_INT</stp>
        <stp>.SPY201118C360</stp>
        <tr r="G605" s="1"/>
      </tp>
      <tp>
        <v>9985</v>
        <stp/>
        <stp>OPEN_INT</stp>
        <stp>.SPY201120C358</stp>
        <tr r="G621" s="1"/>
      </tp>
      <tp t="s">
        <v>N/A</v>
        <stp/>
        <stp>OPEN_INT</stp>
        <stp>.JNK201120P106.5</stp>
        <tr r="G382" s="1"/>
      </tp>
      <tp>
        <v>338</v>
        <stp/>
        <stp>OPEN_INT</stp>
        <stp>.SPY201118P359</stp>
        <tr r="G604" s="1"/>
      </tp>
      <tp>
        <v>1937</v>
        <stp/>
        <stp>OPEN_INT</stp>
        <stp>.SPY201120P361</stp>
        <tr r="G628" s="1"/>
      </tp>
      <tp>
        <v>1359</v>
        <stp/>
        <stp>OPEN_INT</stp>
        <stp>.SPY201118C359</stp>
        <tr r="G603" s="1"/>
      </tp>
      <tp>
        <v>8911</v>
        <stp/>
        <stp>OPEN_INT</stp>
        <stp>.SPY201120C361</stp>
        <tr r="G627" s="1"/>
      </tp>
      <tp>
        <v>288</v>
        <stp/>
        <stp>OPEN_INT</stp>
        <stp>.SPY201118P358</stp>
        <tr r="G602" s="1"/>
      </tp>
      <tp>
        <v>4995</v>
        <stp/>
        <stp>OPEN_INT</stp>
        <stp>.SPY201120P360</stp>
        <tr r="G626" s="1"/>
      </tp>
      <tp>
        <v>2123</v>
        <stp/>
        <stp>OPEN_INT</stp>
        <stp>.SPY201118C358</stp>
        <tr r="G601" s="1"/>
      </tp>
      <tp>
        <v>60110</v>
        <stp/>
        <stp>OPEN_INT</stp>
        <stp>.SPY201120C360</stp>
        <tr r="G625" s="1"/>
      </tp>
      <tp t="s">
        <v>N/A</v>
        <stp/>
        <stp>PROB_OTM</stp>
        <stp>.IWD201120C129</stp>
        <tr r="U336" s="1"/>
      </tp>
      <tp t="s">
        <v>N/A</v>
        <stp/>
        <stp>PROB_OTM</stp>
        <stp>.IWD201120P129</stp>
        <tr r="U337" s="1"/>
      </tp>
      <tp t="s">
        <v>N/A</v>
        <stp/>
        <stp>PROB_OTM</stp>
        <stp>.IWD201120C128</stp>
        <tr r="U334" s="1"/>
      </tp>
      <tp t="s">
        <v>N/A</v>
        <stp/>
        <stp>PROB_OTM</stp>
        <stp>.IWD201120P128</stp>
        <tr r="U335" s="1"/>
      </tp>
      <tp>
        <v>864</v>
        <stp/>
        <stp>OPEN_INT</stp>
        <stp>.SPY201118P353</stp>
        <tr r="G592" s="1"/>
      </tp>
      <tp>
        <v>1398</v>
        <stp/>
        <stp>OPEN_INT</stp>
        <stp>.SPY201118C353</stp>
        <tr r="G591" s="1"/>
      </tp>
      <tp>
        <v>963</v>
        <stp/>
        <stp>OPEN_INT</stp>
        <stp>.SPY201118P355</stp>
        <tr r="G596" s="1"/>
      </tp>
      <tp>
        <v>1364</v>
        <stp/>
        <stp>OPEN_INT</stp>
        <stp>.SPY201118C355</stp>
        <tr r="G595" s="1"/>
      </tp>
      <tp>
        <v>1986</v>
        <stp/>
        <stp>OPEN_INT</stp>
        <stp>.SPY201118P354</stp>
        <tr r="G594" s="1"/>
      </tp>
      <tp>
        <v>868</v>
        <stp/>
        <stp>OPEN_INT</stp>
        <stp>.SPY201118C354</stp>
        <tr r="G593" s="1"/>
      </tp>
      <tp>
        <v>723</v>
        <stp/>
        <stp>OPEN_INT</stp>
        <stp>.SPY201118P357</stp>
        <tr r="G600" s="1"/>
      </tp>
      <tp>
        <v>1528</v>
        <stp/>
        <stp>OPEN_INT</stp>
        <stp>.SPY201118C357</stp>
        <tr r="G599" s="1"/>
      </tp>
      <tp>
        <v>602</v>
        <stp/>
        <stp>OPEN_INT</stp>
        <stp>.SPY201118P356</stp>
        <tr r="G598" s="1"/>
      </tp>
      <tp>
        <v>1840</v>
        <stp/>
        <stp>OPEN_INT</stp>
        <stp>.SPY201118C356</stp>
        <tr r="G597" s="1"/>
      </tp>
      <tp t="s">
        <v>N/A</v>
        <stp/>
        <stp>PROB_OTM</stp>
        <stp>.LQD201120C135</stp>
        <tr r="U407" s="1"/>
      </tp>
      <tp t="s">
        <v>N/A</v>
        <stp/>
        <stp>PROB_OTM</stp>
        <stp>.IWD201120C130</stp>
        <tr r="U338" s="1"/>
      </tp>
      <tp t="s">
        <v>N/A</v>
        <stp/>
        <stp>PROB_OTM</stp>
        <stp>.LQD201120P135</stp>
        <tr r="U408" s="1"/>
      </tp>
      <tp t="s">
        <v>N/A</v>
        <stp/>
        <stp>PROB_OTM</stp>
        <stp>.IWD201120P130</stp>
        <tr r="U339" s="1"/>
      </tp>
      <tp t="s">
        <v>N/A</v>
        <stp/>
        <stp>OPEN_INT</stp>
        <stp>.MDY201120C385</stp>
        <tr r="G419" s="1"/>
      </tp>
      <tp>
        <v>0</v>
        <stp/>
        <stp>OPEN_INT</stp>
        <stp>.MDY201120P385</stp>
        <tr r="G420" s="1"/>
      </tp>
      <tp t="s">
        <v>N/A</v>
        <stp/>
        <stp>OPEN_INT</stp>
        <stp>.MDY201120C380</stp>
        <tr r="G415" s="1"/>
      </tp>
      <tp t="s">
        <v>N/A</v>
        <stp/>
        <stp>OPEN_INT</stp>
        <stp>.MDY201120P380</stp>
        <tr r="G416" s="1"/>
      </tp>
      <tp>
        <v>1.4</v>
        <stp/>
        <stp>OPEN</stp>
        <stp>.XOP201120C47.5</stp>
        <tr r="L892" s="1"/>
      </tp>
      <tp>
        <v>1.31</v>
        <stp/>
        <stp>OPEN</stp>
        <stp>.XOP201120P47.5</stp>
        <tr r="L893" s="1"/>
      </tp>
      <tp t="s">
        <v>N/A</v>
        <stp/>
        <stp>IMPL_VOL</stp>
        <stp>.XLK201120C120.5</stp>
        <tr r="D829" s="1"/>
      </tp>
      <tp t="s">
        <v>N/A</v>
        <stp/>
        <stp>PROB_OF_TOUCHING</stp>
        <stp>.SMH201120C196.5</stp>
        <tr r="V568" s="1"/>
      </tp>
      <tp t="s">
        <v>N/A</v>
        <stp/>
        <stp>IMPL_VOL</stp>
        <stp>.XLV201120C110.5</stp>
        <tr r="D859" s="1"/>
      </tp>
      <tp t="s">
        <v>N/A</v>
        <stp/>
        <stp>PROB_OTM</stp>
        <stp>.XBI201120C124.5</stp>
        <tr r="U774" s="1"/>
      </tp>
      <tp t="s">
        <v>N/A</v>
        <stp/>
        <stp>DESCRIPTION</stp>
        <stp>.XRT201120P54.5</stp>
        <tr r="B906" s="1"/>
      </tp>
      <tp t="s">
        <v>N/A</v>
        <stp/>
        <stp>DESCRIPTION</stp>
        <stp>.XLE201120C34.5</stp>
        <tr r="B808" s="1"/>
      </tp>
      <tp t="s">
        <v>N/A</v>
        <stp/>
        <stp>DESCRIPTION</stp>
        <stp>.XLI201120C84.5</stp>
        <tr r="B816" s="1"/>
      </tp>
      <tp t="s">
        <v>N/A</v>
        <stp/>
        <stp>DESCRIPTION</stp>
        <stp>.XRT201120C54.5</stp>
        <tr r="B905" s="1"/>
      </tp>
      <tp t="s">
        <v>N/A</v>
        <stp/>
        <stp>DESCRIPTION</stp>
        <stp>.XLE201120P34.5</stp>
        <tr r="B809" s="1"/>
      </tp>
      <tp t="s">
        <v>N/A</v>
        <stp/>
        <stp>DESCRIPTION</stp>
        <stp>.XLI201120P84.5</stp>
        <tr r="B817" s="1"/>
      </tp>
      <tp t="s">
        <v>N/A</v>
        <stp/>
        <stp>STRIKE</stp>
        <stp>.SPYG201120C52</stp>
        <tr r="W630" s="1"/>
      </tp>
      <tp t="s">
        <v>N/A</v>
        <stp/>
        <stp>STRIKE</stp>
        <stp>.SPYG201120C53</stp>
        <tr r="W632" s="1"/>
      </tp>
      <tp t="s">
        <v>N/A</v>
        <stp/>
        <stp>STRIKE</stp>
        <stp>.SHYG201120C45</stp>
        <tr r="W549" s="1"/>
      </tp>
      <tp t="s">
        <v>N/A</v>
        <stp/>
        <stp>PUT_CALL_RATIO</stp>
        <stp>.XLRE201120C37</stp>
        <tr r="C847" s="1"/>
      </tp>
      <tp t="s">
        <v>N/A</v>
        <stp/>
        <stp>DESCRIPTION</stp>
        <stp>.SSO201120P84.5</stp>
        <tr r="B658" s="1"/>
      </tp>
      <tp t="s">
        <v>N/A</v>
        <stp/>
        <stp>RHO</stp>
        <stp>.XLB201120C69.5</stp>
        <tr r="Q792" s="1"/>
      </tp>
      <tp t="s">
        <v>N/A</v>
        <stp/>
        <stp>RHO</stp>
        <stp>.XOP201120C49.5</stp>
        <tr r="Q900" s="1"/>
      </tp>
      <tp t="s">
        <v>N/A</v>
        <stp/>
        <stp>DESCRIPTION</stp>
        <stp>.SSO201120C84.5</stp>
        <tr r="B657" s="1"/>
      </tp>
      <tp t="s">
        <v>N/A</v>
        <stp/>
        <stp>RHO</stp>
        <stp>.XOP201120P49.5</stp>
        <tr r="Q901" s="1"/>
      </tp>
      <tp t="s">
        <v>N/A</v>
        <stp/>
        <stp>RHO</stp>
        <stp>.XLB201120P69.5</stp>
        <tr r="Q793" s="1"/>
      </tp>
      <tp t="s">
        <v>N/A</v>
        <stp/>
        <stp>PUT_CALL_RATIO</stp>
        <stp>.DGRO201120C43</stp>
        <tr r="C60" s="1"/>
      </tp>
      <tp>
        <v>51</v>
        <stp/>
        <stp>VOLUME</stp>
        <stp>.JETS201120P20</stp>
        <tr r="F379" s="1"/>
      </tp>
      <tp t="s">
        <v>N/A</v>
        <stp/>
        <stp>DESCRIPTION</stp>
        <stp>.TAN201120C74.5</stp>
        <tr r="B668" s="1"/>
      </tp>
      <tp t="s">
        <v>N/A</v>
        <stp/>
        <stp>DESCRIPTION</stp>
        <stp>.TAN201120P74.5</stp>
        <tr r="B669" s="1"/>
      </tp>
      <tp t="s">
        <v>N/A</v>
        <stp/>
        <stp>INTRINSIC</stp>
        <stp>.AGG201120C117</stp>
        <tr r="R16" s="1"/>
      </tp>
      <tp t="s">
        <v>N/A</v>
        <stp/>
        <stp>INTRINSIC</stp>
        <stp>.AGG201120P117</stp>
        <tr r="R17" s="1"/>
      </tp>
      <tp t="s">
        <v>N/A</v>
        <stp/>
        <stp>STRIKE</stp>
        <stp>.SPYV201120C33</stp>
        <tr r="W635" s="1"/>
      </tp>
      <tp t="s">
        <v>N/A</v>
        <stp/>
        <stp>DESCRIPTION</stp>
        <stp>.ITB201120P54.5</stp>
        <tr r="B290" s="1"/>
      </tp>
      <tp t="s">
        <v>N/A</v>
        <stp/>
        <stp>DESCRIPTION</stp>
        <stp>.IYR201120P84.5</stp>
        <tr r="B370" s="1"/>
      </tp>
      <tp t="s">
        <v>N/A</v>
        <stp/>
        <stp>DESCRIPTION</stp>
        <stp>.ITB201120C54.5</stp>
        <tr r="B289" s="1"/>
      </tp>
      <tp t="s">
        <v>N/A</v>
        <stp/>
        <stp>DESCRIPTION</stp>
        <stp>.IYR201120C84.5</stp>
        <tr r="B369" s="1"/>
      </tp>
      <tp t="s">
        <v>N/A</v>
        <stp/>
        <stp>RHO</stp>
        <stp>.EWW201120P39.5</stp>
        <tr r="Q160" s="1"/>
      </tp>
      <tp t="s">
        <v>N/A</v>
        <stp/>
        <stp>RHO</stp>
        <stp>.EFA201120C69.5</stp>
        <tr r="Q104" s="1"/>
      </tp>
      <tp t="s">
        <v>N/A</v>
        <stp/>
        <stp>RHO</stp>
        <stp>.EFA201120P69.5</stp>
        <tr r="Q105" s="1"/>
      </tp>
      <tp t="s">
        <v>N/A</v>
        <stp/>
        <stp>RHO</stp>
        <stp>.EWW201120C39.5</stp>
        <tr r="Q159" s="1"/>
      </tp>
      <tp t="s">
        <v>N/A</v>
        <stp/>
        <stp>RHO</stp>
        <stp>.FEZ201120C39.5</stp>
        <tr r="Q181" s="1"/>
      </tp>
      <tp t="s">
        <v>N/A</v>
        <stp/>
        <stp>RHO</stp>
        <stp>.FEZ201120P39.5</stp>
        <tr r="Q182" s="1"/>
      </tp>
      <tp>
        <v>0.9</v>
        <stp/>
        <stp>BID</stp>
        <stp>.TAN201120C77</stp>
        <tr r="H678" s="1"/>
      </tp>
      <tp t="s">
        <v>N/A</v>
        <stp/>
        <stp>BID</stp>
        <stp>.TAN201120C76</stp>
        <tr r="H674" s="1"/>
      </tp>
      <tp>
        <v>1.55</v>
        <stp/>
        <stp>BID</stp>
        <stp>.TAN201120C75</stp>
        <tr r="H670" s="1"/>
      </tp>
      <tp>
        <v>1.85</v>
        <stp/>
        <stp>BID</stp>
        <stp>.TAN201120C74</stp>
        <tr r="H666" s="1"/>
      </tp>
      <tp t="s">
        <v>N/A</v>
        <stp/>
        <stp>BID</stp>
        <stp>.TAN201120C73</stp>
        <tr r="H662" s="1"/>
      </tp>
      <tp>
        <v>2.2599999999999998</v>
        <stp/>
        <stp>LOW</stp>
        <stp>.TAN201120P73</stp>
        <tr r="K663" s="1"/>
      </tp>
      <tp>
        <v>2.5</v>
        <stp/>
        <stp>LOW</stp>
        <stp>.TAN201120P75</stp>
        <tr r="K671" s="1"/>
      </tp>
      <tp>
        <v>1.82</v>
        <stp/>
        <stp>LOW</stp>
        <stp>.TAN201120P74</stp>
        <tr r="K667" s="1"/>
      </tp>
      <tp>
        <v>3.05</v>
        <stp/>
        <stp>LOW</stp>
        <stp>.TAN201120P77</stp>
        <tr r="K679" s="1"/>
      </tp>
      <tp>
        <v>0</v>
        <stp/>
        <stp>LOW</stp>
        <stp>.TAN201120P76</stp>
        <tr r="K675" s="1"/>
      </tp>
      <tp t="s">
        <v>N/A</v>
        <stp/>
        <stp>RHO</stp>
        <stp>.HYG201120P86</stp>
        <tr r="Q224" s="1"/>
      </tp>
      <tp>
        <v>0.64</v>
        <stp/>
        <stp>BID</stp>
        <stp>.KRE201120P47</stp>
        <tr r="H394" s="1"/>
      </tp>
      <tp>
        <v>0.95</v>
        <stp/>
        <stp>BID</stp>
        <stp>.KRE201120P46</stp>
        <tr r="H390" s="1"/>
      </tp>
      <tp>
        <v>0.56000000000000005</v>
        <stp/>
        <stp>LOW</stp>
        <stp>.KRE201120C47</stp>
        <tr r="K393" s="1"/>
      </tp>
      <tp>
        <v>0.87</v>
        <stp/>
        <stp>LOW</stp>
        <stp>.KRE201120C46</stp>
        <tr r="K389" s="1"/>
      </tp>
      <tp t="s">
        <v>N/A</v>
        <stp/>
        <stp>RHO</stp>
        <stp>.VYM201120P87</stp>
        <tr r="Q760" s="1"/>
      </tp>
      <tp t="s">
        <v>N/A</v>
        <stp/>
        <stp>RHO</stp>
        <stp>.VYM201120P88</stp>
        <tr r="Q762" s="1"/>
      </tp>
      <tp t="s">
        <v>N/A</v>
        <stp/>
        <stp>RHO</stp>
        <stp>.IYE201120P18</stp>
        <tr r="Q365" s="1"/>
      </tp>
      <tp>
        <v>0.86</v>
        <stp/>
        <stp>ASK</stp>
        <stp>.VNQ201120C84</stp>
        <tr r="I725" s="1"/>
      </tp>
      <tp t="s">
        <v>N/A</v>
        <stp/>
        <stp>ASK</stp>
        <stp>.VNQ201120C85</stp>
        <tr r="I727" s="1"/>
      </tp>
      <tp t="s">
        <v>N/A</v>
        <stp/>
        <stp>DESCRIPTION</stp>
        <stp>.XHB201120C56</stp>
        <tr r="B785" s="1"/>
      </tp>
      <tp t="s">
        <v>N/A</v>
        <stp/>
        <stp>DESCRIPTION</stp>
        <stp>.XHB201120C55</stp>
        <tr r="B781" s="1"/>
      </tp>
      <tp t="s">
        <v>N/A</v>
        <stp/>
        <stp>RHO</stp>
        <stp>.IYR201120P85</stp>
        <tr r="Q372" s="1"/>
      </tp>
      <tp t="s">
        <v>N/A</v>
        <stp/>
        <stp>RHO</stp>
        <stp>.IYR201120P84</stp>
        <tr r="Q368" s="1"/>
      </tp>
      <tp t="s">
        <v>N/A</v>
        <stp/>
        <stp>RHO</stp>
        <stp>.IJR201120C80</stp>
        <tr r="Q275" s="1"/>
      </tp>
      <tp t="s">
        <v>N/A</v>
        <stp/>
        <stp>BID</stp>
        <stp>.XRT201120P55</stp>
        <tr r="H908" s="1"/>
      </tp>
      <tp t="s">
        <v>N/A</v>
        <stp/>
        <stp>BID</stp>
        <stp>.XRT201120P54</stp>
        <tr r="H904" s="1"/>
      </tp>
      <tp t="s">
        <v>N/A</v>
        <stp/>
        <stp>LOW</stp>
        <stp>.XRT201120C55</stp>
        <tr r="K907" s="1"/>
      </tp>
      <tp t="s">
        <v>N/A</v>
        <stp/>
        <stp>LOW</stp>
        <stp>.XRT201120C54</stp>
        <tr r="K903" s="1"/>
      </tp>
      <tp t="s">
        <v>31.05%</v>
        <stp/>
        <stp>IMPL_VOL</stp>
        <stp>RWM</stp>
        <tr r="D517" s="1"/>
      </tp>
      <tp t="s">
        <v>N/A</v>
        <stp/>
        <stp>PROB_OF_EXPIRING</stp>
        <stp>EZU</stp>
        <tr r="T177" s="1"/>
      </tp>
      <tp>
        <v>0</v>
        <stp/>
        <stp>OPEN_INT</stp>
        <stp>PGX</stp>
        <tr r="G454" s="1"/>
      </tp>
      <tp t="s">
        <v>28.18%</v>
        <stp/>
        <stp>IMPL_VOL</stp>
        <stp>RSX</stp>
        <tr r="D512" s="1"/>
      </tp>
      <tp t="s">
        <v>23.46%</v>
        <stp/>
        <stp>IMPL_VOL</stp>
        <stp>RSP</stp>
        <tr r="D505" s="1"/>
      </tp>
      <tp t="s">
        <v>N/A</v>
        <stp/>
        <stp>STRIKE</stp>
        <stp>.EWW201120P39.5</stp>
        <tr r="W160" s="1"/>
      </tp>
      <tp t="s">
        <v>N/A</v>
        <stp/>
        <stp>STRIKE</stp>
        <stp>.EFA201120C69.5</stp>
        <tr r="W104" s="1"/>
      </tp>
      <tp t="s">
        <v>N/A</v>
        <stp/>
        <stp>STRIKE</stp>
        <stp>.EFA201120P69.5</stp>
        <tr r="W105" s="1"/>
      </tp>
      <tp t="s">
        <v>N/A</v>
        <stp/>
        <stp>STRIKE</stp>
        <stp>.EWW201120C39.5</stp>
        <tr r="W159" s="1"/>
      </tp>
      <tp t="s">
        <v>N/A</v>
        <stp/>
        <stp>PROB_OF_TOUCHING</stp>
        <stp>RSX</stp>
        <tr r="V512" s="1"/>
      </tp>
      <tp t="s">
        <v>N/A</v>
        <stp/>
        <stp>PROB_OF_TOUCHING</stp>
        <stp>RSP</stp>
        <tr r="V505" s="1"/>
      </tp>
      <tp t="s">
        <v>N/A</v>
        <stp/>
        <stp>PROB_OF_EXPIRING</stp>
        <stp>EWG</stp>
        <tr r="T126" s="1"/>
      </tp>
      <tp t="s">
        <v>N/A</v>
        <stp/>
        <stp>PROB_OF_EXPIRING</stp>
        <stp>EWA</stp>
        <tr r="T120" s="1"/>
      </tp>
      <tp t="s">
        <v>N/A</v>
        <stp/>
        <stp>PROB_OF_EXPIRING</stp>
        <stp>EWC</stp>
        <tr r="T123" s="1"/>
      </tp>
      <tp t="s">
        <v>N/A</v>
        <stp/>
        <stp>PROB_OF_EXPIRING</stp>
        <stp>EWL</stp>
        <tr r="T142" s="1"/>
      </tp>
      <tp t="s">
        <v>N/A</v>
        <stp/>
        <stp>PROB_OF_EXPIRING</stp>
        <stp>EWI</stp>
        <tr r="T132" s="1"/>
      </tp>
      <tp t="s">
        <v>N/A</v>
        <stp/>
        <stp>PROB_OF_EXPIRING</stp>
        <stp>EWH</stp>
        <tr r="T129" s="1"/>
      </tp>
      <tp t="s">
        <v>N/A</v>
        <stp/>
        <stp>PROB_OF_EXPIRING</stp>
        <stp>EWJ</stp>
        <tr r="T135" s="1"/>
      </tp>
      <tp t="s">
        <v>N/A</v>
        <stp/>
        <stp>PROB_OF_EXPIRING</stp>
        <stp>EWU</stp>
        <tr r="T151" s="1"/>
      </tp>
      <tp t="s">
        <v>N/A</v>
        <stp/>
        <stp>PROB_OF_EXPIRING</stp>
        <stp>EWT</stp>
        <tr r="T148" s="1"/>
      </tp>
      <tp t="s">
        <v>N/A</v>
        <stp/>
        <stp>PROB_OF_EXPIRING</stp>
        <stp>EWW</stp>
        <tr r="T154" s="1"/>
      </tp>
      <tp t="s">
        <v>N/A</v>
        <stp/>
        <stp>PROB_OF_EXPIRING</stp>
        <stp>EWP</stp>
        <tr r="T145" s="1"/>
      </tp>
      <tp t="s">
        <v>N/A</v>
        <stp/>
        <stp>PROB_OF_EXPIRING</stp>
        <stp>EWY</stp>
        <tr r="T161" s="1"/>
      </tp>
      <tp t="s">
        <v>N/A</v>
        <stp/>
        <stp>PROB_OF_EXPIRING</stp>
        <stp>EWZ</stp>
        <tr r="T172" s="1"/>
      </tp>
      <tp t="s">
        <v>N/A</v>
        <stp/>
        <stp>STRIKE</stp>
        <stp>.FEZ201120C39.5</stp>
        <tr r="W181" s="1"/>
      </tp>
      <tp t="s">
        <v>N/A</v>
        <stp/>
        <stp>STRIKE</stp>
        <stp>.FEZ201120P39.5</stp>
        <tr r="W182" s="1"/>
      </tp>
      <tp t="s">
        <v>N/A</v>
        <stp/>
        <stp>PROB_OF_TOUCHING</stp>
        <stp>RWM</stp>
        <tr r="V517" s="1"/>
      </tp>
      <tp t="s">
        <v>N/A</v>
        <stp/>
        <stp>PROB_OTM</stp>
        <stp>TBF</stp>
        <tr r="U680" s="1"/>
      </tp>
      <tp t="s">
        <v>N/A</v>
        <stp/>
        <stp>PROB_OTM</stp>
        <stp>TBT</stp>
        <tr r="U683" s="1"/>
      </tp>
      <tp t="s">
        <v>N/A</v>
        <stp/>
        <stp>PROB_OF_EXPIRING</stp>
        <stp>EMB</stp>
        <tr r="T111" s="1"/>
      </tp>
      <tp t="s">
        <v>N/A</v>
        <stp/>
        <stp>PROB_OTM</stp>
        <stp>TAN</stp>
        <tr r="U659" s="1"/>
      </tp>
      <tp t="s">
        <v>N/A</v>
        <stp/>
        <stp>STRIKE</stp>
        <stp>.XLB201120C69.5</stp>
        <tr r="W792" s="1"/>
      </tp>
      <tp t="s">
        <v>N/A</v>
        <stp/>
        <stp>STRIKE</stp>
        <stp>.XOP201120C49.5</stp>
        <tr r="W900" s="1"/>
      </tp>
      <tp t="s">
        <v>N/A</v>
        <stp/>
        <stp>STRIKE</stp>
        <stp>.XOP201120P49.5</stp>
        <tr r="W901" s="1"/>
      </tp>
      <tp t="s">
        <v>N/A</v>
        <stp/>
        <stp>STRIKE</stp>
        <stp>.XLB201120P69.5</stp>
        <tr r="W793" s="1"/>
      </tp>
      <tp t="s">
        <v>N/A</v>
        <stp/>
        <stp>PROB_OF_EXPIRING</stp>
        <stp>EFA</stp>
        <tr r="T101" s="1"/>
      </tp>
      <tp t="s">
        <v>N/A</v>
        <stp/>
        <stp>PROB_OF_EXPIRING</stp>
        <stp>EFV</stp>
        <tr r="T108" s="1"/>
      </tp>
      <tp>
        <v>0</v>
        <stp/>
        <stp>OPEN_INT</stp>
        <stp>PXH</stp>
        <tr r="G457" s="1"/>
      </tp>
      <tp t="s">
        <v>N/A</v>
        <stp/>
        <stp>PROB_OF_EXPIRING</stp>
        <stp>EEM</stp>
        <tr r="T94" s="1"/>
      </tp>
      <tp t="s">
        <v>N/A</v>
        <stp/>
        <stp>PROB_OTM</stp>
        <stp>TIP</stp>
        <tr r="U686" s="1"/>
      </tp>
      <tp t="s">
        <v>N/A</v>
        <stp/>
        <stp>PROB_OTM</stp>
        <stp>TLT</stp>
        <tr r="U689" s="1"/>
      </tp>
      <tp t="s">
        <v>69.86%</v>
        <stp/>
        <stp>PROB_OF_TOUCHING</stp>
        <stp>.SPY201120C357.5</stp>
        <tr r="V619" s="1"/>
      </tp>
      <tp>
        <v>1.59</v>
        <stp/>
        <stp>OPEN</stp>
        <stp>.GDX201120C36.5</stp>
        <tr r="L196" s="1"/>
      </tp>
      <tp>
        <v>0.44</v>
        <stp/>
        <stp>OPEN</stp>
        <stp>.GDX201120P36.5</stp>
        <tr r="L197" s="1"/>
      </tp>
      <tp t="s">
        <v>N/A</v>
        <stp/>
        <stp>PROB_OF_EXPIRING</stp>
        <stp>.XLK201120P119.5</stp>
        <tr r="T826" s="1"/>
      </tp>
      <tp t="s">
        <v>N/A</v>
        <stp/>
        <stp>PROB_OF_EXPIRING</stp>
        <stp>.TLT201120P155.5</stp>
        <tr r="T693" s="1"/>
      </tp>
      <tp t="s">
        <v>N/A</v>
        <stp/>
        <stp>PROB_OF_EXPIRING</stp>
        <stp>.SMH201120P192.5</stp>
        <tr r="T553" s="1"/>
      </tp>
      <tp>
        <v>0</v>
        <stp/>
        <stp>OPEN</stp>
        <stp>.KRE201120P46.5</stp>
        <tr r="L392" s="1"/>
      </tp>
      <tp>
        <v>0.82</v>
        <stp/>
        <stp>OPEN</stp>
        <stp>.KRE201120C46.5</stp>
        <tr r="L391" s="1"/>
      </tp>
      <tp t="s">
        <v>52.29%</v>
        <stp/>
        <stp>PROB_OF_EXPIRING</stp>
        <stp>.SPY201120C352.5</stp>
        <tr r="T607" s="1"/>
      </tp>
      <tp t="s">
        <v>N/A</v>
        <stp/>
        <stp>PROB_OF_EXPIRING</stp>
        <stp>.QQQ201120C294</stp>
        <tr r="T496" s="1"/>
      </tp>
      <tp t="s">
        <v>N/A</v>
        <stp/>
        <stp>PROB_OF_EXPIRING</stp>
        <stp>.QQQ201120P294</stp>
        <tr r="T497" s="1"/>
      </tp>
      <tp t="s">
        <v>N/A</v>
        <stp/>
        <stp>PROB_OF_EXPIRING</stp>
        <stp>.QQQ201120C293</stp>
        <tr r="T494" s="1"/>
      </tp>
      <tp t="s">
        <v>N/A</v>
        <stp/>
        <stp>PROB_OF_EXPIRING</stp>
        <stp>.QQQ201120P293</stp>
        <tr r="T495" s="1"/>
      </tp>
      <tp t="s">
        <v>N/A</v>
        <stp/>
        <stp>PROB_OF_EXPIRING</stp>
        <stp>.QQQ201120C292</stp>
        <tr r="T490" s="1"/>
      </tp>
      <tp t="s">
        <v>N/A</v>
        <stp/>
        <stp>PROB_OF_EXPIRING</stp>
        <stp>.QQQ201120P292</stp>
        <tr r="T491" s="1"/>
      </tp>
      <tp t="s">
        <v>N/A</v>
        <stp/>
        <stp>PROB_OF_EXPIRING</stp>
        <stp>.QQQ201120C291</stp>
        <tr r="T488" s="1"/>
      </tp>
      <tp t="s">
        <v>N/A</v>
        <stp/>
        <stp>PROB_OF_EXPIRING</stp>
        <stp>.QQQ201120P291</stp>
        <tr r="T489" s="1"/>
      </tp>
      <tp t="s">
        <v>N/A</v>
        <stp/>
        <stp>PROB_OF_EXPIRING</stp>
        <stp>.QQQ201120C290</stp>
        <tr r="T486" s="1"/>
      </tp>
      <tp t="s">
        <v>N/A</v>
        <stp/>
        <stp>PROB_OF_EXPIRING</stp>
        <stp>.QQQ201120P290</stp>
        <tr r="T487" s="1"/>
      </tp>
      <tp t="s">
        <v>N/A</v>
        <stp/>
        <stp>PROB_OTM</stp>
        <stp>.XBI201120P125.5</stp>
        <tr r="U779" s="1"/>
      </tp>
      <tp t="s">
        <v>N/A</v>
        <stp/>
        <stp>PROB_OF_EXPIRING</stp>
        <stp>.QQQ201120C289</stp>
        <tr r="T484" s="1"/>
      </tp>
      <tp t="s">
        <v>N/A</v>
        <stp/>
        <stp>PROB_OF_EXPIRING</stp>
        <stp>.QQQ201120P289</stp>
        <tr r="T485" s="1"/>
      </tp>
      <tp t="s">
        <v>N/A</v>
        <stp/>
        <stp>PROB_OF_EXPIRING</stp>
        <stp>.QQQ201120C288</stp>
        <tr r="T482" s="1"/>
      </tp>
      <tp t="s">
        <v>N/A</v>
        <stp/>
        <stp>PROB_OF_EXPIRING</stp>
        <stp>.QQQ201120P288</stp>
        <tr r="T483" s="1"/>
      </tp>
      <tp t="s">
        <v>N/A</v>
        <stp/>
        <stp>PROB_OF_EXPIRING</stp>
        <stp>.QQQ201120C287</stp>
        <tr r="T478" s="1"/>
      </tp>
      <tp t="s">
        <v>N/A</v>
        <stp/>
        <stp>PROB_OF_EXPIRING</stp>
        <stp>.QQQ201120P287</stp>
        <tr r="T479" s="1"/>
      </tp>
      <tp t="s">
        <v>N/A</v>
        <stp/>
        <stp>PROB_OF_EXPIRING</stp>
        <stp>.QQQ201120C286</stp>
        <tr r="T476" s="1"/>
      </tp>
      <tp t="s">
        <v>N/A</v>
        <stp/>
        <stp>PROB_OF_EXPIRING</stp>
        <stp>.QQQ201120P286</stp>
        <tr r="T477" s="1"/>
      </tp>
      <tp t="s">
        <v>N/A</v>
        <stp/>
        <stp>IMPL_VOL</stp>
        <stp>.XLK201120P121.5</stp>
        <tr r="D834" s="1"/>
      </tp>
      <tp t="s">
        <v>N/A</v>
        <stp/>
        <stp>PROB_OF_TOUCHING</stp>
        <stp>.SMH201120P197.5</stp>
        <tr r="V573" s="1"/>
      </tp>
      <tp t="s">
        <v>N/A</v>
        <stp/>
        <stp>IMPL_VOL</stp>
        <stp>.XLY201120P151.5</stp>
        <tr r="D869" s="1"/>
      </tp>
      <tp t="s">
        <v>N/A</v>
        <stp/>
        <stp>IMPL_VOL</stp>
        <stp>.XLV201120P111.5</stp>
        <tr r="D864" s="1"/>
      </tp>
      <tp t="s">
        <v>66.16%</v>
        <stp/>
        <stp>PROB_OF_TOUCHING</stp>
        <stp>.SPY201120P357.5</stp>
        <tr r="V620" s="1"/>
      </tp>
      <tp t="s">
        <v>N/A</v>
        <stp/>
        <stp>OPEN</stp>
        <stp>.SHY201120C86.5</stp>
        <tr r="L546" s="1"/>
      </tp>
      <tp t="s">
        <v>N/A</v>
        <stp/>
        <stp>OPEN</stp>
        <stp>.SHY201120P86.5</stp>
        <tr r="L547" s="1"/>
      </tp>
      <tp>
        <v>0</v>
        <stp/>
        <stp>OPEN</stp>
        <stp>.VWO201120P46.5</stp>
        <tr r="L750" s="1"/>
      </tp>
      <tp>
        <v>0</v>
        <stp/>
        <stp>OPEN</stp>
        <stp>.VWO201120C46.5</stp>
        <tr r="L749" s="1"/>
      </tp>
      <tp t="s">
        <v>N/A</v>
        <stp/>
        <stp>INTRINSIC</stp>
        <stp>BKLN</stp>
        <tr r="R48" s="1"/>
      </tp>
      <tp t="s">
        <v>N/A</v>
        <stp/>
        <stp>PROB_OF_EXPIRING</stp>
        <stp>.SMH201120C192.5</stp>
        <tr r="T552" s="1"/>
      </tp>
      <tp t="s">
        <v>N/A</v>
        <stp/>
        <stp>PROB_OF_EXPIRING</stp>
        <stp>.XLK201120C119.5</stp>
        <tr r="T825" s="1"/>
      </tp>
      <tp t="s">
        <v>N/A</v>
        <stp/>
        <stp>PROB_OF_EXPIRING</stp>
        <stp>.TLT201120C155.5</stp>
        <tr r="T692" s="1"/>
      </tp>
      <tp t="s">
        <v>N/A</v>
        <stp/>
        <stp>PROB_OTM</stp>
        <stp>.IVE201120C123</stp>
        <tr r="U307" s="1"/>
      </tp>
      <tp t="s">
        <v>N/A</v>
        <stp/>
        <stp>PROB_OTM</stp>
        <stp>.IVE201120P123</stp>
        <tr r="U308" s="1"/>
      </tp>
      <tp t="s">
        <v>N/A</v>
        <stp/>
        <stp>PROB_OTM</stp>
        <stp>.IVE201120C122</stp>
        <tr r="U305" s="1"/>
      </tp>
      <tp t="s">
        <v>N/A</v>
        <stp/>
        <stp>PROB_OTM</stp>
        <stp>.IVE201120P122</stp>
        <tr r="U306" s="1"/>
      </tp>
      <tp t="s">
        <v>N/A</v>
        <stp/>
        <stp>OPEN</stp>
        <stp>.TAN201120C76.5</stp>
        <tr r="L676" s="1"/>
      </tp>
      <tp t="s">
        <v>N/A</v>
        <stp/>
        <stp>PROB_OTM</stp>
        <stp>.IVE201120C121</stp>
        <tr r="U303" s="1"/>
      </tp>
      <tp t="s">
        <v>N/A</v>
        <stp/>
        <stp>PROB_OTM</stp>
        <stp>.IVE201120P121</stp>
        <tr r="U304" s="1"/>
      </tp>
      <tp t="s">
        <v>N/A</v>
        <stp/>
        <stp>PROB_OTM</stp>
        <stp>.IWF201120C225</stp>
        <tr r="U341" s="1"/>
      </tp>
      <tp t="s">
        <v>N/A</v>
        <stp/>
        <stp>PROB_OTM</stp>
        <stp>.IWF201120P225</stp>
        <tr r="U342" s="1"/>
      </tp>
      <tp t="s">
        <v>N/A</v>
        <stp/>
        <stp>OPEN</stp>
        <stp>.TAN201120P76.5</stp>
        <tr r="L677" s="1"/>
      </tp>
      <tp t="s">
        <v>N/A</v>
        <stp/>
        <stp>PROB_OF_TOUCHING</stp>
        <stp>.XLY201120P153</stp>
        <tr r="V875" s="1"/>
      </tp>
      <tp t="s">
        <v>N/A</v>
        <stp/>
        <stp>PROB_OF_TOUCHING</stp>
        <stp>.XLY201120C153</stp>
        <tr r="V874" s="1"/>
      </tp>
      <tp t="s">
        <v>N/A</v>
        <stp/>
        <stp>PROB_OF_TOUCHING</stp>
        <stp>.XLY201120P152</stp>
        <tr r="V871" s="1"/>
      </tp>
      <tp t="s">
        <v>N/A</v>
        <stp/>
        <stp>PROB_OF_TOUCHING</stp>
        <stp>.XLY201120C152</stp>
        <tr r="V870" s="1"/>
      </tp>
      <tp t="s">
        <v>N/A</v>
        <stp/>
        <stp>PROB_OF_TOUCHING</stp>
        <stp>.XLY201120P155</stp>
        <tr r="V883" s="1"/>
      </tp>
      <tp t="s">
        <v>N/A</v>
        <stp/>
        <stp>PROB_OF_TOUCHING</stp>
        <stp>.XLY201120C155</stp>
        <tr r="V882" s="1"/>
      </tp>
      <tp t="s">
        <v>N/A</v>
        <stp/>
        <stp>PROB_OF_TOUCHING</stp>
        <stp>.XLY201120P154</stp>
        <tr r="V879" s="1"/>
      </tp>
      <tp t="s">
        <v>N/A</v>
        <stp/>
        <stp>PROB_OF_TOUCHING</stp>
        <stp>.XLY201120C154</stp>
        <tr r="V878" s="1"/>
      </tp>
      <tp t="s">
        <v>N/A</v>
        <stp/>
        <stp>EXTRINSIC</stp>
        <stp>BKLN</stp>
        <tr r="S48" s="1"/>
      </tp>
      <tp t="s">
        <v>N/A</v>
        <stp/>
        <stp>OPEN</stp>
        <stp>.XME201120C26.5</stp>
        <tr r="L885" s="1"/>
      </tp>
      <tp>
        <v>0.5</v>
        <stp/>
        <stp>OPEN</stp>
        <stp>.XLU201120C66.5</stp>
        <tr r="L852" s="1"/>
      </tp>
      <tp t="s">
        <v>N/A</v>
        <stp/>
        <stp>OPEN</stp>
        <stp>.XLP201120C66.5</stp>
        <tr r="L842" s="1"/>
      </tp>
      <tp t="s">
        <v>N/A</v>
        <stp/>
        <stp>OPEN</stp>
        <stp>.XLU201120P66.5</stp>
        <tr r="L853" s="1"/>
      </tp>
      <tp>
        <v>0.61</v>
        <stp/>
        <stp>OPEN</stp>
        <stp>.XLP201120P66.5</stp>
        <tr r="L843" s="1"/>
      </tp>
      <tp t="s">
        <v>N/A</v>
        <stp/>
        <stp>OPEN</stp>
        <stp>.XME201120P26.5</stp>
        <tr r="L886" s="1"/>
      </tp>
      <tp t="s">
        <v>47.34%</v>
        <stp/>
        <stp>PROB_OF_EXPIRING</stp>
        <stp>.SPY201120P352.5</stp>
        <tr r="T608" s="1"/>
      </tp>
      <tp t="s">
        <v>N/A</v>
        <stp/>
        <stp>IMPL_VOL</stp>
        <stp>.XLK201120C121.5</stp>
        <tr r="D833" s="1"/>
      </tp>
      <tp t="s">
        <v>N/A</v>
        <stp/>
        <stp>PROB_OF_TOUCHING</stp>
        <stp>.SMH201120C197.5</stp>
        <tr r="V572" s="1"/>
      </tp>
      <tp t="s">
        <v>N/A</v>
        <stp/>
        <stp>IMPL_VOL</stp>
        <stp>.XLY201120C151.5</stp>
        <tr r="D868" s="1"/>
      </tp>
      <tp t="s">
        <v>N/A</v>
        <stp/>
        <stp>IMPL_VOL</stp>
        <stp>.XLV201120C111.5</stp>
        <tr r="D863" s="1"/>
      </tp>
      <tp t="s">
        <v>N/A</v>
        <stp/>
        <stp>PROB_OTM</stp>
        <stp>.XBI201120C125.5</stp>
        <tr r="U778" s="1"/>
      </tp>
      <tp t="s">
        <v>N/A</v>
        <stp/>
        <stp>DESCRIPTION</stp>
        <stp>.XRT201120P55.5</stp>
        <tr r="B910" s="1"/>
      </tp>
      <tp t="s">
        <v>N/A</v>
        <stp/>
        <stp>DESCRIPTION</stp>
        <stp>.XHB201120C55.5</stp>
        <tr r="B783" s="1"/>
      </tp>
      <tp t="s">
        <v>N/A</v>
        <stp/>
        <stp>DESCRIPTION</stp>
        <stp>.XLI201120C85.5</stp>
        <tr r="B820" s="1"/>
      </tp>
      <tp t="s">
        <v>N/A</v>
        <stp/>
        <stp>DESCRIPTION</stp>
        <stp>.XRT201120C55.5</stp>
        <tr r="B909" s="1"/>
      </tp>
      <tp t="s">
        <v>N/A</v>
        <stp/>
        <stp>DESCRIPTION</stp>
        <stp>.XHB201120P55.5</stp>
        <tr r="B784" s="1"/>
      </tp>
      <tp t="s">
        <v>N/A</v>
        <stp/>
        <stp>DESCRIPTION</stp>
        <stp>.XLI201120P85.5</stp>
        <tr r="B821" s="1"/>
      </tp>
      <tp t="s">
        <v>N/A</v>
        <stp/>
        <stp>STRIKE</stp>
        <stp>.AAXJ201120C83</stp>
        <tr r="W3" s="1"/>
      </tp>
      <tp t="s">
        <v>N/A</v>
        <stp/>
        <stp>STRIKE</stp>
        <stp>.ARKK201120P97</stp>
        <tr r="W27" s="1"/>
      </tp>
      <tp t="s">
        <v>N/A</v>
        <stp/>
        <stp>STRIKE</stp>
        <stp>.AAXJ201120C84</stp>
        <tr r="W5" s="1"/>
      </tp>
      <tp t="s">
        <v>N/A</v>
        <stp/>
        <stp>STRIKE</stp>
        <stp>.ARKK201120P98</stp>
        <tr r="W29" s="1"/>
      </tp>
      <tp t="s">
        <v>N/A</v>
        <stp/>
        <stp>STRIKE</stp>
        <stp>.ARKK201120P99</stp>
        <tr r="W31" s="1"/>
      </tp>
      <tp t="s">
        <v>N/A</v>
        <stp/>
        <stp>RHO</stp>
        <stp>.XLB201120C68.5</stp>
        <tr r="Q788" s="1"/>
      </tp>
      <tp t="s">
        <v>N/A</v>
        <stp/>
        <stp>RHO</stp>
        <stp>.XOP201120C48.5</stp>
        <tr r="Q896" s="1"/>
      </tp>
      <tp t="s">
        <v>N/A</v>
        <stp/>
        <stp>STRIKE</stp>
        <stp>.GDXJ201120C54</stp>
        <tr r="W211" s="1"/>
      </tp>
      <tp t="s">
        <v>N/A</v>
        <stp/>
        <stp>STRIKE</stp>
        <stp>.GDXJ201120C52</stp>
        <tr r="W203" s="1"/>
      </tp>
      <tp t="s">
        <v>N/A</v>
        <stp/>
        <stp>STRIKE</stp>
        <stp>.GDXJ201120C53</stp>
        <tr r="W207" s="1"/>
      </tp>
      <tp t="s">
        <v>N/A</v>
        <stp/>
        <stp>RHO</stp>
        <stp>.XOP201120P48.5</stp>
        <tr r="Q897" s="1"/>
      </tp>
      <tp t="s">
        <v>N/A</v>
        <stp/>
        <stp>RHO</stp>
        <stp>.XLB201120P68.5</stp>
        <tr r="Q789" s="1"/>
      </tp>
      <tp t="s">
        <v>N/A</v>
        <stp/>
        <stp>PUT_CALL_RATIO</stp>
        <stp>.GUSH201120C28</stp>
        <tr r="C218" s="1"/>
      </tp>
      <tp t="s">
        <v>N/A</v>
        <stp/>
        <stp>PUT_CALL_RATIO</stp>
        <stp>.GUSH201120C27</stp>
        <tr r="C216" s="1"/>
      </tp>
      <tp t="s">
        <v>N/A</v>
        <stp/>
        <stp>PUT_CALL_RATIO</stp>
        <stp>.GUSH201120C26</stp>
        <tr r="C214" s="1"/>
      </tp>
      <tp t="s">
        <v>N/A</v>
        <stp/>
        <stp>VOLUME</stp>
        <stp>.VXUS201120P56</stp>
        <tr r="F755" s="1"/>
      </tp>
      <tp t="s">
        <v>N/A</v>
        <stp/>
        <stp>VOLUME</stp>
        <stp>.VXUS201120P57</stp>
        <tr r="F757" s="1"/>
      </tp>
      <tp t="s">
        <v>N/A</v>
        <stp/>
        <stp>DESCRIPTION</stp>
        <stp>.TAN201120C75.5</stp>
        <tr r="B672" s="1"/>
      </tp>
      <tp t="s">
        <v>N/A</v>
        <stp/>
        <stp>DESCRIPTION</stp>
        <stp>.TAN201120P75.5</stp>
        <tr r="B673" s="1"/>
      </tp>
      <tp t="s">
        <v>N/A</v>
        <stp/>
        <stp>VOLUME</stp>
        <stp>.IXUS201120P63</stp>
        <tr r="F362" s="1"/>
      </tp>
      <tp t="s">
        <v>N/A</v>
        <stp/>
        <stp>EXTRINSIC</stp>
        <stp>.RSP201120P118</stp>
        <tr r="S507" s="1"/>
      </tp>
      <tp t="s">
        <v>N/A</v>
        <stp/>
        <stp>EXTRINSIC</stp>
        <stp>.RSP201120C118</stp>
        <tr r="S506" s="1"/>
      </tp>
      <tp t="s">
        <v>N/A</v>
        <stp/>
        <stp>EXTRINSIC</stp>
        <stp>.RSP201120P119</stp>
        <tr r="S509" s="1"/>
      </tp>
      <tp t="s">
        <v>N/A</v>
        <stp/>
        <stp>EXTRINSIC</stp>
        <stp>.RSP201120C119</stp>
        <tr r="S508" s="1"/>
      </tp>
      <tp t="s">
        <v>N/A</v>
        <stp/>
        <stp>DESCRIPTION</stp>
        <stp>.HYG201120P85.5</stp>
        <tr r="B222" s="1"/>
      </tp>
      <tp t="s">
        <v>N/A</v>
        <stp/>
        <stp>EXTRINSIC</stp>
        <stp>.TIP201120C125</stp>
        <tr r="S687" s="1"/>
      </tp>
      <tp t="s">
        <v>N/A</v>
        <stp/>
        <stp>EXTRINSIC</stp>
        <stp>.TIP201120P125</stp>
        <tr r="S688" s="1"/>
      </tp>
      <tp t="s">
        <v>N/A</v>
        <stp/>
        <stp>EXTRINSIC</stp>
        <stp>.RSP201120P120</stp>
        <tr r="S511" s="1"/>
      </tp>
      <tp t="s">
        <v>N/A</v>
        <stp/>
        <stp>EXTRINSIC</stp>
        <stp>.RSP201120C120</stp>
        <tr r="S510" s="1"/>
      </tp>
      <tp t="s">
        <v>N/A</v>
        <stp/>
        <stp>DESCRIPTION</stp>
        <stp>.HYG201120C85.5</stp>
        <tr r="B221" s="1"/>
      </tp>
      <tp t="s">
        <v>N/A</v>
        <stp/>
        <stp>DESCRIPTION</stp>
        <stp>.ITB201120P55.5</stp>
        <tr r="B294" s="1"/>
      </tp>
      <tp t="s">
        <v>N/A</v>
        <stp/>
        <stp>DESCRIPTION</stp>
        <stp>.IYR201120P85.5</stp>
        <tr r="B374" s="1"/>
      </tp>
      <tp t="s">
        <v>N/A</v>
        <stp/>
        <stp>DESCRIPTION</stp>
        <stp>.ITB201120C55.5</stp>
        <tr r="B293" s="1"/>
      </tp>
      <tp t="s">
        <v>N/A</v>
        <stp/>
        <stp>DESCRIPTION</stp>
        <stp>.IYR201120C85.5</stp>
        <tr r="B373" s="1"/>
      </tp>
      <tp t="s">
        <v>N/A</v>
        <stp/>
        <stp>RHO</stp>
        <stp>.EEM201120C48.5</stp>
        <tr r="Q99" s="1"/>
      </tp>
      <tp t="s">
        <v>N/A</v>
        <stp/>
        <stp>RHO</stp>
        <stp>.EWU201120P28.5</stp>
        <tr r="Q153" s="1"/>
      </tp>
      <tp t="s">
        <v>N/A</v>
        <stp/>
        <stp>RHO</stp>
        <stp>.EWW201120P38.5</stp>
        <tr r="Q156" s="1"/>
      </tp>
      <tp t="s">
        <v>N/A</v>
        <stp/>
        <stp>RHO</stp>
        <stp>.EWU201120C28.5</stp>
        <tr r="Q152" s="1"/>
      </tp>
      <tp t="s">
        <v>N/A</v>
        <stp/>
        <stp>RHO</stp>
        <stp>.EWW201120C38.5</stp>
        <tr r="Q155" s="1"/>
      </tp>
      <tp t="s">
        <v>N/A</v>
        <stp/>
        <stp>RHO</stp>
        <stp>.EEM201120P48.5</stp>
        <tr r="Q100" s="1"/>
      </tp>
      <tp t="s">
        <v>N/A</v>
        <stp/>
        <stp>VOLUME</stp>
        <stp>.EUFN201120C16</stp>
        <tr r="F118" s="1"/>
      </tp>
      <tp t="s">
        <v>N/A</v>
        <stp/>
        <stp>VOLUME</stp>
        <stp>.IEFA201120C65</stp>
        <tr r="F252" s="1"/>
      </tp>
      <tp t="s">
        <v>N/A</v>
        <stp/>
        <stp>VOLUME</stp>
        <stp>.IEFA201120C66</stp>
        <tr r="F254" s="1"/>
      </tp>
      <tp t="s">
        <v>N/A</v>
        <stp/>
        <stp>RHO</stp>
        <stp>.PXH201120P19</stp>
        <tr r="Q459" s="1"/>
      </tp>
      <tp>
        <v>1</v>
        <stp/>
        <stp>BID</stp>
        <stp>.IVV201120C362</stp>
        <tr r="H328" s="1"/>
      </tp>
      <tp>
        <v>0.28999999999999998</v>
        <stp/>
        <stp>ASK</stp>
        <stp>.TLT201120P155</stp>
        <tr r="I691" s="1"/>
      </tp>
      <tp>
        <v>8</v>
        <stp/>
        <stp>BID</stp>
        <stp>.IVV201120P362</stp>
        <tr r="H329" s="1"/>
      </tp>
      <tp>
        <v>3.75</v>
        <stp/>
        <stp>ASK</stp>
        <stp>.TLT201120C155</stp>
        <tr r="I690" s="1"/>
      </tp>
      <tp>
        <v>0.7</v>
        <stp/>
        <stp>BID</stp>
        <stp>.IVV201120C361</stp>
        <tr r="H326" s="1"/>
      </tp>
      <tp>
        <v>0.48</v>
        <stp/>
        <stp>ASK</stp>
        <stp>.TLT201120P156</stp>
        <tr r="I695" s="1"/>
      </tp>
      <tp>
        <v>7.7</v>
        <stp/>
        <stp>BID</stp>
        <stp>.IVV201120P361</stp>
        <tr r="H327" s="1"/>
      </tp>
      <tp>
        <v>2.89</v>
        <stp/>
        <stp>ASK</stp>
        <stp>.TLT201120C156</stp>
        <tr r="I694" s="1"/>
      </tp>
      <tp>
        <v>1.5</v>
        <stp/>
        <stp>BID</stp>
        <stp>.IVV201120C360</stp>
        <tr r="H324" s="1"/>
      </tp>
      <tp>
        <v>7</v>
        <stp/>
        <stp>BID</stp>
        <stp>.IVV201120P360</stp>
        <tr r="H325" s="1"/>
      </tp>
      <tp>
        <v>2.5</v>
        <stp/>
        <stp>ASK</stp>
        <stp>.IVV201120C359</stp>
        <tr r="I322" s="1"/>
      </tp>
      <tp>
        <v>7.9</v>
        <stp/>
        <stp>ASK</stp>
        <stp>.IVV201120P359</stp>
        <tr r="I323" s="1"/>
      </tp>
      <tp>
        <v>2.9</v>
        <stp/>
        <stp>ASK</stp>
        <stp>.IVV201120C358</stp>
        <tr r="I320" s="1"/>
      </tp>
      <tp>
        <v>7.1</v>
        <stp/>
        <stp>ASK</stp>
        <stp>.IVV201120P358</stp>
        <tr r="I321" s="1"/>
      </tp>
      <tp>
        <v>4.5</v>
        <stp/>
        <stp>ASK</stp>
        <stp>.IVV201120C355</stp>
        <tr r="I312" s="1"/>
      </tp>
      <tp>
        <v>5.7</v>
        <stp/>
        <stp>ASK</stp>
        <stp>.IVV201120P355</stp>
        <tr r="I313" s="1"/>
      </tp>
      <tp>
        <v>5.0999999999999996</v>
        <stp/>
        <stp>ASK</stp>
        <stp>.IVV201120C354</stp>
        <tr r="I310" s="1"/>
      </tp>
      <tp>
        <v>4.9000000000000004</v>
        <stp/>
        <stp>ASK</stp>
        <stp>.IVV201120P354</stp>
        <tr r="I311" s="1"/>
      </tp>
      <tp>
        <v>3.4</v>
        <stp/>
        <stp>ASK</stp>
        <stp>.IVV201120C357</stp>
        <tr r="I316" s="1"/>
      </tp>
      <tp>
        <v>6.8</v>
        <stp/>
        <stp>ASK</stp>
        <stp>.IVV201120P357</stp>
        <tr r="I317" s="1"/>
      </tp>
      <tp>
        <v>3.9</v>
        <stp/>
        <stp>ASK</stp>
        <stp>.IVV201120C356</stp>
        <tr r="I314" s="1"/>
      </tp>
      <tp>
        <v>5.9</v>
        <stp/>
        <stp>ASK</stp>
        <stp>.IVV201120P356</stp>
        <tr r="I315" s="1"/>
      </tp>
      <tp>
        <v>2.65</v>
        <stp/>
        <stp>BID</stp>
        <stp>.IVV201120C357</stp>
        <tr r="H316" s="1"/>
      </tp>
      <tp>
        <v>5.3</v>
        <stp/>
        <stp>BID</stp>
        <stp>.IVV201120P357</stp>
        <tr r="H317" s="1"/>
      </tp>
      <tp>
        <v>2.95</v>
        <stp/>
        <stp>BID</stp>
        <stp>.IVV201120C356</stp>
        <tr r="H314" s="1"/>
      </tp>
      <tp>
        <v>4.9000000000000004</v>
        <stp/>
        <stp>BID</stp>
        <stp>.IVV201120P356</stp>
        <tr r="H315" s="1"/>
      </tp>
      <tp>
        <v>3.9</v>
        <stp/>
        <stp>BID</stp>
        <stp>.IVV201120C355</stp>
        <tr r="H312" s="1"/>
      </tp>
      <tp>
        <v>4.0999999999999996</v>
        <stp/>
        <stp>BID</stp>
        <stp>.IVV201120P355</stp>
        <tr r="H313" s="1"/>
      </tp>
      <tp>
        <v>4.2</v>
        <stp/>
        <stp>BID</stp>
        <stp>.IVV201120C354</stp>
        <tr r="H310" s="1"/>
      </tp>
      <tp>
        <v>4.0999999999999996</v>
        <stp/>
        <stp>BID</stp>
        <stp>.IVV201120P354</stp>
        <tr r="H311" s="1"/>
      </tp>
      <tp>
        <v>1.65</v>
        <stp/>
        <stp>BID</stp>
        <stp>.IVV201120C359</stp>
        <tr r="H322" s="1"/>
      </tp>
      <tp>
        <v>6</v>
        <stp/>
        <stp>BID</stp>
        <stp>.IVV201120P359</stp>
        <tr r="H323" s="1"/>
      </tp>
      <tp>
        <v>2.1</v>
        <stp/>
        <stp>BID</stp>
        <stp>.IVV201120C358</stp>
        <tr r="H320" s="1"/>
      </tp>
      <tp>
        <v>5.6</v>
        <stp/>
        <stp>BID</stp>
        <stp>.IVV201120P358</stp>
        <tr r="H321" s="1"/>
      </tp>
      <tp>
        <v>0.42</v>
        <stp/>
        <stp>BID</stp>
        <stp>.TLT201120P156</stp>
        <tr r="H695" s="1"/>
      </tp>
      <tp>
        <v>1.75</v>
        <stp/>
        <stp>ASK</stp>
        <stp>.IVV201120C361</stp>
        <tr r="I326" s="1"/>
      </tp>
      <tp>
        <v>2.8</v>
        <stp/>
        <stp>BID</stp>
        <stp>.TLT201120C156</stp>
        <tr r="H694" s="1"/>
      </tp>
      <tp>
        <v>9.5</v>
        <stp/>
        <stp>ASK</stp>
        <stp>.IVV201120P361</stp>
        <tr r="I327" s="1"/>
      </tp>
      <tp>
        <v>2.0499999999999998</v>
        <stp/>
        <stp>ASK</stp>
        <stp>.IVV201120C360</stp>
        <tr r="I324" s="1"/>
      </tp>
      <tp>
        <v>8.9</v>
        <stp/>
        <stp>ASK</stp>
        <stp>.IVV201120P360</stp>
        <tr r="I325" s="1"/>
      </tp>
      <tp>
        <v>0.26</v>
        <stp/>
        <stp>BID</stp>
        <stp>.TLT201120P155</stp>
        <tr r="H691" s="1"/>
      </tp>
      <tp>
        <v>1.4</v>
        <stp/>
        <stp>ASK</stp>
        <stp>.IVV201120C362</stp>
        <tr r="I328" s="1"/>
      </tp>
      <tp>
        <v>3.55</v>
        <stp/>
        <stp>BID</stp>
        <stp>.TLT201120C155</stp>
        <tr r="H690" s="1"/>
      </tp>
      <tp>
        <v>10.199999999999999</v>
        <stp/>
        <stp>ASK</stp>
        <stp>.IVV201120P362</stp>
        <tr r="I329" s="1"/>
      </tp>
      <tp t="s">
        <v>N/A</v>
        <stp/>
        <stp>RHO</stp>
        <stp>.PXH201120P20</stp>
        <tr r="Q461" s="1"/>
      </tp>
      <tp t="s">
        <v>N/A</v>
        <stp/>
        <stp>RHO</stp>
        <stp>.FXI201120P47</stp>
        <tr r="Q190" s="1"/>
      </tp>
      <tp t="s">
        <v>N/A</v>
        <stp/>
        <stp>RHO</stp>
        <stp>.FXI201120P48</stp>
        <tr r="Q194" s="1"/>
      </tp>
      <tp t="s">
        <v>N/A</v>
        <stp/>
        <stp>BID</stp>
        <stp>.IGV201120P325</stp>
        <tr r="H270" s="1"/>
      </tp>
      <tp>
        <v>2.9</v>
        <stp/>
        <stp>BID</stp>
        <stp>.IGV201120C325</stp>
        <tr r="H269" s="1"/>
      </tp>
      <tp t="s">
        <v>N/A</v>
        <stp/>
        <stp>BID</stp>
        <stp>.IGV201120P320</stp>
        <tr r="H268" s="1"/>
      </tp>
      <tp t="s">
        <v>N/A</v>
        <stp/>
        <stp>BID</stp>
        <stp>.IGV201120C320</stp>
        <tr r="H267" s="1"/>
      </tp>
      <tp t="s">
        <v>N/A</v>
        <stp/>
        <stp>ASK</stp>
        <stp>.IGV201120P315</stp>
        <tr r="I266" s="1"/>
      </tp>
      <tp t="s">
        <v>N/A</v>
        <stp/>
        <stp>ASK</stp>
        <stp>.IGV201120C315</stp>
        <tr r="I265" s="1"/>
      </tp>
      <tp t="s">
        <v>N/A</v>
        <stp/>
        <stp>BID</stp>
        <stp>.IGV201120P315</stp>
        <tr r="H266" s="1"/>
      </tp>
      <tp t="s">
        <v>N/A</v>
        <stp/>
        <stp>BID</stp>
        <stp>.IGV201120C315</stp>
        <tr r="H265" s="1"/>
      </tp>
      <tp t="s">
        <v>N/A</v>
        <stp/>
        <stp>ASK</stp>
        <stp>.IGV201120P325</stp>
        <tr r="I270" s="1"/>
      </tp>
      <tp>
        <v>3.4</v>
        <stp/>
        <stp>ASK</stp>
        <stp>.IGV201120C325</stp>
        <tr r="I269" s="1"/>
      </tp>
      <tp t="s">
        <v>N/A</v>
        <stp/>
        <stp>ASK</stp>
        <stp>.IGV201120P320</stp>
        <tr r="I268" s="1"/>
      </tp>
      <tp t="s">
        <v>N/A</v>
        <stp/>
        <stp>ASK</stp>
        <stp>.IGV201120C320</stp>
        <tr r="I267" s="1"/>
      </tp>
      <tp>
        <v>140</v>
        <stp/>
        <stp>PUT_CALL_RATIO</stp>
        <stp>AAXJ</stp>
        <tr r="C2" s="1"/>
      </tp>
      <tp t="s">
        <v>N/A</v>
        <stp/>
        <stp>DESCRIPTION</stp>
        <stp>.BZQ201120P12</stp>
        <tr r="B53" s="1"/>
      </tp>
      <tp t="s">
        <v>N/A</v>
        <stp/>
        <stp>DESCRIPTION</stp>
        <stp>.EZU201120P42</stp>
        <tr r="B179" s="1"/>
      </tp>
      <tp t="s">
        <v>N/A</v>
        <stp/>
        <stp>LOW</stp>
        <stp>.IGV201120C315</stp>
        <tr r="K265" s="1"/>
      </tp>
      <tp t="s">
        <v>N/A</v>
        <stp/>
        <stp>LOW</stp>
        <stp>.IGV201120P315</stp>
        <tr r="K266" s="1"/>
      </tp>
      <tp t="s">
        <v>N/A</v>
        <stp/>
        <stp>LOW</stp>
        <stp>.IGV201120C320</stp>
        <tr r="K267" s="1"/>
      </tp>
      <tp t="s">
        <v>N/A</v>
        <stp/>
        <stp>LOW</stp>
        <stp>.IGV201120P320</stp>
        <tr r="K268" s="1"/>
      </tp>
      <tp t="s">
        <v>N/A</v>
        <stp/>
        <stp>LOW</stp>
        <stp>.IGV201120C325</stp>
        <tr r="K269" s="1"/>
      </tp>
      <tp t="s">
        <v>N/A</v>
        <stp/>
        <stp>LOW</stp>
        <stp>.IGV201120P325</stp>
        <tr r="K270" s="1"/>
      </tp>
      <tp>
        <v>4.5</v>
        <stp/>
        <stp>LOW</stp>
        <stp>.IVV201120P355</stp>
        <tr r="K313" s="1"/>
      </tp>
      <tp>
        <v>4</v>
        <stp/>
        <stp>LOW</stp>
        <stp>.IVV201120C355</stp>
        <tr r="K312" s="1"/>
      </tp>
      <tp>
        <v>0</v>
        <stp/>
        <stp>LOW</stp>
        <stp>.IVV201120P354</stp>
        <tr r="K311" s="1"/>
      </tp>
      <tp>
        <v>0</v>
        <stp/>
        <stp>LOW</stp>
        <stp>.IVV201120C354</stp>
        <tr r="K310" s="1"/>
      </tp>
      <tp>
        <v>0</v>
        <stp/>
        <stp>LOW</stp>
        <stp>.IVV201120P357</stp>
        <tr r="K317" s="1"/>
      </tp>
      <tp>
        <v>0</v>
        <stp/>
        <stp>LOW</stp>
        <stp>.IVV201120C357</stp>
        <tr r="K316" s="1"/>
      </tp>
      <tp>
        <v>0</v>
        <stp/>
        <stp>LOW</stp>
        <stp>.IVV201120P356</stp>
        <tr r="K315" s="1"/>
      </tp>
      <tp>
        <v>0</v>
        <stp/>
        <stp>LOW</stp>
        <stp>.IVV201120C356</stp>
        <tr r="K314" s="1"/>
      </tp>
      <tp>
        <v>0</v>
        <stp/>
        <stp>LOW</stp>
        <stp>.IVV201120P359</stp>
        <tr r="K323" s="1"/>
      </tp>
      <tp>
        <v>2.91</v>
        <stp/>
        <stp>LOW</stp>
        <stp>.IVV201120C359</stp>
        <tr r="K322" s="1"/>
      </tp>
      <tp>
        <v>0</v>
        <stp/>
        <stp>LOW</stp>
        <stp>.IVV201120P358</stp>
        <tr r="K321" s="1"/>
      </tp>
      <tp>
        <v>0</v>
        <stp/>
        <stp>LOW</stp>
        <stp>.IVV201120C358</stp>
        <tr r="K320" s="1"/>
      </tp>
      <tp>
        <v>2.0499999999999998</v>
        <stp/>
        <stp>LOW</stp>
        <stp>.TLT201120C155</stp>
        <tr r="K690" s="1"/>
      </tp>
      <tp>
        <v>0.27</v>
        <stp/>
        <stp>LOW</stp>
        <stp>.TLT201120P155</stp>
        <tr r="K691" s="1"/>
      </tp>
      <tp>
        <v>1.65</v>
        <stp/>
        <stp>LOW</stp>
        <stp>.TLT201120C156</stp>
        <tr r="K694" s="1"/>
      </tp>
      <tp>
        <v>0.45</v>
        <stp/>
        <stp>LOW</stp>
        <stp>.TLT201120P156</stp>
        <tr r="K695" s="1"/>
      </tp>
      <tp t="s">
        <v>N/A</v>
        <stp/>
        <stp>RHO</stp>
        <stp>.DXD201120P14</stp>
        <tr r="Q93" s="1"/>
      </tp>
      <tp>
        <v>2.5</v>
        <stp/>
        <stp>BID</stp>
        <stp>.SSO201120P84</stp>
        <tr r="H656" s="1"/>
      </tp>
      <tp t="s">
        <v>N/A</v>
        <stp/>
        <stp>BID</stp>
        <stp>.SSO201120P83</stp>
        <tr r="H652" s="1"/>
      </tp>
      <tp t="s">
        <v>N/A</v>
        <stp/>
        <stp>BID</stp>
        <stp>.SSO201120P82</stp>
        <tr r="H648" s="1"/>
      </tp>
      <tp>
        <v>1.3</v>
        <stp/>
        <stp>BID</stp>
        <stp>.SSO201120P81</stp>
        <tr r="H644" s="1"/>
      </tp>
      <tp t="s">
        <v>N/A</v>
        <stp/>
        <stp>LOW</stp>
        <stp>.SSO201120C81</stp>
        <tr r="K643" s="1"/>
      </tp>
      <tp t="s">
        <v>N/A</v>
        <stp/>
        <stp>LOW</stp>
        <stp>.SSO201120C83</stp>
        <tr r="K651" s="1"/>
      </tp>
      <tp t="s">
        <v>N/A</v>
        <stp/>
        <stp>LOW</stp>
        <stp>.SSO201120C82</stp>
        <tr r="K647" s="1"/>
      </tp>
      <tp t="s">
        <v>N/A</v>
        <stp/>
        <stp>LOW</stp>
        <stp>.SSO201120C84</stp>
        <tr r="K655" s="1"/>
      </tp>
      <tp>
        <v>0</v>
        <stp/>
        <stp>LOW</stp>
        <stp>.IVV201120P361</stp>
        <tr r="K327" s="1"/>
      </tp>
      <tp>
        <v>0</v>
        <stp/>
        <stp>LOW</stp>
        <stp>.IVV201120C361</stp>
        <tr r="K326" s="1"/>
      </tp>
      <tp>
        <v>0</v>
        <stp/>
        <stp>LOW</stp>
        <stp>.IVV201120P360</stp>
        <tr r="K325" s="1"/>
      </tp>
      <tp>
        <v>0</v>
        <stp/>
        <stp>LOW</stp>
        <stp>.IVV201120C360</stp>
        <tr r="K324" s="1"/>
      </tp>
      <tp>
        <v>0</v>
        <stp/>
        <stp>LOW</stp>
        <stp>.IVV201120P362</stp>
        <tr r="K329" s="1"/>
      </tp>
      <tp>
        <v>0</v>
        <stp/>
        <stp>LOW</stp>
        <stp>.IVV201120C362</stp>
        <tr r="K328" s="1"/>
      </tp>
      <tp t="s">
        <v>N/A</v>
        <stp/>
        <stp>RHO</stp>
        <stp>.IVV201120C362</stp>
        <tr r="Q328" s="1"/>
      </tp>
      <tp t="s">
        <v>N/A</v>
        <stp/>
        <stp>RHO</stp>
        <stp>.IVV201120P362</stp>
        <tr r="Q329" s="1"/>
      </tp>
      <tp t="s">
        <v>N/A</v>
        <stp/>
        <stp>RHO</stp>
        <stp>.IVV201120C360</stp>
        <tr r="Q324" s="1"/>
      </tp>
      <tp t="s">
        <v>N/A</v>
        <stp/>
        <stp>RHO</stp>
        <stp>.IVV201120P360</stp>
        <tr r="Q325" s="1"/>
      </tp>
      <tp t="s">
        <v>N/A</v>
        <stp/>
        <stp>RHO</stp>
        <stp>.IVV201120C361</stp>
        <tr r="Q326" s="1"/>
      </tp>
      <tp t="s">
        <v>N/A</v>
        <stp/>
        <stp>RHO</stp>
        <stp>.IVV201120P361</stp>
        <tr r="Q327" s="1"/>
      </tp>
      <tp t="s">
        <v>N/A</v>
        <stp/>
        <stp>RHO</stp>
        <stp>.IVV201120C356</stp>
        <tr r="Q314" s="1"/>
      </tp>
      <tp t="s">
        <v>N/A</v>
        <stp/>
        <stp>RHO</stp>
        <stp>.IVV201120P356</stp>
        <tr r="Q315" s="1"/>
      </tp>
      <tp t="s">
        <v>N/A</v>
        <stp/>
        <stp>RHO</stp>
        <stp>.IVV201120C357</stp>
        <tr r="Q316" s="1"/>
      </tp>
      <tp t="s">
        <v>N/A</v>
        <stp/>
        <stp>RHO</stp>
        <stp>.IVV201120P357</stp>
        <tr r="Q317" s="1"/>
      </tp>
      <tp t="s">
        <v>N/A</v>
        <stp/>
        <stp>RHO</stp>
        <stp>.IVV201120C354</stp>
        <tr r="Q310" s="1"/>
      </tp>
      <tp t="s">
        <v>N/A</v>
        <stp/>
        <stp>RHO</stp>
        <stp>.IVV201120P354</stp>
        <tr r="Q311" s="1"/>
      </tp>
      <tp t="s">
        <v>N/A</v>
        <stp/>
        <stp>RHO</stp>
        <stp>.IVV201120C355</stp>
        <tr r="Q312" s="1"/>
      </tp>
      <tp t="s">
        <v>N/A</v>
        <stp/>
        <stp>RHO</stp>
        <stp>.IVV201120P355</stp>
        <tr r="Q313" s="1"/>
      </tp>
      <tp t="s">
        <v>N/A</v>
        <stp/>
        <stp>RHO</stp>
        <stp>.IVV201120C358</stp>
        <tr r="Q320" s="1"/>
      </tp>
      <tp t="s">
        <v>N/A</v>
        <stp/>
        <stp>RHO</stp>
        <stp>.IVV201120P358</stp>
        <tr r="Q321" s="1"/>
      </tp>
      <tp t="s">
        <v>N/A</v>
        <stp/>
        <stp>RHO</stp>
        <stp>.IVV201120C359</stp>
        <tr r="Q322" s="1"/>
      </tp>
      <tp t="s">
        <v>N/A</v>
        <stp/>
        <stp>RHO</stp>
        <stp>.IVV201120P359</stp>
        <tr r="Q323" s="1"/>
      </tp>
      <tp t="s">
        <v>N/A</v>
        <stp/>
        <stp>RHO</stp>
        <stp>.TLT201120P156</stp>
        <tr r="Q695" s="1"/>
      </tp>
      <tp t="s">
        <v>N/A</v>
        <stp/>
        <stp>RHO</stp>
        <stp>.TLT201120C156</stp>
        <tr r="Q694" s="1"/>
      </tp>
      <tp t="s">
        <v>N/A</v>
        <stp/>
        <stp>RHO</stp>
        <stp>.TLT201120P155</stp>
        <tr r="Q691" s="1"/>
      </tp>
      <tp t="s">
        <v>N/A</v>
        <stp/>
        <stp>RHO</stp>
        <stp>.TLT201120C155</stp>
        <tr r="Q690" s="1"/>
      </tp>
      <tp>
        <v>0.25</v>
        <stp/>
        <stp>BID</stp>
        <stp>.RSX201120P22</stp>
        <tr r="H514" s="1"/>
      </tp>
      <tp t="s">
        <v>N/A</v>
        <stp/>
        <stp>LOW</stp>
        <stp>.RSX201120C22</stp>
        <tr r="K513" s="1"/>
      </tp>
      <tp t="s">
        <v>N/A</v>
        <stp/>
        <stp>RHO</stp>
        <stp>.IGV201120P325</stp>
        <tr r="Q270" s="1"/>
      </tp>
      <tp t="s">
        <v>N/A</v>
        <stp/>
        <stp>RHO</stp>
        <stp>.IGV201120C325</stp>
        <tr r="Q269" s="1"/>
      </tp>
      <tp t="s">
        <v>N/A</v>
        <stp/>
        <stp>RHO</stp>
        <stp>.IGV201120P320</stp>
        <tr r="Q268" s="1"/>
      </tp>
      <tp t="s">
        <v>N/A</v>
        <stp/>
        <stp>RHO</stp>
        <stp>.IGV201120C320</stp>
        <tr r="Q267" s="1"/>
      </tp>
      <tp t="s">
        <v>N/A</v>
        <stp/>
        <stp>RHO</stp>
        <stp>.IGV201120P315</stp>
        <tr r="Q266" s="1"/>
      </tp>
      <tp t="s">
        <v>N/A</v>
        <stp/>
        <stp>RHO</stp>
        <stp>.IGV201120C315</stp>
        <tr r="Q265" s="1"/>
      </tp>
      <tp>
        <v>0.313</v>
        <stp/>
        <stp>PUT_CALL_RATIO</stp>
        <stp>NAIL</stp>
        <tr r="C438" s="1"/>
      </tp>
      <tp t="s">
        <v>N/A</v>
        <stp/>
        <stp>DESCRIPTION</stp>
        <stp>.XLK201120P120</stp>
        <tr r="B828" s="1"/>
      </tp>
      <tp t="s">
        <v>N/A</v>
        <stp/>
        <stp>DESCRIPTION</stp>
        <stp>.XLK201120C120</stp>
        <tr r="B827" s="1"/>
      </tp>
      <tp t="s">
        <v>N/A</v>
        <stp/>
        <stp>DESCRIPTION</stp>
        <stp>.XLK201120P121</stp>
        <tr r="B832" s="1"/>
      </tp>
      <tp t="s">
        <v>N/A</v>
        <stp/>
        <stp>DESCRIPTION</stp>
        <stp>.XLK201120C121</stp>
        <tr r="B831" s="1"/>
      </tp>
      <tp t="s">
        <v>N/A</v>
        <stp/>
        <stp>DESCRIPTION</stp>
        <stp>.XLK201120P122</stp>
        <tr r="B836" s="1"/>
      </tp>
      <tp t="s">
        <v>N/A</v>
        <stp/>
        <stp>DESCRIPTION</stp>
        <stp>.XLK201120C122</stp>
        <tr r="B835" s="1"/>
      </tp>
      <tp t="s">
        <v>N/A</v>
        <stp/>
        <stp>DESCRIPTION</stp>
        <stp>.XLK201120P123</stp>
        <tr r="B840" s="1"/>
      </tp>
      <tp t="s">
        <v>N/A</v>
        <stp/>
        <stp>DESCRIPTION</stp>
        <stp>.XLK201120C123</stp>
        <tr r="B839" s="1"/>
      </tp>
      <tp t="s">
        <v>N/A</v>
        <stp/>
        <stp>DESCRIPTION</stp>
        <stp>.JNK201120P107</stp>
        <tr r="B384" s="1"/>
      </tp>
      <tp t="s">
        <v>N/A</v>
        <stp/>
        <stp>DESCRIPTION</stp>
        <stp>.JNK201120C107</stp>
        <tr r="B383" s="1"/>
      </tp>
      <tp t="s">
        <v>N/A</v>
        <stp/>
        <stp>DESCRIPTION</stp>
        <stp>.IJH201120P210</stp>
        <tr r="B273" s="1"/>
      </tp>
      <tp t="s">
        <v>N/A</v>
        <stp/>
        <stp>DESCRIPTION</stp>
        <stp>.IJH201120C210</stp>
        <tr r="B272" s="1"/>
      </tp>
      <tp t="s">
        <v>N/A</v>
        <stp/>
        <stp>ASK</stp>
        <stp>.XOP201120C47</stp>
        <tr r="I890" s="1"/>
      </tp>
      <tp t="s">
        <v>N/A</v>
        <stp/>
        <stp>ASK</stp>
        <stp>.XOP201120C48</stp>
        <tr r="I894" s="1"/>
      </tp>
      <tp>
        <v>0.54</v>
        <stp/>
        <stp>ASK</stp>
        <stp>.XOP201120C49</stp>
        <tr r="I898" s="1"/>
      </tp>
      <tp t="s">
        <v>31.93%</v>
        <stp/>
        <stp>IMPL_VOL</stp>
        <stp>SSO</stp>
        <tr r="D642" s="1"/>
      </tp>
      <tp t="s">
        <v>N/A</v>
        <stp/>
        <stp>PROB_OF_EXPIRING</stp>
        <stp>DXD</stp>
        <tr r="T91" s="1"/>
      </tp>
      <tp t="s">
        <v>25.72%</v>
        <stp/>
        <stp>IMPL_VOL</stp>
        <stp>SPY</stp>
        <tr r="D590" s="1"/>
      </tp>
      <tp t="s">
        <v>N/A</v>
        <stp/>
        <stp>STRIKE</stp>
        <stp>.EEM201120C48.5</stp>
        <tr r="W99" s="1"/>
      </tp>
      <tp t="s">
        <v>N/A</v>
        <stp/>
        <stp>STRIKE</stp>
        <stp>.EWW201120P38.5</stp>
        <tr r="W156" s="1"/>
      </tp>
      <tp t="s">
        <v>N/A</v>
        <stp/>
        <stp>STRIKE</stp>
        <stp>.EWU201120P28.5</stp>
        <tr r="W153" s="1"/>
      </tp>
      <tp t="s">
        <v>N/A</v>
        <stp/>
        <stp>STRIKE</stp>
        <stp>.EWW201120C38.5</stp>
        <tr r="W155" s="1"/>
      </tp>
      <tp t="s">
        <v>N/A</v>
        <stp/>
        <stp>STRIKE</stp>
        <stp>.EWU201120C28.5</stp>
        <tr r="W152" s="1"/>
      </tp>
      <tp t="s">
        <v>N/A</v>
        <stp/>
        <stp>STRIKE</stp>
        <stp>.EEM201120P48.5</stp>
        <tr r="W100" s="1"/>
      </tp>
      <tp t="s">
        <v>N/A</v>
        <stp/>
        <stp>PROB_OF_TOUCHING</stp>
        <stp>SSO</stp>
        <tr r="V642" s="1"/>
      </tp>
      <tp t="s">
        <v>N/A</v>
        <stp/>
        <stp>PROB_OF_EXPIRING</stp>
        <stp>DVY</stp>
        <tr r="T84" s="1"/>
      </tp>
      <tp t="s">
        <v>N/A</v>
        <stp/>
        <stp>PROB_OF_TOUCHING</stp>
        <stp>SPY</stp>
        <tr r="V590" s="1"/>
      </tp>
      <tp>
        <v>0</v>
        <stp/>
        <stp>OPEN_INT</stp>
        <stp>QLD</stp>
        <tr r="G462" s="1"/>
      </tp>
      <tp t="s">
        <v>50.60%</v>
        <stp/>
        <stp>IMPL_VOL</stp>
        <stp>SDS</stp>
        <tr r="D537" s="1"/>
      </tp>
      <tp>
        <v>0</v>
        <stp/>
        <stp>OPEN_INT</stp>
        <stp>QQQ</stp>
        <tr r="G475" s="1"/>
      </tp>
      <tp t="s">
        <v>N/A</v>
        <stp/>
        <stp>PROB_OF_TOUCHING</stp>
        <stp>SHY</stp>
        <tr r="V545" s="1"/>
      </tp>
      <tp t="s">
        <v>N/A</v>
        <stp/>
        <stp>STRIKE</stp>
        <stp>.XLB201120C68.5</stp>
        <tr r="W788" s="1"/>
      </tp>
      <tp t="s">
        <v>N/A</v>
        <stp/>
        <stp>STRIKE</stp>
        <stp>.XOP201120C48.5</stp>
        <tr r="W896" s="1"/>
      </tp>
      <tp t="s">
        <v>N/A</v>
        <stp/>
        <stp>STRIKE</stp>
        <stp>.XOP201120P48.5</stp>
        <tr r="W897" s="1"/>
      </tp>
      <tp t="s">
        <v>N/A</v>
        <stp/>
        <stp>STRIKE</stp>
        <stp>.XLB201120P68.5</stp>
        <tr r="W789" s="1"/>
      </tp>
      <tp t="s">
        <v>30.37%</v>
        <stp/>
        <stp>IMPL_VOL</stp>
        <stp>SCZ</stp>
        <tr r="D534" s="1"/>
      </tp>
      <tp t="s">
        <v>N/A</v>
        <stp/>
        <stp>PROB_OF_TOUCHING</stp>
        <stp>SMH</stp>
        <tr r="V551" s="1"/>
      </tp>
      <tp t="s">
        <v>N/A</v>
        <stp/>
        <stp>PROB_OF_EXPIRING</stp>
        <stp>DIA</stp>
        <tr r="T62" s="1"/>
      </tp>
      <tp t="s">
        <v>N/A</v>
        <stp/>
        <stp>PROB_OF_TOUCHING</stp>
        <stp>SCZ</stp>
        <tr r="V534" s="1"/>
      </tp>
      <tp t="s">
        <v>33.25%</v>
        <stp/>
        <stp>IMPL_VOL</stp>
        <stp>SMH</stp>
        <tr r="D551" s="1"/>
      </tp>
      <tp t="s">
        <v>0.63%</v>
        <stp/>
        <stp>IMPL_VOL</stp>
        <stp>SHY</stp>
        <tr r="D545" s="1"/>
      </tp>
      <tp t="s">
        <v>N/A</v>
        <stp/>
        <stp>PROB_OF_TOUCHING</stp>
        <stp>SDS</stp>
        <tr r="V537" s="1"/>
      </tp>
      <tp>
        <v>1.1299999999999999</v>
        <stp/>
        <stp>LAST</stp>
        <stp>.GDX201120C37</stp>
        <tr r="E198" s="1"/>
      </tp>
      <tp>
        <v>1.6</v>
        <stp/>
        <stp>LAST</stp>
        <stp>.EWZ201120P32</stp>
        <tr r="E176" s="1"/>
      </tp>
      <tp t="s">
        <v>N/A</v>
        <stp/>
        <stp>LAST</stp>
        <stp>.EWY201120P72</stp>
        <tr r="E165" s="1"/>
      </tp>
      <tp t="s">
        <v>N/A</v>
        <stp/>
        <stp>LAST</stp>
        <stp>.EWY201120P73</stp>
        <tr r="E169" s="1"/>
      </tp>
      <tp t="s">
        <v>N/A</v>
        <stp/>
        <stp>PUT_CALL_RATIO</stp>
        <stp>.IWF201120P227.5</stp>
        <tr r="C344" s="1"/>
      </tp>
      <tp t="s">
        <v>N/A</v>
        <stp/>
        <stp>VEGA</stp>
        <stp>.TBF201120P16</stp>
        <tr r="P682" s="1"/>
      </tp>
      <tp t="s">
        <v>N/A</v>
        <stp/>
        <stp>PUT_CALL_RATIO</stp>
        <stp>.IVV201120P357.5</stp>
        <tr r="C319" s="1"/>
      </tp>
      <tp t="s">
        <v>N/A</v>
        <stp/>
        <stp>VEGA</stp>
        <stp>.KBE201120P38</stp>
        <tr r="P387" s="1"/>
      </tp>
      <tp t="s">
        <v>N/A</v>
        <stp/>
        <stp>GAMMA</stp>
        <stp>.SHYG201120P45</stp>
        <tr r="N550" s="1"/>
      </tp>
      <tp t="s">
        <v>N/A</v>
        <stp/>
        <stp>GAMMA</stp>
        <stp>.SPYG201120P53</stp>
        <tr r="N633" s="1"/>
      </tp>
      <tp t="s">
        <v>N/A</v>
        <stp/>
        <stp>GAMMA</stp>
        <stp>.SPYG201120P52</stp>
        <tr r="N631" s="1"/>
      </tp>
      <tp>
        <v>0.41</v>
        <stp/>
        <stp>LAST</stp>
        <stp>.SDS201120C14</stp>
        <tr r="E540" s="1"/>
      </tp>
      <tp t="s">
        <v>N/A</v>
        <stp/>
        <stp>LAST</stp>
        <stp>.EWP201120P26</stp>
        <tr r="E147" s="1"/>
      </tp>
      <tp t="s">
        <v>N/A</v>
        <stp/>
        <stp>STRIKE</stp>
        <stp>.QQQ201120C292.5</stp>
        <tr r="W492" s="1"/>
      </tp>
      <tp>
        <v>0.47</v>
        <stp/>
        <stp>LAST</stp>
        <stp>.EWT201120P48</stp>
        <tr r="E150" s="1"/>
      </tp>
      <tp>
        <v>14</v>
        <stp/>
        <stp>VOLUME</stp>
        <stp>.SMH201120C193.5</stp>
        <tr r="F556" s="1"/>
      </tp>
      <tp>
        <v>0.83</v>
        <stp/>
        <stp>LAST</stp>
        <stp>.EWW201120P39</stp>
        <tr r="E158" s="1"/>
      </tp>
      <tp t="s">
        <v>N/A</v>
        <stp/>
        <stp>LAST</stp>
        <stp>.VWO201120P47</stp>
        <tr r="E752" s="1"/>
      </tp>
      <tp>
        <v>2.09</v>
        <stp/>
        <stp>LAST</stp>
        <stp>.EWI201120P27</stp>
        <tr r="E134" s="1"/>
      </tp>
      <tp t="s">
        <v>N/A</v>
        <stp/>
        <stp>LAST</stp>
        <stp>.EWH201120P24</stp>
        <tr r="E131" s="1"/>
      </tp>
      <tp>
        <v>1.01</v>
        <stp/>
        <stp>HIGH</stp>
        <stp>.FXI201120C47</stp>
        <tr r="J189" s="1"/>
      </tp>
      <tp>
        <v>0.49</v>
        <stp/>
        <stp>HIGH</stp>
        <stp>.FXI201120C48</stp>
        <tr r="J193" s="1"/>
      </tp>
      <tp t="s">
        <v>N/A</v>
        <stp/>
        <stp>LAST</stp>
        <stp>.EWL201120P43</stp>
        <tr r="E144" s="1"/>
      </tp>
      <tp t="s">
        <v>N/A</v>
        <stp/>
        <stp>PUT_CALL_RATIO</stp>
        <stp>.IVV201120C357.5</stp>
        <tr r="C318" s="1"/>
      </tp>
      <tp>
        <v>0.42</v>
        <stp/>
        <stp>LAST</stp>
        <stp>.RWM201120P29</stp>
        <tr r="E519" s="1"/>
      </tp>
      <tp t="s">
        <v>N/A</v>
        <stp/>
        <stp>VEGA</stp>
        <stp>.TBT201120P17</stp>
        <tr r="P685" s="1"/>
      </tp>
      <tp t="s">
        <v>N/A</v>
        <stp/>
        <stp>PUT_CALL_RATIO</stp>
        <stp>.IWF201120C227.5</stp>
        <tr r="C343" s="1"/>
      </tp>
      <tp t="s">
        <v>N/A</v>
        <stp/>
        <stp>HIGH</stp>
        <stp>.PXH201120C20</stp>
        <tr r="J460" s="1"/>
      </tp>
      <tp t="s">
        <v>N/A</v>
        <stp/>
        <stp>HIGH</stp>
        <stp>.PXH201120C19</stp>
        <tr r="J458" s="1"/>
      </tp>
      <tp t="s">
        <v>N/A</v>
        <stp/>
        <stp>LAST</stp>
        <stp>.EWJ201120P63</stp>
        <tr r="E137" s="1"/>
      </tp>
      <tp t="s">
        <v>N/A</v>
        <stp/>
        <stp>LAST</stp>
        <stp>.EWJ201120P64</stp>
        <tr r="E141" s="1"/>
      </tp>
      <tp t="s">
        <v>N/A</v>
        <stp/>
        <stp>STRIKE</stp>
        <stp>.QQQ201120P292.5</stp>
        <tr r="W493" s="1"/>
      </tp>
      <tp t="s">
        <v>N/A</v>
        <stp/>
        <stp>LAST</stp>
        <stp>.EWA201120P22</stp>
        <tr r="E122" s="1"/>
      </tp>
      <tp t="s">
        <v>N/A</v>
        <stp/>
        <stp>LAST</stp>
        <stp>.EWC201120P29</stp>
        <tr r="E125" s="1"/>
      </tp>
      <tp>
        <v>0.49</v>
        <stp/>
        <stp>HIGH</stp>
        <stp>.DXD201120C14</stp>
        <tr r="J92" s="1"/>
      </tp>
      <tp t="s">
        <v>N/A</v>
        <stp/>
        <stp>GAMMA</stp>
        <stp>.SPYV201120P33</stp>
        <tr r="N636" s="1"/>
      </tp>
      <tp>
        <v>4</v>
        <stp/>
        <stp>VOLUME</stp>
        <stp>.SMH201120P193.5</stp>
        <tr r="F557" s="1"/>
      </tp>
      <tp t="s">
        <v>N/A</v>
        <stp/>
        <stp>LAST</stp>
        <stp>.EWG201120P30</stp>
        <tr r="E128" s="1"/>
      </tp>
      <tp>
        <v>0</v>
        <stp/>
        <stp>OPEN</stp>
        <stp>.XME201120P27</stp>
        <tr r="L888" s="1"/>
      </tp>
      <tp t="s">
        <v>N/A</v>
        <stp/>
        <stp>OPEN</stp>
        <stp>.MCHI201120C80</stp>
        <tr r="L412" s="1"/>
      </tp>
      <tp t="s">
        <v>N/A</v>
        <stp/>
        <stp>OPEN</stp>
        <stp>.SCHD201120C62</stp>
        <tr r="L523" s="1"/>
      </tp>
      <tp t="s">
        <v>N/A</v>
        <stp/>
        <stp>OPEN</stp>
        <stp>.SCHD201120C61</stp>
        <tr r="L521" s="1"/>
      </tp>
      <tp t="s">
        <v>N/A</v>
        <stp/>
        <stp>RHO</stp>
        <stp>.MJ201120C13</stp>
        <tr r="Q424" s="1"/>
      </tp>
      <tp t="s">
        <v>N/A</v>
        <stp/>
        <stp>OPEN</stp>
        <stp>.SCHF201120C34</stp>
        <tr r="L529" s="1"/>
      </tp>
      <tp t="s">
        <v>N/A</v>
        <stp/>
        <stp>HIGH</stp>
        <stp>.ITOT201120C81</stp>
        <tr r="J300" s="1"/>
      </tp>
      <tp t="s">
        <v>N/A</v>
        <stp/>
        <stp>HIGH</stp>
        <stp>.ITOT201120C80</stp>
        <tr r="J298" s="1"/>
      </tp>
      <tp t="s">
        <v>N/A</v>
        <stp/>
        <stp>OPEN</stp>
        <stp>.SCHE201120C29</stp>
        <tr r="L526" s="1"/>
      </tp>
      <tp t="s">
        <v>N/A</v>
        <stp/>
        <stp>OPEN</stp>
        <stp>.SPHD201120C36</stp>
        <tr r="L582" s="1"/>
      </tp>
      <tp t="s">
        <v>N/A</v>
        <stp/>
        <stp>INTRINSIC</stp>
        <stp>.GDXJ201120P53.5</stp>
        <tr r="R210" s="1"/>
      </tp>
      <tp t="s">
        <v>N/A</v>
        <stp/>
        <stp>INTRINSIC</stp>
        <stp>.GDXJ201120C53.5</stp>
        <tr r="R209" s="1"/>
      </tp>
      <tp>
        <v>1.57</v>
        <stp/>
        <stp>LAST</stp>
        <stp>.GDXJ201120P54</stp>
        <tr r="E212" s="1"/>
      </tp>
      <tp>
        <v>1.21</v>
        <stp/>
        <stp>LAST</stp>
        <stp>.GDXJ201120P53</stp>
        <tr r="E208" s="1"/>
      </tp>
      <tp>
        <v>0.81</v>
        <stp/>
        <stp>LAST</stp>
        <stp>.GDXJ201120P52</stp>
        <tr r="E204" s="1"/>
      </tp>
      <tp>
        <v>0.43</v>
        <stp/>
        <stp>OPEN</stp>
        <stp>.ASHR201120C38</stp>
        <tr r="L46" s="1"/>
      </tp>
      <tp>
        <v>2.25</v>
        <stp/>
        <stp>LAST</stp>
        <stp>.ARKK201120C99</stp>
        <tr r="E30" s="1"/>
      </tp>
      <tp>
        <v>2.8</v>
        <stp/>
        <stp>LAST</stp>
        <stp>.ARKK201120C98</stp>
        <tr r="E28" s="1"/>
      </tp>
      <tp t="s">
        <v>N/A</v>
        <stp/>
        <stp>LAST</stp>
        <stp>.AAXJ201120P83</stp>
        <tr r="E4" s="1"/>
      </tp>
      <tp>
        <v>3.32</v>
        <stp/>
        <stp>LAST</stp>
        <stp>.ARKK201120C97</stp>
        <tr r="E26" s="1"/>
      </tp>
      <tp>
        <v>0</v>
        <stp/>
        <stp>LAST</stp>
        <stp>.AAXJ201120P84</stp>
        <tr r="E6" s="1"/>
      </tp>
      <tp>
        <v>0</v>
        <stp/>
        <stp>OPEN</stp>
        <stp>.SCHP201120C61</stp>
        <tr r="L532" s="1"/>
      </tp>
      <tp t="s">
        <v>N/A</v>
        <stp/>
        <stp>EXTRINSIC</stp>
        <stp>.GDXJ201120C53.5</stp>
        <tr r="S209" s="1"/>
      </tp>
      <tp t="s">
        <v>N/A</v>
        <stp/>
        <stp>EXTRINSIC</stp>
        <stp>.GDXJ201120P53.5</stp>
        <tr r="S210" s="1"/>
      </tp>
      <tp t="s">
        <v>N/A</v>
        <stp/>
        <stp>VEGA</stp>
        <stp>.PDBC201120P14</stp>
        <tr r="P453" s="1"/>
      </tp>
      <tp>
        <v>0.7</v>
        <stp/>
        <stp>ASK</stp>
        <stp>.VT201120C87</stp>
        <tr r="I737" s="1"/>
      </tp>
      <tp>
        <v>1.2</v>
        <stp/>
        <stp>ASK</stp>
        <stp>.VT201120C86</stp>
        <tr r="I735" s="1"/>
      </tp>
      <tp t="s">
        <v>N/A</v>
        <stp/>
        <stp>INTRINSIC</stp>
        <stp>.IJR201120C80</stp>
        <tr r="R275" s="1"/>
      </tp>
      <tp t="s">
        <v>N/A</v>
        <stp/>
        <stp>INTRINSIC</stp>
        <stp>.IYR201120P84</stp>
        <tr r="R368" s="1"/>
      </tp>
      <tp t="s">
        <v>N/A</v>
        <stp/>
        <stp>INTRINSIC</stp>
        <stp>.IYR201120P85</stp>
        <tr r="R372" s="1"/>
      </tp>
      <tp t="s">
        <v>N/A</v>
        <stp/>
        <stp>EXTRINSIC</stp>
        <stp>.VFH201120C66</stp>
        <tr r="S714" s="1"/>
      </tp>
      <tp t="s">
        <v>N/A</v>
        <stp/>
        <stp>EXTRINSIC</stp>
        <stp>.VFH201120C67</stp>
        <tr r="S716" s="1"/>
      </tp>
      <tp t="s">
        <v>N/A</v>
        <stp/>
        <stp>DELTA</stp>
        <stp>.VT201120P86</stp>
        <tr r="M736" s="1"/>
      </tp>
      <tp t="s">
        <v>N/A</v>
        <stp/>
        <stp>DELTA</stp>
        <stp>.VT201120P87</stp>
        <tr r="M738" s="1"/>
      </tp>
      <tp t="s">
        <v>N/A</v>
        <stp/>
        <stp>PROB_OTM</stp>
        <stp>DRIP</stp>
        <tr r="U81" s="1"/>
      </tp>
      <tp t="s">
        <v>N/A</v>
        <stp/>
        <stp>EXTRINSIC</stp>
        <stp>.EFA201120C69</stp>
        <tr r="S102" s="1"/>
      </tp>
      <tp t="s">
        <v>N/A</v>
        <stp/>
        <stp>PROB_OTM</stp>
        <stp>ARKW</stp>
        <tr r="U34" s="1"/>
      </tp>
      <tp t="s">
        <v>N/A</v>
        <stp/>
        <stp>PROB_OTM</stp>
        <stp>ARKK</stp>
        <tr r="U25" s="1"/>
      </tp>
      <tp t="s">
        <v>N/A</v>
        <stp/>
        <stp>EXTRINSIC</stp>
        <stp>.EFA201120C70</stp>
        <tr r="S106" s="1"/>
      </tp>
      <tp t="s">
        <v>N/A</v>
        <stp/>
        <stp>THETA</stp>
        <stp>.VT201120P87</stp>
        <tr r="O738" s="1"/>
      </tp>
      <tp t="s">
        <v>N/A</v>
        <stp/>
        <stp>THETA</stp>
        <stp>.VT201120P86</stp>
        <tr r="O736" s="1"/>
      </tp>
      <tp t="s">
        <v>N/A</v>
        <stp/>
        <stp>INTRINSIC</stp>
        <stp>.HYG201120P86</stp>
        <tr r="R224" s="1"/>
      </tp>
      <tp t="s">
        <v>N/A</v>
        <stp/>
        <stp>PROB_OTM</stp>
        <stp>SRVR</stp>
        <tr r="U637" s="1"/>
      </tp>
      <tp t="s">
        <v>N/A</v>
        <stp/>
        <stp>INTRINSIC</stp>
        <stp>.VYM201120P87</stp>
        <tr r="R760" s="1"/>
      </tp>
      <tp t="s">
        <v>N/A</v>
        <stp/>
        <stp>INTRINSIC</stp>
        <stp>.VYM201120P88</stp>
        <tr r="R762" s="1"/>
      </tp>
      <tp t="s">
        <v>N/A</v>
        <stp/>
        <stp>EXTRINSIC</stp>
        <stp>.EFV201120C45</stp>
        <tr r="S109" s="1"/>
      </tp>
      <tp t="s">
        <v>N/A</v>
        <stp/>
        <stp>INTRINSIC</stp>
        <stp>.IYE201120P18</stp>
        <tr r="R365" s="1"/>
      </tp>
      <tp t="s">
        <v>N/A</v>
        <stp/>
        <stp>THETA</stp>
        <stp>.PDBC201120C14</stp>
        <tr r="O452" s="1"/>
      </tp>
      <tp>
        <v>7924</v>
        <stp/>
        <stp>VOLUME</stp>
        <stp>.SPY201120P352.5</stp>
        <tr r="F608" s="1"/>
      </tp>
      <tp t="s">
        <v>N/A</v>
        <stp/>
        <stp>GAMMA</stp>
        <stp>.GDXJ201120P53</stp>
        <tr r="N208" s="1"/>
      </tp>
      <tp t="s">
        <v>N/A</v>
        <stp/>
        <stp>GAMMA</stp>
        <stp>.GDXJ201120P52</stp>
        <tr r="N204" s="1"/>
      </tp>
      <tp t="s">
        <v>N/A</v>
        <stp/>
        <stp>GAMMA</stp>
        <stp>.GDXJ201120P54</stp>
        <tr r="N212" s="1"/>
      </tp>
      <tp t="s">
        <v>N/A</v>
        <stp/>
        <stp>STRIKE</stp>
        <stp>.TLT201120P156.5</stp>
        <tr r="W697" s="1"/>
      </tp>
      <tp t="s">
        <v>N/A</v>
        <stp/>
        <stp>HIGH</stp>
        <stp>.IJR201120P80</stp>
        <tr r="J276" s="1"/>
      </tp>
      <tp t="s">
        <v>N/A</v>
        <stp/>
        <stp>HIGH</stp>
        <stp>.IYR201120C84</stp>
        <tr r="J367" s="1"/>
      </tp>
      <tp t="s">
        <v>N/A</v>
        <stp/>
        <stp>HIGH</stp>
        <stp>.IYR201120C85</stp>
        <tr r="J371" s="1"/>
      </tp>
      <tp t="s">
        <v>N/A</v>
        <stp/>
        <stp>LAST</stp>
        <stp>.FEZ201120C40</stp>
        <tr r="E183" s="1"/>
      </tp>
      <tp t="s">
        <v>N/A</v>
        <stp/>
        <stp>PUT_CALL_RATIO</stp>
        <stp>.MDY201120C382.5</stp>
        <tr r="C417" s="1"/>
      </tp>
      <tp t="s">
        <v>N/A</v>
        <stp/>
        <stp>GAMMA</stp>
        <stp>.ARKK201120C99</stp>
        <tr r="N30" s="1"/>
      </tp>
      <tp t="s">
        <v>N/A</v>
        <stp/>
        <stp>GAMMA</stp>
        <stp>.ARKK201120C98</stp>
        <tr r="N28" s="1"/>
      </tp>
      <tp t="s">
        <v>N/A</v>
        <stp/>
        <stp>GAMMA</stp>
        <stp>.ARKK201120C97</stp>
        <tr r="N26" s="1"/>
      </tp>
      <tp t="s">
        <v>N/A</v>
        <stp/>
        <stp>GAMMA</stp>
        <stp>.AAXJ201120P84</stp>
        <tr r="N6" s="1"/>
      </tp>
      <tp t="s">
        <v>N/A</v>
        <stp/>
        <stp>GAMMA</stp>
        <stp>.AAXJ201120P83</stp>
        <tr r="N4" s="1"/>
      </tp>
      <tp t="s">
        <v>N/A</v>
        <stp/>
        <stp>LAST</stp>
        <stp>.DVY201120P91</stp>
        <tr r="E86" s="1"/>
      </tp>
      <tp t="s">
        <v>N/A</v>
        <stp/>
        <stp>LAST</stp>
        <stp>.DVY201120P92</stp>
        <tr r="E88" s="1"/>
      </tp>
      <tp>
        <v>0</v>
        <stp/>
        <stp>LAST</stp>
        <stp>.DVY201120P93</stp>
        <tr r="E90" s="1"/>
      </tp>
      <tp>
        <v>0</v>
        <stp/>
        <stp>LAST</stp>
        <stp>.VEU201120C55</stp>
        <tr r="E711" s="1"/>
      </tp>
      <tp>
        <v>0</v>
        <stp/>
        <stp>OPEN</stp>
        <stp>.XLU201120P67</stp>
        <tr r="L855" s="1"/>
      </tp>
      <tp>
        <v>0.66</v>
        <stp/>
        <stp>OPEN</stp>
        <stp>.XLU201120P66</stp>
        <tr r="L851" s="1"/>
      </tp>
      <tp>
        <v>7</v>
        <stp/>
        <stp>VOLUME</stp>
        <stp>.SMH201120C192.5</stp>
        <tr r="F552" s="1"/>
      </tp>
      <tp>
        <v>10</v>
        <stp/>
        <stp>VOLUME</stp>
        <stp>.XLK201120C119.5</stp>
        <tr r="F825" s="1"/>
      </tp>
      <tp>
        <v>252</v>
        <stp/>
        <stp>VOLUME</stp>
        <stp>.TLT201120C155.5</stp>
        <tr r="F692" s="1"/>
      </tp>
      <tp>
        <v>1.1000000000000001</v>
        <stp/>
        <stp>OPEN</stp>
        <stp>.XLP201120P67</stp>
        <tr r="L845" s="1"/>
      </tp>
      <tp>
        <v>0.25</v>
        <stp/>
        <stp>HIGH</stp>
        <stp>.HYG201120C86</stp>
        <tr r="J223" s="1"/>
      </tp>
      <tp>
        <v>2639</v>
        <stp/>
        <stp>VOLUME</stp>
        <stp>.SPY201120C352.5</stp>
        <tr r="F607" s="1"/>
      </tp>
      <tp>
        <v>0.37</v>
        <stp/>
        <stp>LAST</stp>
        <stp>.EEM201120C48</stp>
        <tr r="E97" s="1"/>
      </tp>
      <tp t="s">
        <v>N/A</v>
        <stp/>
        <stp>PUT_CALL_RATIO</stp>
        <stp>.MDY201120P382.5</stp>
        <tr r="C418" s="1"/>
      </tp>
      <tp>
        <v>0</v>
        <stp/>
        <stp>OPEN</stp>
        <stp>.QLD201120P99</stp>
        <tr r="L470" s="1"/>
      </tp>
      <tp>
        <v>3.2</v>
        <stp/>
        <stp>OPEN</stp>
        <stp>.QLD201120P98</stp>
        <tr r="L468" s="1"/>
      </tp>
      <tp>
        <v>2.25</v>
        <stp/>
        <stp>OPEN</stp>
        <stp>.QLD201120P97</stp>
        <tr r="L466" s="1"/>
      </tp>
      <tp>
        <v>2.35</v>
        <stp/>
        <stp>OPEN</stp>
        <stp>.QLD201120P96</stp>
        <tr r="L464" s="1"/>
      </tp>
      <tp t="s">
        <v>N/A</v>
        <stp/>
        <stp>STRIKE</stp>
        <stp>.TLT201120C156.5</stp>
        <tr r="W696" s="1"/>
      </tp>
      <tp t="s">
        <v>N/A</v>
        <stp/>
        <stp>DELTA</stp>
        <stp>.ITOT201120C80</stp>
        <tr r="M298" s="1"/>
      </tp>
      <tp t="s">
        <v>N/A</v>
        <stp/>
        <stp>DELTA</stp>
        <stp>.ITOT201120C81</stp>
        <tr r="M300" s="1"/>
      </tp>
      <tp>
        <v>1.72</v>
        <stp/>
        <stp>OPEN</stp>
        <stp>.XLI201120P85</stp>
        <tr r="L819" s="1"/>
      </tp>
      <tp t="s">
        <v>N/A</v>
        <stp/>
        <stp>OPEN</stp>
        <stp>.XLI201120P84</stp>
        <tr r="L815" s="1"/>
      </tp>
      <tp t="s">
        <v>N/A</v>
        <stp/>
        <stp>OPEN</stp>
        <stp>.XLI201120P86</stp>
        <tr r="L823" s="1"/>
      </tp>
      <tp t="s">
        <v>N/A</v>
        <stp/>
        <stp>HIGH</stp>
        <stp>.VYM201120C87</stp>
        <tr r="J759" s="1"/>
      </tp>
      <tp t="s">
        <v>N/A</v>
        <stp/>
        <stp>HIGH</stp>
        <stp>.VYM201120C88</stp>
        <tr r="J761" s="1"/>
      </tp>
      <tp>
        <v>0</v>
        <stp/>
        <stp>HIGH</stp>
        <stp>.IYE201120C18</stp>
        <tr r="J364" s="1"/>
      </tp>
      <tp t="s">
        <v>N/A</v>
        <stp/>
        <stp>LAST</stp>
        <stp>.FVD201120P35</stp>
        <tr r="E187" s="1"/>
      </tp>
      <tp>
        <v>1.02</v>
        <stp/>
        <stp>OPEN</stp>
        <stp>.XLB201120P69</stp>
        <tr r="L791" s="1"/>
      </tp>
      <tp t="s">
        <v>N/A</v>
        <stp/>
        <stp>OPEN</stp>
        <stp>.ILF201120P25</stp>
        <tr r="L279" s="1"/>
      </tp>
      <tp>
        <v>0.6</v>
        <stp/>
        <stp>OPEN</stp>
        <stp>.XLF201120P27</stp>
        <tr r="L812" s="1"/>
      </tp>
      <tp t="s">
        <v>N/A</v>
        <stp/>
        <stp>VEGA</stp>
        <stp>.SCZ201120P63</stp>
        <tr r="P536" s="1"/>
      </tp>
      <tp t="s">
        <v>N/A</v>
        <stp/>
        <stp>OPEN</stp>
        <stp>.XLB201120P70</stp>
        <tr r="L795" s="1"/>
      </tp>
      <tp t="s">
        <v>N/A</v>
        <stp/>
        <stp>OPEN</stp>
        <stp>.XLC201120P63</stp>
        <tr r="L798" s="1"/>
      </tp>
      <tp t="s">
        <v>N/A</v>
        <stp/>
        <stp>OPEN</stp>
        <stp>.XLC201120P64</stp>
        <tr r="L802" s="1"/>
      </tp>
      <tp>
        <v>96</v>
        <stp/>
        <stp>VOLUME</stp>
        <stp>.XLK201120P119.5</stp>
        <tr r="F826" s="1"/>
      </tp>
      <tp>
        <v>251</v>
        <stp/>
        <stp>VOLUME</stp>
        <stp>.TLT201120P155.5</stp>
        <tr r="F693" s="1"/>
      </tp>
      <tp>
        <v>0.4</v>
        <stp/>
        <stp>LAST</stp>
        <stp>.VEA201120C44</stp>
        <tr r="E708" s="1"/>
      </tp>
      <tp>
        <v>1.28</v>
        <stp/>
        <stp>OPEN</stp>
        <stp>.XLE201120P34</stp>
        <tr r="L807" s="1"/>
      </tp>
      <tp>
        <v>0</v>
        <stp/>
        <stp>VOLUME</stp>
        <stp>.SMH201120P192.5</stp>
        <tr r="F553" s="1"/>
      </tp>
      <tp>
        <v>3</v>
        <stp/>
        <stp>OPEN</stp>
        <stp>.NAIL201120C46</stp>
        <tr r="L443" s="1"/>
      </tp>
      <tp>
        <v>2.48</v>
        <stp/>
        <stp>OPEN</stp>
        <stp>.NAIL201120C47</stp>
        <tr r="L445" s="1"/>
      </tp>
      <tp>
        <v>3.98</v>
        <stp/>
        <stp>OPEN</stp>
        <stp>.NAIL201120C44</stp>
        <tr r="L439" s="1"/>
      </tp>
      <tp>
        <v>3.1</v>
        <stp/>
        <stp>OPEN</stp>
        <stp>.NAIL201120C45</stp>
        <tr r="L441" s="1"/>
      </tp>
      <tp>
        <v>1.9</v>
        <stp/>
        <stp>OPEN</stp>
        <stp>.NAIL201120C48</stp>
        <tr r="L447" s="1"/>
      </tp>
      <tp>
        <v>1.85</v>
        <stp/>
        <stp>OPEN</stp>
        <stp>.NAIL201120C49</stp>
        <tr r="L449" s="1"/>
      </tp>
      <tp>
        <v>0.35</v>
        <stp/>
        <stp>BID</stp>
        <stp>.MJ201120C13</stp>
        <tr r="H424" s="1"/>
      </tp>
      <tp t="s">
        <v>N/A</v>
        <stp/>
        <stp>OPEN</stp>
        <stp>.IGIB201120C61</stp>
        <tr r="L262" s="1"/>
      </tp>
      <tp t="s">
        <v>N/A</v>
        <stp/>
        <stp>LAST</stp>
        <stp>.SPYV201120P33</stp>
        <tr r="E636" s="1"/>
      </tp>
      <tp t="s">
        <v>N/A</v>
        <stp/>
        <stp>INTRINSIC</stp>
        <stp>.GDXJ201120P52.5</stp>
        <tr r="R206" s="1"/>
      </tp>
      <tp t="s">
        <v>N/A</v>
        <stp/>
        <stp>INTRINSIC</stp>
        <stp>.GDXJ201120C52.5</stp>
        <tr r="R205" s="1"/>
      </tp>
      <tp t="s">
        <v>N/A</v>
        <stp/>
        <stp>OPEN</stp>
        <stp>.VCIT201120C96</stp>
        <tr r="L702" s="1"/>
      </tp>
      <tp t="s">
        <v>N/A</v>
        <stp/>
        <stp>LAST</stp>
        <stp>.SHYG201120P45</stp>
        <tr r="E550" s="1"/>
      </tp>
      <tp t="s">
        <v>N/A</v>
        <stp/>
        <stp>OPEN</stp>
        <stp>.VGIT201120C70</stp>
        <tr r="L719" s="1"/>
      </tp>
      <tp t="s">
        <v>N/A</v>
        <stp/>
        <stp>LAST</stp>
        <stp>.SPYG201120P53</stp>
        <tr r="E633" s="1"/>
      </tp>
      <tp t="s">
        <v>N/A</v>
        <stp/>
        <stp>LAST</stp>
        <stp>.SPYG201120P52</stp>
        <tr r="E631" s="1"/>
      </tp>
      <tp>
        <v>3.52</v>
        <stp/>
        <stp>OPEN</stp>
        <stp>.DRIP201120C45</stp>
        <tr r="L82" s="1"/>
      </tp>
      <tp t="s">
        <v>N/A</v>
        <stp/>
        <stp>EXTRINSIC</stp>
        <stp>.GDXJ201120C52.5</stp>
        <tr r="S205" s="1"/>
      </tp>
      <tp t="s">
        <v>N/A</v>
        <stp/>
        <stp>EXTRINSIC</stp>
        <stp>.GDXJ201120P52.5</stp>
        <tr r="S206" s="1"/>
      </tp>
      <tp t="s">
        <v>N/A</v>
        <stp/>
        <stp>EXTRINSIC</stp>
        <stp>.VGK201120C57</stp>
        <tr r="S722" s="1"/>
      </tp>
      <tp>
        <v>0</v>
        <stp/>
        <stp>OPEN_INT</stp>
        <stp>ACWI</stp>
        <tr r="G7" s="1"/>
      </tp>
      <tp>
        <v>0</v>
        <stp/>
        <stp>OPEN_INT</stp>
        <stp>ACWX</stp>
        <tr r="G12" s="1"/>
      </tp>
      <tp t="s">
        <v>N/A</v>
        <stp/>
        <stp>PROB_OTM</stp>
        <stp>ASHR</stp>
        <tr r="U43" s="1"/>
      </tp>
      <tp t="s">
        <v>N/A</v>
        <stp/>
        <stp>EXTRINSIC</stp>
        <stp>.ITB201120P55</stp>
        <tr r="S292" s="1"/>
      </tp>
      <tp t="s">
        <v>N/A</v>
        <stp/>
        <stp>EXTRINSIC</stp>
        <stp>.ITB201120P56</stp>
        <tr r="S296" s="1"/>
      </tp>
      <tp t="s">
        <v>40.96%</v>
        <stp/>
        <stp>IMPL_VOL</stp>
        <stp>KWEB</stp>
        <tr r="D397" s="1"/>
      </tp>
      <tp t="s">
        <v>N/A</v>
        <stp/>
        <stp>PROB_OTM</stp>
        <stp>USMV</stp>
        <tr r="U698" s="1"/>
      </tp>
      <tp t="s">
        <v>N/A</v>
        <stp/>
        <stp>INTRINSIC</stp>
        <stp>.PXH201120P20</stp>
        <tr r="R461" s="1"/>
      </tp>
      <tp t="s">
        <v>N/A</v>
        <stp/>
        <stp>INTRINSIC</stp>
        <stp>.PXH201120P19</stp>
        <tr r="R459" s="1"/>
      </tp>
      <tp t="s">
        <v>N/A</v>
        <stp/>
        <stp>EXTRINSIC</stp>
        <stp>.PGX201120C15</stp>
        <tr r="S455" s="1"/>
      </tp>
      <tp t="s">
        <v>N/A</v>
        <stp/>
        <stp>INTRINSIC</stp>
        <stp>.FXI201120P47</stp>
        <tr r="R190" s="1"/>
      </tp>
      <tp t="s">
        <v>N/A</v>
        <stp/>
        <stp>INTRINSIC</stp>
        <stp>.FXI201120P48</stp>
        <tr r="R194" s="1"/>
      </tp>
      <tp>
        <v>0</v>
        <stp/>
        <stp>OPEN_INT</stp>
        <stp>ICLN</stp>
        <tr r="G245" s="1"/>
      </tp>
      <tp>
        <v>0</v>
        <stp/>
        <stp>OPEN_INT</stp>
        <stp>VCLT</stp>
        <tr r="G704" s="1"/>
      </tp>
      <tp t="s">
        <v>N/A</v>
        <stp/>
        <stp>PROB_OF_EXPIRING</stp>
        <stp>.VCLT201120P107</stp>
        <tr r="T706" s="1"/>
      </tp>
      <tp t="s">
        <v>N/A</v>
        <stp/>
        <stp>PROB_OF_EXPIRING</stp>
        <stp>.VCLT201120C107</stp>
        <tr r="T705" s="1"/>
      </tp>
      <tp>
        <v>0</v>
        <stp/>
        <stp>OPEN_INT</stp>
        <stp>MCHI</stp>
        <tr r="G411" s="1"/>
      </tp>
      <tp>
        <v>0</v>
        <stp/>
        <stp>OPEN_INT</stp>
        <stp>SCHF</stp>
        <tr r="G528" s="1"/>
      </tp>
      <tp>
        <v>0</v>
        <stp/>
        <stp>OPEN_INT</stp>
        <stp>SCHE</stp>
        <tr r="G525" s="1"/>
      </tp>
      <tp>
        <v>0</v>
        <stp/>
        <stp>OPEN_INT</stp>
        <stp>SCHD</stp>
        <tr r="G520" s="1"/>
      </tp>
      <tp>
        <v>0</v>
        <stp/>
        <stp>OPEN_INT</stp>
        <stp>SCHP</stp>
        <tr r="G531" s="1"/>
      </tp>
      <tp>
        <v>0</v>
        <stp/>
        <stp>OPEN_INT</stp>
        <stp>VCIT</stp>
        <tr r="G701" s="1"/>
      </tp>
      <tp t="s">
        <v>N/A</v>
        <stp/>
        <stp>INTRINSIC</stp>
        <stp>.DXD201120P14</stp>
        <tr r="R93" s="1"/>
      </tp>
      <tp t="s">
        <v>N/A</v>
        <stp/>
        <stp>PUT_CALL_RATIO</stp>
        <stp>.INDA201120C36.5</stp>
        <tr r="C283" s="1"/>
      </tp>
      <tp t="s">
        <v>N/A</v>
        <stp/>
        <stp>PUT_CALL_RATIO</stp>
        <stp>.INDA201120P36.5</stp>
        <tr r="C284" s="1"/>
      </tp>
      <tp t="s">
        <v>N/A</v>
        <stp/>
        <stp>STRIKE</stp>
        <stp>.SMH201120P192.5</stp>
        <tr r="W553" s="1"/>
      </tp>
      <tp t="s">
        <v>N/A</v>
        <stp/>
        <stp>STRIKE</stp>
        <stp>.TLT201120P155.5</stp>
        <tr r="W693" s="1"/>
      </tp>
      <tp t="s">
        <v>N/A</v>
        <stp/>
        <stp>STRIKE</stp>
        <stp>.XLK201120P119.5</stp>
        <tr r="W826" s="1"/>
      </tp>
      <tp t="s">
        <v>N/A</v>
        <stp/>
        <stp>THETA</stp>
        <stp>.XLRE201120P37</stp>
        <tr r="O848" s="1"/>
      </tp>
      <tp t="s">
        <v>N/A</v>
        <stp/>
        <stp>DELTA</stp>
        <stp>.BKLN201120C22</stp>
        <tr r="M49" s="1"/>
      </tp>
      <tp t="s">
        <v>N/A</v>
        <stp/>
        <stp>DELTA</stp>
        <stp>.ICLN201120C22</stp>
        <tr r="M246" s="1"/>
      </tp>
      <tp t="s">
        <v>N/A</v>
        <stp/>
        <stp>VEGA</stp>
        <stp>.SSO201120C84</stp>
        <tr r="P655" s="1"/>
      </tp>
      <tp t="s">
        <v>N/A</v>
        <stp/>
        <stp>VEGA</stp>
        <stp>.SSO201120C81</stp>
        <tr r="P643" s="1"/>
      </tp>
      <tp t="s">
        <v>N/A</v>
        <stp/>
        <stp>VEGA</stp>
        <stp>.SSO201120C82</stp>
        <tr r="P647" s="1"/>
      </tp>
      <tp t="s">
        <v>N/A</v>
        <stp/>
        <stp>VEGA</stp>
        <stp>.SSO201120C83</stp>
        <tr r="P651" s="1"/>
      </tp>
      <tp t="s">
        <v>N/A</v>
        <stp/>
        <stp>THETA</stp>
        <stp>.DGRO201120P43</stp>
        <tr r="O61" s="1"/>
      </tp>
      <tp t="s">
        <v>N/A</v>
        <stp/>
        <stp>GAMMA</stp>
        <stp>.SCHD201120C61</stp>
        <tr r="N521" s="1"/>
      </tp>
      <tp t="s">
        <v>N/A</v>
        <stp/>
        <stp>GAMMA</stp>
        <stp>.SCHD201120C62</stp>
        <tr r="N523" s="1"/>
      </tp>
      <tp t="s">
        <v>N/A</v>
        <stp/>
        <stp>DELTA</stp>
        <stp>.SPLG201120C42</stp>
        <tr r="M585" s="1"/>
      </tp>
      <tp t="s">
        <v>N/A</v>
        <stp/>
        <stp>LAST</stp>
        <stp>.EFV201120C45</stp>
        <tr r="E109" s="1"/>
      </tp>
      <tp>
        <v>352.5</v>
        <stp/>
        <stp>STRIKE</stp>
        <stp>.SPY201120C352.5</stp>
        <tr r="W607" s="1"/>
      </tp>
      <tp t="s">
        <v>N/A</v>
        <stp/>
        <stp>DELTA</stp>
        <stp>.EMLC201120C32</stp>
        <tr r="M115" s="1"/>
      </tp>
      <tp t="s">
        <v>N/A</v>
        <stp/>
        <stp>GAMMA</stp>
        <stp>.MCHI201120C80</stp>
        <tr r="N412" s="1"/>
      </tp>
      <tp t="s">
        <v>N/A</v>
        <stp/>
        <stp>PUT_CALL_RATIO</stp>
        <stp>.JNK201120C106.5</stp>
        <tr r="C381" s="1"/>
      </tp>
      <tp t="s">
        <v>N/A</v>
        <stp/>
        <stp>GAMMA</stp>
        <stp>.SCHE201120C29</stp>
        <tr r="N526" s="1"/>
      </tp>
      <tp t="s">
        <v>N/A</v>
        <stp/>
        <stp>DELTA</stp>
        <stp>.HYLB201120C49</stp>
        <tr r="M226" s="1"/>
      </tp>
      <tp t="s">
        <v>N/A</v>
        <stp/>
        <stp>GAMMA</stp>
        <stp>.SPHD201120C36</stp>
        <tr r="N582" s="1"/>
      </tp>
      <tp t="s">
        <v>N/A</v>
        <stp/>
        <stp>OPEN</stp>
        <stp>.XOP201120P49</stp>
        <tr r="L899" s="1"/>
      </tp>
      <tp t="s">
        <v>N/A</v>
        <stp/>
        <stp>OPEN</stp>
        <stp>.XOP201120P48</stp>
        <tr r="L895" s="1"/>
      </tp>
      <tp t="s">
        <v>N/A</v>
        <stp/>
        <stp>OPEN</stp>
        <stp>.XOP201120P47</stp>
        <tr r="L891" s="1"/>
      </tp>
      <tp>
        <v>131</v>
        <stp/>
        <stp>VOLUME</stp>
        <stp>.TLT201120C156.5</stp>
        <tr r="F696" s="1"/>
      </tp>
      <tp t="s">
        <v>N/A</v>
        <stp/>
        <stp>GAMMA</stp>
        <stp>.SCHF201120C34</stp>
        <tr r="N529" s="1"/>
      </tp>
      <tp t="s">
        <v>N/A</v>
        <stp/>
        <stp>HIGH</stp>
        <stp>.EZU201120C42</stp>
        <tr r="J178" s="1"/>
      </tp>
      <tp t="s">
        <v>N/A</v>
        <stp/>
        <stp>HIGH</stp>
        <stp>.BZQ201120C12</stp>
        <tr r="J52" s="1"/>
      </tp>
      <tp t="s">
        <v>N/A</v>
        <stp/>
        <stp>LAST</stp>
        <stp>.VFH201120C66</stp>
        <tr r="E714" s="1"/>
      </tp>
      <tp t="s">
        <v>N/A</v>
        <stp/>
        <stp>LAST</stp>
        <stp>.VFH201120C67</stp>
        <tr r="E716" s="1"/>
      </tp>
      <tp t="s">
        <v>N/A</v>
        <stp/>
        <stp>STRIKE</stp>
        <stp>.TLT201120C155.5</stp>
        <tr r="W692" s="1"/>
      </tp>
      <tp t="s">
        <v>N/A</v>
        <stp/>
        <stp>STRIKE</stp>
        <stp>.XLK201120C119.5</stp>
        <tr r="W825" s="1"/>
      </tp>
      <tp t="s">
        <v>N/A</v>
        <stp/>
        <stp>STRIKE</stp>
        <stp>.SMH201120C192.5</stp>
        <tr r="W552" s="1"/>
      </tp>
      <tp t="s">
        <v>N/A</v>
        <stp/>
        <stp>DELTA</stp>
        <stp>.AMLP201120C24</stp>
        <tr r="M23" s="1"/>
      </tp>
      <tp t="s">
        <v>N/A</v>
        <stp/>
        <stp>DELTA</stp>
        <stp>.AMLP201120C23</stp>
        <tr r="M19" s="1"/>
      </tp>
      <tp>
        <v>352.5</v>
        <stp/>
        <stp>STRIKE</stp>
        <stp>.SPY201120P352.5</stp>
        <tr r="W608" s="1"/>
      </tp>
      <tp t="s">
        <v>N/A</v>
        <stp/>
        <stp>DELTA</stp>
        <stp>.SPLV201120C55</stp>
        <tr r="M588" s="1"/>
      </tp>
      <tp t="s">
        <v>N/A</v>
        <stp/>
        <stp>GAMMA</stp>
        <stp>.ASHR201120C38</stp>
        <tr r="N46" s="1"/>
      </tp>
      <tp t="s">
        <v>N/A</v>
        <stp/>
        <stp>VEGA</stp>
        <stp>.RSX201120C22</stp>
        <tr r="P513" s="1"/>
      </tp>
      <tp>
        <v>0.53</v>
        <stp/>
        <stp>LAST</stp>
        <stp>.EFA201120C69</stp>
        <tr r="E102" s="1"/>
      </tp>
      <tp t="s">
        <v>N/A</v>
        <stp/>
        <stp>GAMMA</stp>
        <stp>.SCHP201120C61</stp>
        <tr r="N532" s="1"/>
      </tp>
      <tp>
        <v>0.24</v>
        <stp/>
        <stp>LAST</stp>
        <stp>.EFA201120C70</stp>
        <tr r="E106" s="1"/>
      </tp>
      <tp>
        <v>247</v>
        <stp/>
        <stp>VOLUME</stp>
        <stp>.TLT201120P156.5</stp>
        <tr r="F697" s="1"/>
      </tp>
      <tp t="s">
        <v>N/A</v>
        <stp/>
        <stp>PUT_CALL_RATIO</stp>
        <stp>.JNK201120P106.5</stp>
        <tr r="C382" s="1"/>
      </tp>
      <tp>
        <v>0</v>
        <stp/>
        <stp>HIGH</stp>
        <stp>.USMV201120C67</stp>
        <tr r="J699" s="1"/>
      </tp>
      <tp t="s">
        <v>N/A</v>
        <stp/>
        <stp>LAST</stp>
        <stp>.VCIT201120C96</stp>
        <tr r="E702" s="1"/>
      </tp>
      <tp t="s">
        <v>N/A</v>
        <stp/>
        <stp>INTRINSIC</stp>
        <stp>.ASHR201120C37.5</stp>
        <tr r="R44" s="1"/>
      </tp>
      <tp t="s">
        <v>N/A</v>
        <stp/>
        <stp>INTRINSIC</stp>
        <stp>.ASHR201120P37.5</stp>
        <tr r="R45" s="1"/>
      </tp>
      <tp t="s">
        <v>N/A</v>
        <stp/>
        <stp>EXTRINSIC</stp>
        <stp>.ASHR201120P37.5</stp>
        <tr r="S45" s="1"/>
      </tp>
      <tp t="s">
        <v>N/A</v>
        <stp/>
        <stp>EXTRINSIC</stp>
        <stp>.ASHR201120C37.5</stp>
        <tr r="S44" s="1"/>
      </tp>
      <tp t="s">
        <v>N/A</v>
        <stp/>
        <stp>OPEN</stp>
        <stp>.SPYG201120P53</stp>
        <tr r="L633" s="1"/>
      </tp>
      <tp t="s">
        <v>N/A</v>
        <stp/>
        <stp>OPEN</stp>
        <stp>.SPYG201120P52</stp>
        <tr r="L631" s="1"/>
      </tp>
      <tp t="s">
        <v>N/A</v>
        <stp/>
        <stp>LAST</stp>
        <stp>.VGIT201120C70</stp>
        <tr r="E719" s="1"/>
      </tp>
      <tp t="s">
        <v>N/A</v>
        <stp/>
        <stp>OPEN</stp>
        <stp>.SHYG201120P45</stp>
        <tr r="L550" s="1"/>
      </tp>
      <tp>
        <v>4.7</v>
        <stp/>
        <stp>LAST</stp>
        <stp>.DRIP201120C45</stp>
        <tr r="E82" s="1"/>
      </tp>
      <tp>
        <v>2.5499999999999998</v>
        <stp/>
        <stp>LAST</stp>
        <stp>.NAIL201120C44</stp>
        <tr r="E439" s="1"/>
      </tp>
      <tp>
        <v>2</v>
        <stp/>
        <stp>LAST</stp>
        <stp>.NAIL201120C45</stp>
        <tr r="E441" s="1"/>
      </tp>
      <tp>
        <v>1.65</v>
        <stp/>
        <stp>LAST</stp>
        <stp>.NAIL201120C46</stp>
        <tr r="E443" s="1"/>
      </tp>
      <tp>
        <v>1.5</v>
        <stp/>
        <stp>LAST</stp>
        <stp>.NAIL201120C47</stp>
        <tr r="E445" s="1"/>
      </tp>
      <tp>
        <v>1.18</v>
        <stp/>
        <stp>LAST</stp>
        <stp>.NAIL201120C48</stp>
        <tr r="E447" s="1"/>
      </tp>
      <tp>
        <v>1</v>
        <stp/>
        <stp>LAST</stp>
        <stp>.NAIL201120C49</stp>
        <tr r="E449" s="1"/>
      </tp>
      <tp>
        <v>0</v>
        <stp/>
        <stp>HIGH</stp>
        <stp>.IEMG201120C57</stp>
        <tr r="J257" s="1"/>
      </tp>
      <tp>
        <v>0.35</v>
        <stp/>
        <stp>HIGH</stp>
        <stp>.IEMG201120C58</stp>
        <tr r="J259" s="1"/>
      </tp>
      <tp t="s">
        <v>N/A</v>
        <stp/>
        <stp>VEGA</stp>
        <stp>.GUSH201120C28</stp>
        <tr r="P218" s="1"/>
      </tp>
      <tp t="s">
        <v>N/A</v>
        <stp/>
        <stp>VEGA</stp>
        <stp>.GUSH201120C27</stp>
        <tr r="P216" s="1"/>
      </tp>
      <tp t="s">
        <v>N/A</v>
        <stp/>
        <stp>VEGA</stp>
        <stp>.GUSH201120C26</stp>
        <tr r="P214" s="1"/>
      </tp>
      <tp t="s">
        <v>N/A</v>
        <stp/>
        <stp>LAST</stp>
        <stp>.IGIB201120C61</stp>
        <tr r="E262" s="1"/>
      </tp>
      <tp t="s">
        <v>N/A</v>
        <stp/>
        <stp>OPEN</stp>
        <stp>.SPYV201120P33</stp>
        <tr r="L636" s="1"/>
      </tp>
      <tp t="s">
        <v>N/A</v>
        <stp/>
        <stp>EXTRINSIC</stp>
        <stp>.EWJ201120P63</stp>
        <tr r="S137" s="1"/>
      </tp>
      <tp t="s">
        <v>N/A</v>
        <stp/>
        <stp>EXTRINSIC</stp>
        <stp>.EWJ201120P64</stp>
        <tr r="S141" s="1"/>
      </tp>
      <tp t="s">
        <v>23.40%</v>
        <stp/>
        <stp>IMPL_VOL</stp>
        <stp>ITOT</stp>
        <tr r="D297" s="1"/>
      </tp>
      <tp t="s">
        <v>N/A</v>
        <stp/>
        <stp>EXTRINSIC</stp>
        <stp>.DIA201120C292.5</stp>
        <tr r="S67" s="1"/>
      </tp>
      <tp t="s">
        <v>N/A</v>
        <stp/>
        <stp>EXTRINSIC</stp>
        <stp>.RWM201120P29</stp>
        <tr r="S519" s="1"/>
      </tp>
      <tp t="s">
        <v>N/A</v>
        <stp/>
        <stp>PROB_OF_TOUCHING</stp>
        <stp>HYLB</stp>
        <tr r="V225" s="1"/>
      </tp>
      <tp t="s">
        <v>N/A</v>
        <stp/>
        <stp>EXTRINSIC</stp>
        <stp>LQD</stp>
        <tr r="S404" s="1"/>
      </tp>
      <tp t="s">
        <v>N/A</v>
        <stp/>
        <stp>INTRINSIC</stp>
        <stp>LQD</stp>
        <tr r="R404" s="1"/>
      </tp>
      <tp t="s">
        <v>N/A</v>
        <stp/>
        <stp>EXTRINSIC</stp>
        <stp>.EWL201120P43</stp>
        <tr r="S144" s="1"/>
      </tp>
      <tp t="s">
        <v>N/A</v>
        <stp/>
        <stp>PROB_OTM</stp>
        <stp>SPDW</stp>
        <tr r="U578" s="1"/>
      </tp>
      <tp t="s">
        <v>N/A</v>
        <stp/>
        <stp>EXTRINSIC</stp>
        <stp>.VWO201120P47</stp>
        <tr r="S752" s="1"/>
      </tp>
      <tp t="s">
        <v>N/A</v>
        <stp/>
        <stp>EXTRINSIC</stp>
        <stp>.EWI201120P27</stp>
        <tr r="S134" s="1"/>
      </tp>
      <tp t="s">
        <v>N/A</v>
        <stp/>
        <stp>EXTRINSIC</stp>
        <stp>.EWH201120P24</stp>
        <tr r="S131" s="1"/>
      </tp>
      <tp t="s">
        <v>N/A</v>
        <stp/>
        <stp>EXTRINSIC</stp>
        <stp>.EWG201120P30</stp>
        <tr r="S128" s="1"/>
      </tp>
      <tp t="s">
        <v>N/A</v>
        <stp/>
        <stp>PROB_OTM</stp>
        <stp>SPHD</stp>
        <tr r="U581" s="1"/>
      </tp>
      <tp t="s">
        <v>N/A</v>
        <stp/>
        <stp>EXTRINSIC</stp>
        <stp>.EWC201120P29</stp>
        <tr r="S125" s="1"/>
      </tp>
      <tp t="s">
        <v>N/A</v>
        <stp/>
        <stp>PROB_OTM</stp>
        <stp>SPLV</stp>
        <tr r="U587" s="1"/>
      </tp>
      <tp t="s">
        <v>N/A</v>
        <stp/>
        <stp>PROB_OTM</stp>
        <stp>SPLG</stp>
        <tr r="U584" s="1"/>
      </tp>
      <tp t="s">
        <v>N/A</v>
        <stp/>
        <stp>INTRINSIC</stp>
        <stp>.DIA201120C292.5</stp>
        <tr r="R67" s="1"/>
      </tp>
      <tp t="s">
        <v>N/A</v>
        <stp/>
        <stp>EXTRINSIC</stp>
        <stp>.EWA201120P22</stp>
        <tr r="S122" s="1"/>
      </tp>
      <tp t="s">
        <v>N/A</v>
        <stp/>
        <stp>PROB_OF_EXPIRING</stp>
        <stp>.ARKW201120P117</stp>
        <tr r="T38" s="1"/>
      </tp>
      <tp t="s">
        <v>N/A</v>
        <stp/>
        <stp>PROB_OF_EXPIRING</stp>
        <stp>.ARKW201120C117</stp>
        <tr r="T37" s="1"/>
      </tp>
      <tp t="s">
        <v>N/A</v>
        <stp/>
        <stp>PROB_OF_EXPIRING</stp>
        <stp>.ARKW201120P116</stp>
        <tr r="T36" s="1"/>
      </tp>
      <tp t="s">
        <v>N/A</v>
        <stp/>
        <stp>PROB_OF_EXPIRING</stp>
        <stp>.ARKW201120C116</stp>
        <tr r="T35" s="1"/>
      </tp>
      <tp t="s">
        <v>N/A</v>
        <stp/>
        <stp>PROB_OF_EXPIRING</stp>
        <stp>.ARKW201120P119</stp>
        <tr r="T42" s="1"/>
      </tp>
      <tp t="s">
        <v>N/A</v>
        <stp/>
        <stp>PROB_OF_EXPIRING</stp>
        <stp>.ARKW201120C119</stp>
        <tr r="T41" s="1"/>
      </tp>
      <tp t="s">
        <v>N/A</v>
        <stp/>
        <stp>PROB_OF_EXPIRING</stp>
        <stp>.ARKW201120P118</stp>
        <tr r="T40" s="1"/>
      </tp>
      <tp t="s">
        <v>N/A</v>
        <stp/>
        <stp>PROB_OF_EXPIRING</stp>
        <stp>.ARKW201120C118</stp>
        <tr r="T39" s="1"/>
      </tp>
      <tp t="s">
        <v>N/A</v>
        <stp/>
        <stp>EXTRINSIC</stp>
        <stp>.DIA201120P292.5</stp>
        <tr r="S68" s="1"/>
      </tp>
      <tp t="s">
        <v>N/A</v>
        <stp/>
        <stp>EXTRINSIC</stp>
        <stp>.EWY201120P72</stp>
        <tr r="S165" s="1"/>
      </tp>
      <tp t="s">
        <v>N/A</v>
        <stp/>
        <stp>EXTRINSIC</stp>
        <stp>.EWY201120P73</stp>
        <tr r="S169" s="1"/>
      </tp>
      <tp t="s">
        <v>N/A</v>
        <stp/>
        <stp>EXTRINSIC</stp>
        <stp>.EWZ201120P32</stp>
        <tr r="S176" s="1"/>
      </tp>
      <tp t="s">
        <v>N/A</v>
        <stp/>
        <stp>EXTRINSIC</stp>
        <stp>.GDX201120C37</stp>
        <tr r="S198" s="1"/>
      </tp>
      <tp t="s">
        <v>N/A</v>
        <stp/>
        <stp>GAMMA</stp>
        <stp>.MJ201120P13</stp>
        <tr r="N425" s="1"/>
      </tp>
      <tp t="s">
        <v>N/A</v>
        <stp/>
        <stp>PROB_OTM</stp>
        <stp>SPYV</stp>
        <tr r="U634" s="1"/>
      </tp>
      <tp t="s">
        <v>N/A</v>
        <stp/>
        <stp>PROB_OTM</stp>
        <stp>SPYG</stp>
        <tr r="U629" s="1"/>
      </tp>
      <tp t="s">
        <v>N/A</v>
        <stp/>
        <stp>EXTRINSIC</stp>
        <stp>.EWW201120P39</stp>
        <tr r="S158" s="1"/>
      </tp>
      <tp t="s">
        <v>28.15%</v>
        <stp/>
        <stp>IMPL_VOL</stp>
        <stp>MTUM</stp>
        <tr r="D426" s="1"/>
      </tp>
      <tp t="s">
        <v>N/A</v>
        <stp/>
        <stp>INTRINSIC</stp>
        <stp>.XHB201120C55</stp>
        <tr r="R781" s="1"/>
      </tp>
      <tp t="s">
        <v>N/A</v>
        <stp/>
        <stp>INTRINSIC</stp>
        <stp>.XHB201120C56</stp>
        <tr r="R785" s="1"/>
      </tp>
      <tp t="s">
        <v>N/A</v>
        <stp/>
        <stp>EXTRINSIC</stp>
        <stp>.EWT201120P48</stp>
        <tr r="S150" s="1"/>
      </tp>
      <tp t="s">
        <v>N/A</v>
        <stp/>
        <stp>INTRINSIC</stp>
        <stp>.DIA201120P292.5</stp>
        <tr r="R68" s="1"/>
      </tp>
      <tp t="s">
        <v>N/A</v>
        <stp/>
        <stp>EXTRINSIC</stp>
        <stp>.SDS201120C14</stp>
        <tr r="S540" s="1"/>
      </tp>
      <tp t="s">
        <v>N/A</v>
        <stp/>
        <stp>EXTRINSIC</stp>
        <stp>.EWP201120P26</stp>
        <tr r="S147" s="1"/>
      </tp>
      <tp t="s">
        <v>N/A</v>
        <stp/>
        <stp>VEGA</stp>
        <stp>.KRE201120C46</stp>
        <tr r="P389" s="1"/>
      </tp>
      <tp t="s">
        <v>N/A</v>
        <stp/>
        <stp>VEGA</stp>
        <stp>.KRE201120C47</stp>
        <tr r="P393" s="1"/>
      </tp>
      <tp t="s">
        <v>N/A</v>
        <stp/>
        <stp>OPEN</stp>
        <stp>.VNQ201120P85</stp>
        <tr r="L728" s="1"/>
      </tp>
      <tp t="s">
        <v>N/A</v>
        <stp/>
        <stp>OPEN</stp>
        <stp>.VNQ201120P84</stp>
        <tr r="L726" s="1"/>
      </tp>
      <tp t="s">
        <v>N/A</v>
        <stp/>
        <stp>LAST</stp>
        <stp>.PGX201120C15</stp>
        <tr r="E455" s="1"/>
      </tp>
      <tp>
        <v>154</v>
        <stp/>
        <stp>VOLUME</stp>
        <stp>.QQQ201120P292.5</stp>
        <tr r="F493" s="1"/>
      </tp>
      <tp t="s">
        <v>N/A</v>
        <stp/>
        <stp>GAMMA</stp>
        <stp>.NAIL201120C44</stp>
        <tr r="N439" s="1"/>
      </tp>
      <tp t="s">
        <v>N/A</v>
        <stp/>
        <stp>GAMMA</stp>
        <stp>.NAIL201120C45</stp>
        <tr r="N441" s="1"/>
      </tp>
      <tp t="s">
        <v>N/A</v>
        <stp/>
        <stp>GAMMA</stp>
        <stp>.NAIL201120C46</stp>
        <tr r="N443" s="1"/>
      </tp>
      <tp t="s">
        <v>N/A</v>
        <stp/>
        <stp>GAMMA</stp>
        <stp>.NAIL201120C47</stp>
        <tr r="N445" s="1"/>
      </tp>
      <tp t="s">
        <v>N/A</v>
        <stp/>
        <stp>GAMMA</stp>
        <stp>.NAIL201120C48</stp>
        <tr r="N447" s="1"/>
      </tp>
      <tp t="s">
        <v>N/A</v>
        <stp/>
        <stp>GAMMA</stp>
        <stp>.NAIL201120C49</stp>
        <tr r="N449" s="1"/>
      </tp>
      <tp t="s">
        <v>N/A</v>
        <stp/>
        <stp>STRIKE</stp>
        <stp>.SMH201120P193.5</stp>
        <tr r="W557" s="1"/>
      </tp>
      <tp t="s">
        <v>N/A</v>
        <stp/>
        <stp>DELTA</stp>
        <stp>.IEMG201120C58</stp>
        <tr r="M259" s="1"/>
      </tp>
      <tp t="s">
        <v>N/A</v>
        <stp/>
        <stp>DELTA</stp>
        <stp>.IEMG201120C57</stp>
        <tr r="M257" s="1"/>
      </tp>
      <tp t="s">
        <v>N/A</v>
        <stp/>
        <stp>VEGA</stp>
        <stp>.TAN201120P74</stp>
        <tr r="P667" s="1"/>
      </tp>
      <tp t="s">
        <v>N/A</v>
        <stp/>
        <stp>VEGA</stp>
        <stp>.TAN201120P75</stp>
        <tr r="P671" s="1"/>
      </tp>
      <tp t="s">
        <v>N/A</v>
        <stp/>
        <stp>VEGA</stp>
        <stp>.TAN201120P76</stp>
        <tr r="P675" s="1"/>
      </tp>
      <tp t="s">
        <v>N/A</v>
        <stp/>
        <stp>VEGA</stp>
        <stp>.TAN201120P77</stp>
        <tr r="P679" s="1"/>
      </tp>
      <tp t="s">
        <v>N/A</v>
        <stp/>
        <stp>VEGA</stp>
        <stp>.TAN201120P73</stp>
        <tr r="P663" s="1"/>
      </tp>
      <tp t="s">
        <v>N/A</v>
        <stp/>
        <stp>THETA</stp>
        <stp>.GUSH201120P26</stp>
        <tr r="O215" s="1"/>
      </tp>
      <tp t="s">
        <v>N/A</v>
        <stp/>
        <stp>THETA</stp>
        <stp>.GUSH201120P27</stp>
        <tr r="O217" s="1"/>
      </tp>
      <tp t="s">
        <v>N/A</v>
        <stp/>
        <stp>THETA</stp>
        <stp>.GUSH201120P28</stp>
        <tr r="O219" s="1"/>
      </tp>
      <tp t="s">
        <v>N/A</v>
        <stp/>
        <stp>GAMMA</stp>
        <stp>.IGIB201120C61</stp>
        <tr r="N262" s="1"/>
      </tp>
      <tp>
        <v>1284</v>
        <stp/>
        <stp>VOLUME</stp>
        <stp>.QQQ201120C292.5</stp>
        <tr r="F492" s="1"/>
      </tp>
      <tp t="s">
        <v>N/A</v>
        <stp/>
        <stp>VEGA</stp>
        <stp>.XRT201120C54</stp>
        <tr r="P903" s="1"/>
      </tp>
      <tp t="s">
        <v>N/A</v>
        <stp/>
        <stp>VEGA</stp>
        <stp>.XRT201120C55</stp>
        <tr r="P907" s="1"/>
      </tp>
      <tp t="s">
        <v>N/A</v>
        <stp/>
        <stp>LAST</stp>
        <stp>.VGK201120C57</stp>
        <tr r="E722" s="1"/>
      </tp>
      <tp t="s">
        <v>N/A</v>
        <stp/>
        <stp>GAMMA</stp>
        <stp>.VCIT201120C96</stp>
        <tr r="N702" s="1"/>
      </tp>
      <tp t="s">
        <v>N/A</v>
        <stp/>
        <stp>STRIKE</stp>
        <stp>.SMH201120C193.5</stp>
        <tr r="W556" s="1"/>
      </tp>
      <tp t="s">
        <v>N/A</v>
        <stp/>
        <stp>GAMMA</stp>
        <stp>.VGIT201120C70</stp>
        <tr r="N719" s="1"/>
      </tp>
      <tp>
        <v>1.29</v>
        <stp/>
        <stp>HIGH</stp>
        <stp>.XHB201120P55</stp>
        <tr r="J782" s="1"/>
      </tp>
      <tp>
        <v>1.1399999999999999</v>
        <stp/>
        <stp>HIGH</stp>
        <stp>.XHB201120P56</stp>
        <tr r="J786" s="1"/>
      </tp>
      <tp t="s">
        <v>N/A</v>
        <stp/>
        <stp>DELTA</stp>
        <stp>.USMV201120C67</stp>
        <tr r="M699" s="1"/>
      </tp>
      <tp t="s">
        <v>N/A</v>
        <stp/>
        <stp>LAST</stp>
        <stp>.ITB201120P55</stp>
        <tr r="E292" s="1"/>
      </tp>
      <tp t="s">
        <v>N/A</v>
        <stp/>
        <stp>LAST</stp>
        <stp>.ITB201120P56</stp>
        <tr r="E296" s="1"/>
      </tp>
      <tp t="s">
        <v>N/A</v>
        <stp/>
        <stp>GAMMA</stp>
        <stp>.DRIP201120C45</stp>
        <tr r="N82" s="1"/>
      </tp>
      <tp t="s">
        <v>N/A</v>
        <stp/>
        <stp>HIGH</stp>
        <stp>.SPLV201120C55</stp>
        <tr r="J588" s="1"/>
      </tp>
      <tp t="s">
        <v>N/A</v>
        <stp/>
        <stp>HIGH</stp>
        <stp>.AMLP201120C24</stp>
        <tr r="J23" s="1"/>
      </tp>
      <tp t="s">
        <v>N/A</v>
        <stp/>
        <stp>HIGH</stp>
        <stp>.AMLP201120C23</stp>
        <tr r="J19" s="1"/>
      </tp>
      <tp>
        <v>1.1599999999999999</v>
        <stp/>
        <stp>OPEN</stp>
        <stp>.GDXJ201120P53</stp>
        <tr r="L208" s="1"/>
      </tp>
      <tp>
        <v>0.83</v>
        <stp/>
        <stp>OPEN</stp>
        <stp>.GDXJ201120P52</stp>
        <tr r="L204" s="1"/>
      </tp>
      <tp>
        <v>1.63</v>
        <stp/>
        <stp>OPEN</stp>
        <stp>.GDXJ201120P54</stp>
        <tr r="L212" s="1"/>
      </tp>
      <tp>
        <v>0.38</v>
        <stp/>
        <stp>LAST</stp>
        <stp>.ASHR201120C38</stp>
        <tr r="E46" s="1"/>
      </tp>
      <tp>
        <v>2.38</v>
        <stp/>
        <stp>OPEN</stp>
        <stp>.ARKK201120C99</stp>
        <tr r="L30" s="1"/>
      </tp>
      <tp>
        <v>2.81</v>
        <stp/>
        <stp>OPEN</stp>
        <stp>.ARKK201120C98</stp>
        <tr r="L28" s="1"/>
      </tp>
      <tp>
        <v>0</v>
        <stp/>
        <stp>OPEN</stp>
        <stp>.AAXJ201120P84</stp>
        <tr r="L6" s="1"/>
      </tp>
      <tp>
        <v>4.0999999999999996</v>
        <stp/>
        <stp>OPEN</stp>
        <stp>.ARKK201120C97</stp>
        <tr r="L26" s="1"/>
      </tp>
      <tp t="s">
        <v>N/A</v>
        <stp/>
        <stp>OPEN</stp>
        <stp>.AAXJ201120P83</stp>
        <tr r="L4" s="1"/>
      </tp>
      <tp>
        <v>0.9</v>
        <stp/>
        <stp>LAST</stp>
        <stp>.SCHP201120C61</stp>
        <tr r="E532" s="1"/>
      </tp>
      <tp>
        <v>0</v>
        <stp/>
        <stp>HIGH</stp>
        <stp>.EMLC201120C32</stp>
        <tr r="J115" s="1"/>
      </tp>
      <tp t="s">
        <v>N/A</v>
        <stp/>
        <stp>HIGH</stp>
        <stp>.SPLG201120C42</stp>
        <tr r="J585" s="1"/>
      </tp>
      <tp t="s">
        <v>N/A</v>
        <stp/>
        <stp>VEGA</stp>
        <stp>.DGRO201120C43</stp>
        <tr r="P60" s="1"/>
      </tp>
      <tp t="s">
        <v>N/A</v>
        <stp/>
        <stp>HIGH</stp>
        <stp>.HYLB201120C49</stp>
        <tr r="J226" s="1"/>
      </tp>
      <tp>
        <v>0</v>
        <stp/>
        <stp>LAST</stp>
        <stp>.MCHI201120C80</stp>
        <tr r="E412" s="1"/>
      </tp>
      <tp t="s">
        <v>N/A</v>
        <stp/>
        <stp>DESCRIPTION</stp>
        <stp>.VT201120P86</stp>
        <tr r="B736" s="1"/>
      </tp>
      <tp t="s">
        <v>N/A</v>
        <stp/>
        <stp>DESCRIPTION</stp>
        <stp>.VT201120P87</stp>
        <tr r="B738" s="1"/>
      </tp>
      <tp t="s">
        <v>N/A</v>
        <stp/>
        <stp>VEGA</stp>
        <stp>.XLRE201120C37</stp>
        <tr r="P847" s="1"/>
      </tp>
      <tp t="s">
        <v>N/A</v>
        <stp/>
        <stp>LAST</stp>
        <stp>.SCHD201120C61</stp>
        <tr r="E521" s="1"/>
      </tp>
      <tp t="s">
        <v>N/A</v>
        <stp/>
        <stp>LAST</stp>
        <stp>.SCHD201120C62</stp>
        <tr r="E523" s="1"/>
      </tp>
      <tp t="s">
        <v>N/A</v>
        <stp/>
        <stp>LAST</stp>
        <stp>.SCHF201120C34</stp>
        <tr r="E529" s="1"/>
      </tp>
      <tp t="s">
        <v>N/A</v>
        <stp/>
        <stp>HIGH</stp>
        <stp>.ICLN201120C22</stp>
        <tr r="J246" s="1"/>
      </tp>
      <tp t="s">
        <v>N/A</v>
        <stp/>
        <stp>HIGH</stp>
        <stp>.BKLN201120C22</stp>
        <tr r="J49" s="1"/>
      </tp>
      <tp t="s">
        <v>N/A</v>
        <stp/>
        <stp>LAST</stp>
        <stp>.SCHE201120C29</stp>
        <tr r="E526" s="1"/>
      </tp>
      <tp t="s">
        <v>N/A</v>
        <stp/>
        <stp>LAST</stp>
        <stp>.SPHD201120C36</stp>
        <tr r="E582" s="1"/>
      </tp>
      <tp t="s">
        <v>N/A</v>
        <stp/>
        <stp>EXTRINSIC</stp>
        <stp>MUB</stp>
        <tr r="S435" s="1"/>
      </tp>
      <tp t="s">
        <v>N/A</v>
        <stp/>
        <stp>INTRINSIC</stp>
        <stp>MUB</stp>
        <tr r="R435" s="1"/>
      </tp>
      <tp t="s">
        <v>N/A</v>
        <stp/>
        <stp>EXTRINSIC</stp>
        <stp>.EEM201120C48</stp>
        <tr r="S97" s="1"/>
      </tp>
      <tp t="s">
        <v>N/A</v>
        <stp/>
        <stp>EXTRINSIC</stp>
        <stp>.VEA201120C44</stp>
        <tr r="S708" s="1"/>
      </tp>
      <tp t="s">
        <v>37.02%</v>
        <stp/>
        <stp>IMPL_VOL</stp>
        <stp>EUFN</stp>
        <tr r="D117" s="1"/>
      </tp>
      <tp t="s">
        <v>N/A</v>
        <stp/>
        <stp>INTRINSIC</stp>
        <stp>.EZU201120P42</stp>
        <tr r="R179" s="1"/>
      </tp>
      <tp t="s">
        <v>N/A</v>
        <stp/>
        <stp>EXTRINSIC</stp>
        <stp>.FVD201120P35</stp>
        <tr r="S187" s="1"/>
      </tp>
      <tp t="s">
        <v>N/A</v>
        <stp/>
        <stp>INTRINSIC</stp>
        <stp>.BZQ201120P12</stp>
        <tr r="R53" s="1"/>
      </tp>
      <tp>
        <v>0</v>
        <stp/>
        <stp>OPEN_INT</stp>
        <stp>AAXJ</stp>
        <tr r="G2" s="1"/>
      </tp>
      <tp t="s">
        <v>40.93%</v>
        <stp/>
        <stp>IMPL_VOL</stp>
        <stp>QUAL</stp>
        <tr r="D498" s="1"/>
      </tp>
      <tp t="s">
        <v>N/A</v>
        <stp/>
        <stp>INTRINSIC</stp>
        <stp>MDY</stp>
        <tr r="R414" s="1"/>
      </tp>
      <tp t="s">
        <v>N/A</v>
        <stp/>
        <stp>EXTRINSIC</stp>
        <stp>MDY</stp>
        <tr r="S414" s="1"/>
      </tp>
      <tp t="s">
        <v>N/A</v>
        <stp/>
        <stp>EXTRINSIC</stp>
        <stp>.FEZ201120C40</stp>
        <tr r="S183" s="1"/>
      </tp>
      <tp t="s">
        <v>N/A</v>
        <stp/>
        <stp>PROB_OF_TOUCHING</stp>
        <stp>IXUS</stp>
        <tr r="V360" s="1"/>
      </tp>
      <tp t="s">
        <v>N/A</v>
        <stp/>
        <stp>PROB_OF_TOUCHING</stp>
        <stp>VXUS</stp>
        <tr r="V753" s="1"/>
      </tp>
      <tp t="s">
        <v>N/A</v>
        <stp/>
        <stp>EXTRINSIC</stp>
        <stp>.DVY201120P91</stp>
        <tr r="S86" s="1"/>
      </tp>
      <tp t="s">
        <v>N/A</v>
        <stp/>
        <stp>EXTRINSIC</stp>
        <stp>.DVY201120P92</stp>
        <tr r="S88" s="1"/>
      </tp>
      <tp t="s">
        <v>N/A</v>
        <stp/>
        <stp>EXTRINSIC</stp>
        <stp>.DVY201120P93</stp>
        <tr r="S90" s="1"/>
      </tp>
      <tp t="s">
        <v>N/A</v>
        <stp/>
        <stp>EXTRINSIC</stp>
        <stp>.VEU201120C55</stp>
        <tr r="S711" s="1"/>
      </tp>
      <tp t="s">
        <v>114.08%</v>
        <stp/>
        <stp>IMPL_VOL</stp>
        <stp>GUSH</stp>
        <tr r="D213" s="1"/>
      </tp>
      <tp>
        <v>0</v>
        <stp/>
        <stp>OPEN_INT</stp>
        <stp>NAIL</stp>
        <tr r="G438" s="1"/>
      </tp>
      <tp>
        <v>0.28999999999999998</v>
        <stp/>
        <stp>LAST</stp>
        <stp>.RSX201120P22</stp>
        <tr r="E514" s="1"/>
      </tp>
      <tp>
        <v>840</v>
        <stp/>
        <stp>VOLUME</stp>
        <stp>.SPY201120P357.5</stp>
        <tr r="F620" s="1"/>
      </tp>
      <tp t="s">
        <v>N/A</v>
        <stp/>
        <stp>STRIKE</stp>
        <stp>.IVW201120P61.25</stp>
        <tr r="W332" s="1"/>
      </tp>
      <tp t="s">
        <v>N/A</v>
        <stp/>
        <stp>STRIKE</stp>
        <stp>.SMH201120P194.5</stp>
        <tr r="W561" s="1"/>
      </tp>
      <tp t="s">
        <v>N/A</v>
        <stp/>
        <stp>PUT_CALL_RATIO</stp>
        <stp>.MDY201120C387.5</stp>
        <tr r="C421" s="1"/>
      </tp>
      <tp t="s">
        <v>N/A</v>
        <stp/>
        <stp>VEGA</stp>
        <stp>.EFA201120P69</stp>
        <tr r="P103" s="1"/>
      </tp>
      <tp t="s">
        <v>N/A</v>
        <stp/>
        <stp>VEGA</stp>
        <stp>.EFA201120P70</stp>
        <tr r="P107" s="1"/>
      </tp>
      <tp t="s">
        <v>N/A</v>
        <stp/>
        <stp>DELTA</stp>
        <stp>.SPYG201120P52</stp>
        <tr r="M631" s="1"/>
      </tp>
      <tp t="s">
        <v>N/A</v>
        <stp/>
        <stp>DELTA</stp>
        <stp>.SPYG201120P53</stp>
        <tr r="M633" s="1"/>
      </tp>
      <tp t="s">
        <v>N/A</v>
        <stp/>
        <stp>OPEN</stp>
        <stp>.BZQ201120C12</stp>
        <tr r="L52" s="1"/>
      </tp>
      <tp t="s">
        <v>N/A</v>
        <stp/>
        <stp>DELTA</stp>
        <stp>.SHYG201120P45</stp>
        <tr r="M550" s="1"/>
      </tp>
      <tp t="s">
        <v>N/A</v>
        <stp/>
        <stp>OPEN</stp>
        <stp>.EZU201120C42</stp>
        <tr r="L178" s="1"/>
      </tp>
      <tp t="s">
        <v>N/A</v>
        <stp/>
        <stp>HIGH</stp>
        <stp>.XOP201120P47</stp>
        <tr r="J891" s="1"/>
      </tp>
      <tp t="s">
        <v>N/A</v>
        <stp/>
        <stp>HIGH</stp>
        <stp>.XOP201120P48</stp>
        <tr r="J895" s="1"/>
      </tp>
      <tp t="s">
        <v>N/A</v>
        <stp/>
        <stp>HIGH</stp>
        <stp>.XOP201120P49</stp>
        <tr r="J899" s="1"/>
      </tp>
      <tp>
        <v>39</v>
        <stp/>
        <stp>VOLUME</stp>
        <stp>.SMH201120C197.5</stp>
        <tr r="F572" s="1"/>
      </tp>
      <tp t="s">
        <v>N/A</v>
        <stp/>
        <stp>VEGA</stp>
        <stp>.VFH201120P66</stp>
        <tr r="P715" s="1"/>
      </tp>
      <tp t="s">
        <v>N/A</v>
        <stp/>
        <stp>VEGA</stp>
        <stp>.VFH201120P67</stp>
        <tr r="P717" s="1"/>
      </tp>
      <tp t="s">
        <v>N/A</v>
        <stp/>
        <stp>STRIKE</stp>
        <stp>.IVW201120C61.25</stp>
        <tr r="W331" s="1"/>
      </tp>
      <tp>
        <v>3054</v>
        <stp/>
        <stp>VOLUME</stp>
        <stp>.SPY201120C357.5</stp>
        <tr r="F619" s="1"/>
      </tp>
      <tp t="s">
        <v>N/A</v>
        <stp/>
        <stp>THETA</stp>
        <stp>.JETS201120P20</stp>
        <tr r="O379" s="1"/>
      </tp>
      <tp t="s">
        <v>N/A</v>
        <stp/>
        <stp>VEGA</stp>
        <stp>.EFV201120P45</stp>
        <tr r="P110" s="1"/>
      </tp>
      <tp t="s">
        <v>N/A</v>
        <stp/>
        <stp>PUT_CALL_RATIO</stp>
        <stp>.MDY201120P387.5</stp>
        <tr r="C422" s="1"/>
      </tp>
      <tp t="s">
        <v>N/A</v>
        <stp/>
        <stp>STRIKE</stp>
        <stp>.SMH201120C194.5</stp>
        <tr r="W560" s="1"/>
      </tp>
      <tp>
        <v>2.1</v>
        <stp/>
        <stp>LAST</stp>
        <stp>.SSO201120P81</stp>
        <tr r="E644" s="1"/>
      </tp>
      <tp t="s">
        <v>N/A</v>
        <stp/>
        <stp>LAST</stp>
        <stp>.SSO201120P82</stp>
        <tr r="E648" s="1"/>
      </tp>
      <tp t="s">
        <v>N/A</v>
        <stp/>
        <stp>LAST</stp>
        <stp>.SSO201120P83</stp>
        <tr r="E652" s="1"/>
      </tp>
      <tp>
        <v>4.2699999999999996</v>
        <stp/>
        <stp>LAST</stp>
        <stp>.SSO201120P84</stp>
        <tr r="E656" s="1"/>
      </tp>
      <tp>
        <v>46</v>
        <stp/>
        <stp>VOLUME</stp>
        <stp>.SMH201120P197.5</stp>
        <tr r="F573" s="1"/>
      </tp>
      <tp t="s">
        <v>N/A</v>
        <stp/>
        <stp>DELTA</stp>
        <stp>.SPYV201120P33</stp>
        <tr r="M636" s="1"/>
      </tp>
      <tp t="s">
        <v>N/A</v>
        <stp/>
        <stp>OPEN</stp>
        <stp>.ICLN201120C22</stp>
        <tr r="L246" s="1"/>
      </tp>
      <tp t="s">
        <v>N/A</v>
        <stp/>
        <stp>OPEN</stp>
        <stp>.BKLN201120C22</stp>
        <tr r="L49" s="1"/>
      </tp>
      <tp t="s">
        <v>N/A</v>
        <stp/>
        <stp>LAST</stp>
        <stp>.ITOT201120C81</stp>
        <tr r="E300" s="1"/>
      </tp>
      <tp t="s">
        <v>N/A</v>
        <stp/>
        <stp>LAST</stp>
        <stp>.ITOT201120C80</stp>
        <tr r="E298" s="1"/>
      </tp>
      <tp t="s">
        <v>N/A</v>
        <stp/>
        <stp>VEGA</stp>
        <stp>.IXUS201120C63</stp>
        <tr r="P361" s="1"/>
      </tp>
      <tp>
        <v>0</v>
        <stp/>
        <stp>OPEN</stp>
        <stp>.EMLC201120C32</stp>
        <tr r="L115" s="1"/>
      </tp>
      <tp t="s">
        <v>N/A</v>
        <stp/>
        <stp>OPEN</stp>
        <stp>.SPLG201120C42</stp>
        <tr r="L585" s="1"/>
      </tp>
      <tp t="s">
        <v>N/A</v>
        <stp/>
        <stp>VEGA</stp>
        <stp>.VXUS201120C56</stp>
        <tr r="P754" s="1"/>
      </tp>
      <tp t="s">
        <v>N/A</v>
        <stp/>
        <stp>VEGA</stp>
        <stp>.VXUS201120C57</stp>
        <tr r="P756" s="1"/>
      </tp>
      <tp t="s">
        <v>N/A</v>
        <stp/>
        <stp>OPEN</stp>
        <stp>.HYLB201120C49</stp>
        <tr r="L226" s="1"/>
      </tp>
      <tp t="s">
        <v>N/A</v>
        <stp/>
        <stp>VEGA</stp>
        <stp>.EUFN201120P16</stp>
        <tr r="P119" s="1"/>
      </tp>
      <tp>
        <v>3.3</v>
        <stp/>
        <stp>HIGH</stp>
        <stp>.ARKK201120C99</stp>
        <tr r="J30" s="1"/>
      </tp>
      <tp>
        <v>3.56</v>
        <stp/>
        <stp>HIGH</stp>
        <stp>.ARKK201120C98</stp>
        <tr r="J28" s="1"/>
      </tp>
      <tp>
        <v>4.24</v>
        <stp/>
        <stp>HIGH</stp>
        <stp>.ARKK201120C97</stp>
        <tr r="J26" s="1"/>
      </tp>
      <tp>
        <v>0</v>
        <stp/>
        <stp>HIGH</stp>
        <stp>.AAXJ201120P84</stp>
        <tr r="J6" s="1"/>
      </tp>
      <tp t="s">
        <v>N/A</v>
        <stp/>
        <stp>HIGH</stp>
        <stp>.AAXJ201120P83</stp>
        <tr r="J4" s="1"/>
      </tp>
      <tp t="s">
        <v>N/A</v>
        <stp/>
        <stp>VEGA</stp>
        <stp>.IEFA201120P66</stp>
        <tr r="P255" s="1"/>
      </tp>
      <tp t="s">
        <v>N/A</v>
        <stp/>
        <stp>VEGA</stp>
        <stp>.IEFA201120P65</stp>
        <tr r="P253" s="1"/>
      </tp>
      <tp t="s">
        <v>N/A</v>
        <stp/>
        <stp>OPEN</stp>
        <stp>.AMLP201120C24</stp>
        <tr r="L23" s="1"/>
      </tp>
      <tp t="s">
        <v>N/A</v>
        <stp/>
        <stp>OPEN</stp>
        <stp>.AMLP201120C23</stp>
        <tr r="L19" s="1"/>
      </tp>
      <tp t="s">
        <v>N/A</v>
        <stp/>
        <stp>OPEN</stp>
        <stp>.SPLV201120C55</stp>
        <tr r="L588" s="1"/>
      </tp>
      <tp>
        <v>1.21</v>
        <stp/>
        <stp>HIGH</stp>
        <stp>.GDXJ201120P53</stp>
        <tr r="J208" s="1"/>
      </tp>
      <tp>
        <v>0.83</v>
        <stp/>
        <stp>HIGH</stp>
        <stp>.GDXJ201120P52</stp>
        <tr r="J204" s="1"/>
      </tp>
      <tp>
        <v>1.63</v>
        <stp/>
        <stp>HIGH</stp>
        <stp>.GDXJ201120P54</stp>
        <tr r="J212" s="1"/>
      </tp>
      <tp t="s">
        <v>N/A</v>
        <stp/>
        <stp>INTRINSIC</stp>
        <stp>.IEF201120C119.5</stp>
        <tr r="R249" s="1"/>
      </tp>
      <tp t="s">
        <v>N/A</v>
        <stp/>
        <stp>INTRINSIC</stp>
        <stp>.VNQ201120C84</stp>
        <tr r="R725" s="1"/>
      </tp>
      <tp t="s">
        <v>N/A</v>
        <stp/>
        <stp>INTRINSIC</stp>
        <stp>.VNQ201120C85</stp>
        <tr r="R727" s="1"/>
      </tp>
      <tp t="s">
        <v>41.82%</v>
        <stp/>
        <stp>IMPL_VOL</stp>
        <stp>ARKK</stp>
        <tr r="D25" s="1"/>
      </tp>
      <tp t="s">
        <v>34.39%</v>
        <stp/>
        <stp>IMPL_VOL</stp>
        <stp>ARKW</stp>
        <tr r="D34" s="1"/>
      </tp>
      <tp t="s">
        <v>N/A</v>
        <stp/>
        <stp>INTRINSIC</stp>
        <stp>.IBB201120C139.5</stp>
        <tr r="R235" s="1"/>
      </tp>
      <tp t="s">
        <v>114.80%</v>
        <stp/>
        <stp>IMPL_VOL</stp>
        <stp>DRIP</stp>
        <tr r="D81" s="1"/>
      </tp>
      <tp t="s">
        <v>N/A</v>
        <stp/>
        <stp>EXTRINSIC</stp>
        <stp>.TBF201120C16</stp>
        <tr r="S681" s="1"/>
      </tp>
      <tp t="s">
        <v>N/A</v>
        <stp/>
        <stp>EXTRINSIC</stp>
        <stp>.IBB201120C139.5</stp>
        <tr r="S235" s="1"/>
      </tp>
      <tp t="s">
        <v>N/A</v>
        <stp/>
        <stp>EXTRINSIC</stp>
        <stp>.KBE201120C38</stp>
        <tr r="S386" s="1"/>
      </tp>
      <tp t="s">
        <v>N/A</v>
        <stp/>
        <stp>EXTRINSIC</stp>
        <stp>.IEF201120C119.5</stp>
        <tr r="S249" s="1"/>
      </tp>
      <tp>
        <v>0</v>
        <stp/>
        <stp>OPEN_INT</stp>
        <stp>DFEN</stp>
        <tr r="G54" s="1"/>
      </tp>
      <tp t="s">
        <v>N/A</v>
        <stp/>
        <stp>INTRINSIC</stp>
        <stp>.IEF201120P119.5</stp>
        <tr r="R250" s="1"/>
      </tp>
      <tp t="s">
        <v>N/A</v>
        <stp/>
        <stp>INTRINSIC</stp>
        <stp>.IBB201120P139.5</stp>
        <tr r="R236" s="1"/>
      </tp>
      <tp t="s">
        <v>N/A</v>
        <stp/>
        <stp>EXTRINSIC</stp>
        <stp>.TBT201120C17</stp>
        <tr r="S684" s="1"/>
      </tp>
      <tp t="s">
        <v>54.79%</v>
        <stp/>
        <stp>IMPL_VOL</stp>
        <stp>SRVR</stp>
        <tr r="D637" s="1"/>
      </tp>
      <tp t="s">
        <v>N/A</v>
        <stp/>
        <stp>EXTRINSIC</stp>
        <stp>.IBB201120P139.5</stp>
        <tr r="S236" s="1"/>
      </tp>
      <tp t="s">
        <v>N/A</v>
        <stp/>
        <stp>INTRINSIC</stp>
        <stp>JNK</stp>
        <tr r="R380" s="1"/>
      </tp>
      <tp t="s">
        <v>N/A</v>
        <stp/>
        <stp>EXTRINSIC</stp>
        <stp>JNK</stp>
        <tr r="S380" s="1"/>
      </tp>
      <tp t="s">
        <v>N/A</v>
        <stp/>
        <stp>EXTRINSIC</stp>
        <stp>.IEF201120P119.5</stp>
        <tr r="S250" s="1"/>
      </tp>
      <tp t="s">
        <v>N/A</v>
        <stp/>
        <stp>STRIKE</stp>
        <stp>.SMH201120P195.5</stp>
        <tr r="W565" s="1"/>
      </tp>
      <tp t="s">
        <v>N/A</v>
        <stp/>
        <stp>THETA</stp>
        <stp>.IEFA201120C66</stp>
        <tr r="O254" s="1"/>
      </tp>
      <tp t="s">
        <v>N/A</v>
        <stp/>
        <stp>THETA</stp>
        <stp>.IEFA201120C65</stp>
        <tr r="O252" s="1"/>
      </tp>
      <tp t="s">
        <v>N/A</v>
        <stp/>
        <stp>DELTA</stp>
        <stp>.GDXJ201120P52</stp>
        <tr r="M204" s="1"/>
      </tp>
      <tp t="s">
        <v>N/A</v>
        <stp/>
        <stp>DELTA</stp>
        <stp>.GDXJ201120P53</stp>
        <tr r="M208" s="1"/>
      </tp>
      <tp t="s">
        <v>N/A</v>
        <stp/>
        <stp>DELTA</stp>
        <stp>.GDXJ201120P54</stp>
        <tr r="M212" s="1"/>
      </tp>
      <tp t="s">
        <v>N/A</v>
        <stp/>
        <stp>PUT_CALL_RATIO</stp>
        <stp>.IWM201120P172.5</stp>
        <tr r="C353" s="1"/>
      </tp>
      <tp t="s">
        <v>N/A</v>
        <stp/>
        <stp>HIGH</stp>
        <stp>.VNQ201120P84</stp>
        <tr r="J726" s="1"/>
      </tp>
      <tp t="s">
        <v>N/A</v>
        <stp/>
        <stp>HIGH</stp>
        <stp>.VNQ201120P85</stp>
        <tr r="J728" s="1"/>
      </tp>
      <tp t="s">
        <v>N/A</v>
        <stp/>
        <stp>VEGA</stp>
        <stp>.ITB201120C55</stp>
        <tr r="P291" s="1"/>
      </tp>
      <tp t="s">
        <v>N/A</v>
        <stp/>
        <stp>VEGA</stp>
        <stp>.ITB201120C56</stp>
        <tr r="P295" s="1"/>
      </tp>
      <tp t="s">
        <v>N/A</v>
        <stp/>
        <stp>DELTA</stp>
        <stp>.ARKK201120C97</stp>
        <tr r="M26" s="1"/>
      </tp>
      <tp t="s">
        <v>N/A</v>
        <stp/>
        <stp>DELTA</stp>
        <stp>.AAXJ201120P84</stp>
        <tr r="M6" s="1"/>
      </tp>
      <tp t="s">
        <v>N/A</v>
        <stp/>
        <stp>DELTA</stp>
        <stp>.AAXJ201120P83</stp>
        <tr r="M4" s="1"/>
      </tp>
      <tp t="s">
        <v>N/A</v>
        <stp/>
        <stp>DELTA</stp>
        <stp>.ARKK201120C98</stp>
        <tr r="M28" s="1"/>
      </tp>
      <tp t="s">
        <v>N/A</v>
        <stp/>
        <stp>DELTA</stp>
        <stp>.ARKK201120C99</stp>
        <tr r="M30" s="1"/>
      </tp>
      <tp t="s">
        <v>N/A</v>
        <stp/>
        <stp>LAST</stp>
        <stp>.XRT201120P54</stp>
        <tr r="E904" s="1"/>
      </tp>
      <tp t="s">
        <v>N/A</v>
        <stp/>
        <stp>LAST</stp>
        <stp>.XRT201120P55</stp>
        <tr r="E908" s="1"/>
      </tp>
      <tp t="s">
        <v>N/A</v>
        <stp/>
        <stp>STRIKE</stp>
        <stp>.QQQ201120C287.5</stp>
        <tr r="W480" s="1"/>
      </tp>
      <tp>
        <v>0</v>
        <stp/>
        <stp>VOLUME</stp>
        <stp>.SMH201120C196.5</stp>
        <tr r="F568" s="1"/>
      </tp>
      <tp t="s">
        <v>N/A</v>
        <stp/>
        <stp>THETA</stp>
        <stp>.EUFN201120C16</stp>
        <tr r="O118" s="1"/>
      </tp>
      <tp t="s">
        <v>N/A</v>
        <stp/>
        <stp>VEGA</stp>
        <stp>.VGK201120P57</stp>
        <tr r="P723" s="1"/>
      </tp>
      <tp t="s">
        <v>N/A</v>
        <stp/>
        <stp>LAST</stp>
        <stp>.TAN201120C73</stp>
        <tr r="E662" s="1"/>
      </tp>
      <tp>
        <v>3.12</v>
        <stp/>
        <stp>LAST</stp>
        <stp>.TAN201120C74</stp>
        <tr r="E666" s="1"/>
      </tp>
      <tp>
        <v>1.75</v>
        <stp/>
        <stp>LAST</stp>
        <stp>.TAN201120C75</stp>
        <tr r="E670" s="1"/>
      </tp>
      <tp t="s">
        <v>N/A</v>
        <stp/>
        <stp>LAST</stp>
        <stp>.TAN201120C76</stp>
        <tr r="E674" s="1"/>
      </tp>
      <tp>
        <v>1.1000000000000001</v>
        <stp/>
        <stp>LAST</stp>
        <stp>.TAN201120C77</stp>
        <tr r="E678" s="1"/>
      </tp>
      <tp t="s">
        <v>N/A</v>
        <stp/>
        <stp>PUT_CALL_RATIO</stp>
        <stp>.IWM201120C172.5</stp>
        <tr r="C352" s="1"/>
      </tp>
      <tp t="s">
        <v>N/A</v>
        <stp/>
        <stp>THETA</stp>
        <stp>.VXUS201120P57</stp>
        <tr r="O757" s="1"/>
      </tp>
      <tp t="s">
        <v>N/A</v>
        <stp/>
        <stp>THETA</stp>
        <stp>.VXUS201120P56</stp>
        <tr r="O755" s="1"/>
      </tp>
      <tp t="s">
        <v>N/A</v>
        <stp/>
        <stp>THETA</stp>
        <stp>.IXUS201120P63</stp>
        <tr r="O362" s="1"/>
      </tp>
      <tp t="s">
        <v>N/A</v>
        <stp/>
        <stp>STRIKE</stp>
        <stp>.SMH201120C195.5</stp>
        <tr r="W564" s="1"/>
      </tp>
      <tp t="s">
        <v>N/A</v>
        <stp/>
        <stp>GAMMA</stp>
        <stp>.ITOT201120C81</stp>
        <tr r="N300" s="1"/>
      </tp>
      <tp t="s">
        <v>N/A</v>
        <stp/>
        <stp>GAMMA</stp>
        <stp>.ITOT201120C80</stp>
        <tr r="N298" s="1"/>
      </tp>
      <tp t="s">
        <v>N/A</v>
        <stp/>
        <stp>STRIKE</stp>
        <stp>.QQQ201120P287.5</stp>
        <tr r="W481" s="1"/>
      </tp>
      <tp t="s">
        <v>N/A</v>
        <stp/>
        <stp>VEGA</stp>
        <stp>.PGX201120P15</stp>
        <tr r="P456" s="1"/>
      </tp>
      <tp>
        <v>1.3</v>
        <stp/>
        <stp>LAST</stp>
        <stp>.KRE201120P46</stp>
        <tr r="E390" s="1"/>
      </tp>
      <tp>
        <v>2.11</v>
        <stp/>
        <stp>LAST</stp>
        <stp>.KRE201120P47</stp>
        <tr r="E394" s="1"/>
      </tp>
      <tp>
        <v>2</v>
        <stp/>
        <stp>VOLUME</stp>
        <stp>.SMH201120P196.5</stp>
        <tr r="F569" s="1"/>
      </tp>
      <tp>
        <v>0.75</v>
        <stp/>
        <stp>OPEN</stp>
        <stp>.XHB201120P55</stp>
        <tr r="L782" s="1"/>
      </tp>
      <tp>
        <v>1.1000000000000001</v>
        <stp/>
        <stp>OPEN</stp>
        <stp>.XHB201120P56</stp>
        <tr r="L786" s="1"/>
      </tp>
      <tp t="s">
        <v>N/A</v>
        <stp/>
        <stp>HIGH</stp>
        <stp>.SPYV201120P33</stp>
        <tr r="J636" s="1"/>
      </tp>
      <tp>
        <v>0</v>
        <stp/>
        <stp>OPEN</stp>
        <stp>.IEMG201120C57</stp>
        <tr r="L257" s="1"/>
      </tp>
      <tp>
        <v>0.35</v>
        <stp/>
        <stp>OPEN</stp>
        <stp>.IEMG201120C58</stp>
        <tr r="L259" s="1"/>
      </tp>
      <tp>
        <v>0.35</v>
        <stp/>
        <stp>ASK</stp>
        <stp>.SH201120C19</stp>
        <tr r="I543" s="1"/>
      </tp>
      <tp t="s">
        <v>N/A</v>
        <stp/>
        <stp>VEGA</stp>
        <stp>.JETS201120C20</stp>
        <tr r="P378" s="1"/>
      </tp>
      <tp t="s">
        <v>N/A</v>
        <stp/>
        <stp>HIGH</stp>
        <stp>.SHYG201120P45</stp>
        <tr r="J550" s="1"/>
      </tp>
      <tp t="s">
        <v>N/A</v>
        <stp/>
        <stp>HIGH</stp>
        <stp>.SPYG201120P53</stp>
        <tr r="J633" s="1"/>
      </tp>
      <tp t="s">
        <v>N/A</v>
        <stp/>
        <stp>HIGH</stp>
        <stp>.SPYG201120P52</stp>
        <tr r="J631" s="1"/>
      </tp>
      <tp>
        <v>0</v>
        <stp/>
        <stp>OPEN</stp>
        <stp>.USMV201120C67</stp>
        <tr r="L699" s="1"/>
      </tp>
      <tp t="s">
        <v>20.30%</v>
        <stp/>
        <stp>IMPL_VOL</stp>
        <stp>USMV</stp>
        <tr r="D698" s="1"/>
      </tp>
      <tp t="s">
        <v>N/A</v>
        <stp/>
        <stp>PROB_OTM</stp>
        <stp>KWEB</stp>
        <tr r="U397" s="1"/>
      </tp>
      <tp t="s">
        <v>N/A</v>
        <stp/>
        <stp>EXTRINSIC</stp>
        <stp>KRE</stp>
        <tr r="S388" s="1"/>
      </tp>
      <tp t="s">
        <v>N/A</v>
        <stp/>
        <stp>INTRINSIC</stp>
        <stp>KRE</stp>
        <tr r="R388" s="1"/>
      </tp>
      <tp>
        <v>0</v>
        <stp/>
        <stp>OPEN_INT</stp>
        <stp>DGRO</stp>
        <tr r="G59" s="1"/>
      </tp>
      <tp t="s">
        <v>30.88%</v>
        <stp/>
        <stp>IMPL_VOL</stp>
        <stp>ASHR</stp>
        <tr r="D43" s="1"/>
      </tp>
      <tp t="s">
        <v>N/A</v>
        <stp/>
        <stp>THETA</stp>
        <stp>.SH201120P19</stp>
        <tr r="O544" s="1"/>
      </tp>
      <tp t="s">
        <v>N/A</v>
        <stp/>
        <stp>INTRINSIC</stp>
        <stp>.IBB201120C138.5</stp>
        <tr r="R231" s="1"/>
      </tp>
      <tp t="s">
        <v>N/A</v>
        <stp/>
        <stp>EXTRINSIC</stp>
        <stp>.IBB201120C138.5</stp>
        <tr r="S231" s="1"/>
      </tp>
      <tp t="s">
        <v>N/A</v>
        <stp/>
        <stp>INTRINSIC</stp>
        <stp>.XOP201120C47</stp>
        <tr r="R890" s="1"/>
      </tp>
      <tp t="s">
        <v>N/A</v>
        <stp/>
        <stp>INTRINSIC</stp>
        <stp>.XOP201120C48</stp>
        <tr r="R894" s="1"/>
      </tp>
      <tp t="s">
        <v>N/A</v>
        <stp/>
        <stp>INTRINSIC</stp>
        <stp>.XOP201120C49</stp>
        <tr r="R898" s="1"/>
      </tp>
      <tp t="s">
        <v>N/A</v>
        <stp/>
        <stp>EXTRINSIC</stp>
        <stp>.SCZ201120C63</stp>
        <tr r="S535" s="1"/>
      </tp>
      <tp t="s">
        <v>N/A</v>
        <stp/>
        <stp>INTRINSIC</stp>
        <stp>.IBB201120P138.5</stp>
        <tr r="R232" s="1"/>
      </tp>
      <tp t="s">
        <v>N/A</v>
        <stp/>
        <stp>EXTRINSIC</stp>
        <stp>KBE</stp>
        <tr r="S385" s="1"/>
      </tp>
      <tp t="s">
        <v>N/A</v>
        <stp/>
        <stp>INTRINSIC</stp>
        <stp>KBE</stp>
        <tr r="R385" s="1"/>
      </tp>
      <tp t="s">
        <v>N/A</v>
        <stp/>
        <stp>DELTA</stp>
        <stp>.SH201120P19</stp>
        <tr r="M544" s="1"/>
      </tp>
      <tp t="s">
        <v>N/A</v>
        <stp/>
        <stp>EXTRINSIC</stp>
        <stp>.IBB201120P138.5</stp>
        <tr r="S232" s="1"/>
      </tp>
      <tp>
        <v>0</v>
        <stp/>
        <stp>OPEN_INT</stp>
        <stp>IGIB</stp>
        <tr r="G261" s="1"/>
      </tp>
      <tp>
        <v>0</v>
        <stp/>
        <stp>OPEN_INT</stp>
        <stp>VGIT</stp>
        <tr r="G718" s="1"/>
      </tp>
      <tp t="s">
        <v>N/A</v>
        <stp/>
        <stp>PUT_CALL_RATIO</stp>
        <stp>.LQD201120P134.5</stp>
        <tr r="C406" s="1"/>
      </tp>
      <tp t="s">
        <v>N/A</v>
        <stp/>
        <stp>PUT_CALL_RATIO</stp>
        <stp>.IBB201120C141.5</stp>
        <tr r="C243" s="1"/>
      </tp>
      <tp t="s">
        <v>N/A</v>
        <stp/>
        <stp>VEGA</stp>
        <stp>.EWC201120C29</stp>
        <tr r="P124" s="1"/>
      </tp>
      <tp t="s">
        <v>N/A</v>
        <stp/>
        <stp>VEGA</stp>
        <stp>.EWA201120C22</stp>
        <tr r="P121" s="1"/>
      </tp>
      <tp>
        <v>2295</v>
        <stp/>
        <stp>VOLUME</stp>
        <stp>.QQQ201120P287.5</stp>
        <tr r="F481" s="1"/>
      </tp>
      <tp t="s">
        <v>N/A</v>
        <stp/>
        <stp>STRIKE</stp>
        <stp>.SMH201120P196.5</stp>
        <tr r="W569" s="1"/>
      </tp>
      <tp t="s">
        <v>N/A</v>
        <stp/>
        <stp>VEGA</stp>
        <stp>.EWG201120C30</stp>
        <tr r="P127" s="1"/>
      </tp>
      <tp t="s">
        <v>N/A</v>
        <stp/>
        <stp>THETA</stp>
        <stp>.KWEB201120C74</stp>
        <tr r="O402" s="1"/>
      </tp>
      <tp t="s">
        <v>N/A</v>
        <stp/>
        <stp>THETA</stp>
        <stp>.KWEB201120C72</stp>
        <tr r="O398" s="1"/>
      </tp>
      <tp t="s">
        <v>N/A</v>
        <stp/>
        <stp>THETA</stp>
        <stp>.KWEB201120C73</stp>
        <tr r="O400" s="1"/>
      </tp>
      <tp t="s">
        <v>N/A</v>
        <stp/>
        <stp>GAMMA</stp>
        <stp>.ICLN201120C22</stp>
        <tr r="N246" s="1"/>
      </tp>
      <tp t="s">
        <v>N/A</v>
        <stp/>
        <stp>GAMMA</stp>
        <stp>.BKLN201120C22</stp>
        <tr r="N49" s="1"/>
      </tp>
      <tp t="s">
        <v>N/A</v>
        <stp/>
        <stp>GAMMA</stp>
        <stp>.SPLG201120C42</stp>
        <tr r="N585" s="1"/>
      </tp>
      <tp t="s">
        <v>N/A</v>
        <stp/>
        <stp>DELTA</stp>
        <stp>.SCHD201120C61</stp>
        <tr r="M521" s="1"/>
      </tp>
      <tp t="s">
        <v>N/A</v>
        <stp/>
        <stp>DELTA</stp>
        <stp>.SCHD201120C62</stp>
        <tr r="M523" s="1"/>
      </tp>
      <tp t="s">
        <v>N/A</v>
        <stp/>
        <stp>VEGA</stp>
        <stp>.EWL201120C43</stp>
        <tr r="P143" s="1"/>
      </tp>
      <tp t="s">
        <v>N/A</v>
        <stp/>
        <stp>VEGA</stp>
        <stp>.EWI201120C27</stp>
        <tr r="P133" s="1"/>
      </tp>
      <tp t="s">
        <v>N/A</v>
        <stp/>
        <stp>VEGA</stp>
        <stp>.VWO201120C47</stp>
        <tr r="P751" s="1"/>
      </tp>
      <tp t="s">
        <v>N/A</v>
        <stp/>
        <stp>DELTA</stp>
        <stp>.MCHI201120C80</stp>
        <tr r="M412" s="1"/>
      </tp>
      <tp t="s">
        <v>N/A</v>
        <stp/>
        <stp>GAMMA</stp>
        <stp>.EMLC201120C32</stp>
        <tr r="N115" s="1"/>
      </tp>
      <tp t="s">
        <v>N/A</v>
        <stp/>
        <stp>VEGA</stp>
        <stp>.EWH201120C24</stp>
        <tr r="P130" s="1"/>
      </tp>
      <tp>
        <v>5</v>
        <stp/>
        <stp>VOLUME</stp>
        <stp>.SMH201120C195.5</stp>
        <tr r="F564" s="1"/>
      </tp>
      <tp t="s">
        <v>N/A</v>
        <stp/>
        <stp>THETA</stp>
        <stp>.DFEN201120C13</stp>
        <tr r="O55" s="1"/>
      </tp>
      <tp t="s">
        <v>N/A</v>
        <stp/>
        <stp>THETA</stp>
        <stp>.DFEN201120C14</stp>
        <tr r="O57" s="1"/>
      </tp>
      <tp t="s">
        <v>N/A</v>
        <stp/>
        <stp>DELTA</stp>
        <stp>.SPHD201120C36</stp>
        <tr r="M582" s="1"/>
      </tp>
      <tp t="s">
        <v>N/A</v>
        <stp/>
        <stp>DELTA</stp>
        <stp>.SCHE201120C29</stp>
        <tr r="M526" s="1"/>
      </tp>
      <tp t="s">
        <v>N/A</v>
        <stp/>
        <stp>GAMMA</stp>
        <stp>.HYLB201120C49</stp>
        <tr r="N226" s="1"/>
      </tp>
      <tp t="s">
        <v>N/A</v>
        <stp/>
        <stp>VEGA</stp>
        <stp>.EWJ201120C64</stp>
        <tr r="P140" s="1"/>
      </tp>
      <tp t="s">
        <v>N/A</v>
        <stp/>
        <stp>VEGA</stp>
        <stp>.EWJ201120C63</stp>
        <tr r="P136" s="1"/>
      </tp>
      <tp t="s">
        <v>N/A</v>
        <stp/>
        <stp>VEGA</stp>
        <stp>.RWM201120C29</stp>
        <tr r="P518" s="1"/>
      </tp>
      <tp t="s">
        <v>N/A</v>
        <stp/>
        <stp>LAST</stp>
        <stp>.TBT201120C17</stp>
        <tr r="E684" s="1"/>
      </tp>
      <tp t="s">
        <v>N/A</v>
        <stp/>
        <stp>DELTA</stp>
        <stp>.SCHF201120C34</stp>
        <tr r="M529" s="1"/>
      </tp>
      <tp>
        <v>571</v>
        <stp/>
        <stp>VOLUME</stp>
        <stp>.QQQ201120C287.5</stp>
        <tr r="F480" s="1"/>
      </tp>
      <tp t="s">
        <v>N/A</v>
        <stp/>
        <stp>VEGA</stp>
        <stp>.EWT201120C48</stp>
        <tr r="P149" s="1"/>
      </tp>
      <tp t="s">
        <v>N/A</v>
        <stp/>
        <stp>OPEN</stp>
        <stp>.PXH201120C19</stp>
        <tr r="L458" s="1"/>
      </tp>
      <tp t="s">
        <v>N/A</v>
        <stp/>
        <stp>THETA</stp>
        <stp>.SRVR201120P35</stp>
        <tr r="O639" s="1"/>
      </tp>
      <tp t="s">
        <v>N/A</v>
        <stp/>
        <stp>THETA</stp>
        <stp>.SRVR201120P36</stp>
        <tr r="O641" s="1"/>
      </tp>
      <tp t="s">
        <v>N/A</v>
        <stp/>
        <stp>OPEN</stp>
        <stp>.PXH201120C20</stp>
        <tr r="L460" s="1"/>
      </tp>
      <tp t="s">
        <v>N/A</v>
        <stp/>
        <stp>PUT_CALL_RATIO</stp>
        <stp>.LQD201120C134.5</stp>
        <tr r="C405" s="1"/>
      </tp>
      <tp t="s">
        <v>N/A</v>
        <stp/>
        <stp>PUT_CALL_RATIO</stp>
        <stp>.IBB201120P141.5</stp>
        <tr r="C244" s="1"/>
      </tp>
      <tp t="s">
        <v>N/A</v>
        <stp/>
        <stp>VEGA</stp>
        <stp>.SDS201120P14</stp>
        <tr r="P541" s="1"/>
      </tp>
      <tp t="s">
        <v>N/A</v>
        <stp/>
        <stp>VEGA</stp>
        <stp>.EWP201120C26</stp>
        <tr r="P146" s="1"/>
      </tp>
      <tp t="s">
        <v>N/A</v>
        <stp/>
        <stp>VEGA</stp>
        <stp>.EWW201120C39</stp>
        <tr r="P157" s="1"/>
      </tp>
      <tp>
        <v>0.43</v>
        <stp/>
        <stp>OPEN</stp>
        <stp>.FXI201120C48</stp>
        <tr r="L193" s="1"/>
      </tp>
      <tp>
        <v>0.94</v>
        <stp/>
        <stp>OPEN</stp>
        <stp>.FXI201120C47</stp>
        <tr r="L189" s="1"/>
      </tp>
      <tp t="s">
        <v>N/A</v>
        <stp/>
        <stp>STRIKE</stp>
        <stp>.SMH201120C196.5</stp>
        <tr r="W568" s="1"/>
      </tp>
      <tp t="s">
        <v>N/A</v>
        <stp/>
        <stp>GAMMA</stp>
        <stp>.SPLV201120C55</stp>
        <tr r="N588" s="1"/>
      </tp>
      <tp>
        <v>0</v>
        <stp/>
        <stp>HIGH</stp>
        <stp>.XME201120P27</stp>
        <tr r="J888" s="1"/>
      </tp>
      <tp t="s">
        <v>N/A</v>
        <stp/>
        <stp>VEGA</stp>
        <stp>.EWZ201120C32</stp>
        <tr r="P175" s="1"/>
      </tp>
      <tp t="s">
        <v>N/A</v>
        <stp/>
        <stp>GAMMA</stp>
        <stp>.AMLP201120C24</stp>
        <tr r="N23" s="1"/>
      </tp>
      <tp t="s">
        <v>N/A</v>
        <stp/>
        <stp>GAMMA</stp>
        <stp>.AMLP201120C23</stp>
        <tr r="N19" s="1"/>
      </tp>
      <tp t="s">
        <v>N/A</v>
        <stp/>
        <stp>VEGA</stp>
        <stp>.GDX201120P37</stp>
        <tr r="P199" s="1"/>
      </tp>
      <tp t="s">
        <v>N/A</v>
        <stp/>
        <stp>DELTA</stp>
        <stp>.ASHR201120C38</stp>
        <tr r="M46" s="1"/>
      </tp>
      <tp t="s">
        <v>N/A</v>
        <stp/>
        <stp>DELTA</stp>
        <stp>.SCHP201120C61</stp>
        <tr r="M532" s="1"/>
      </tp>
      <tp t="s">
        <v>N/A</v>
        <stp/>
        <stp>LAST</stp>
        <stp>.TBF201120C16</stp>
        <tr r="E681" s="1"/>
      </tp>
      <tp t="s">
        <v>N/A</v>
        <stp/>
        <stp>LAST</stp>
        <stp>.KBE201120C38</stp>
        <tr r="E386" s="1"/>
      </tp>
      <tp>
        <v>0.3</v>
        <stp/>
        <stp>OPEN</stp>
        <stp>.DXD201120C14</stp>
        <tr r="L92" s="1"/>
      </tp>
      <tp>
        <v>4</v>
        <stp/>
        <stp>VOLUME</stp>
        <stp>.SMH201120P195.5</stp>
        <tr r="F565" s="1"/>
      </tp>
      <tp t="s">
        <v>N/A</v>
        <stp/>
        <stp>VEGA</stp>
        <stp>.EWY201120C72</stp>
        <tr r="P164" s="1"/>
      </tp>
      <tp t="s">
        <v>N/A</v>
        <stp/>
        <stp>VEGA</stp>
        <stp>.EWY201120C73</stp>
        <tr r="P168" s="1"/>
      </tp>
      <tp t="s">
        <v>N/A</v>
        <stp/>
        <stp>VEGA</stp>
        <stp>.ACWX201120C50</stp>
        <tr r="P13" s="1"/>
      </tp>
      <tp t="s">
        <v>N/A</v>
        <stp/>
        <stp>HIGH</stp>
        <stp>.VGIT201120C70</stp>
        <tr r="J719" s="1"/>
      </tp>
      <tp>
        <v>4.7</v>
        <stp/>
        <stp>HIGH</stp>
        <stp>.DRIP201120C45</stp>
        <tr r="J82" s="1"/>
      </tp>
      <tp t="s">
        <v>N/A</v>
        <stp/>
        <stp>VEGA</stp>
        <stp>.INDY201120P38</stp>
        <tr r="P287" s="1"/>
      </tp>
      <tp t="s">
        <v>N/A</v>
        <stp/>
        <stp>VEGA</stp>
        <stp>.SPDW201120P32</stp>
        <tr r="P580" s="1"/>
      </tp>
      <tp>
        <v>0.8</v>
        <stp/>
        <stp>LAST</stp>
        <stp>.USMV201120C67</stp>
        <tr r="E699" s="1"/>
      </tp>
      <tp t="s">
        <v>N/A</v>
        <stp/>
        <stp>HIGH</stp>
        <stp>.VCIT201120C96</stp>
        <tr r="J702" s="1"/>
      </tp>
      <tp t="s">
        <v>N/A</v>
        <stp/>
        <stp>DESCRIPTION</stp>
        <stp>.SH201120P19</stp>
        <tr r="B544" s="1"/>
      </tp>
      <tp t="s">
        <v>N/A</v>
        <stp/>
        <stp>HIGH</stp>
        <stp>.IGIB201120C61</stp>
        <tr r="J262" s="1"/>
      </tp>
      <tp t="s">
        <v>N/A</v>
        <stp/>
        <stp>EXTRINSIC</stp>
        <stp>.AMLP201120P23.5</stp>
        <tr r="S22" s="1"/>
      </tp>
      <tp t="s">
        <v>N/A</v>
        <stp/>
        <stp>EXTRINSIC</stp>
        <stp>.AMLP201120C23.5</stp>
        <tr r="S21" s="1"/>
      </tp>
      <tp>
        <v>4.5999999999999996</v>
        <stp/>
        <stp>HIGH</stp>
        <stp>.NAIL201120C44</stp>
        <tr r="J439" s="1"/>
      </tp>
      <tp>
        <v>4</v>
        <stp/>
        <stp>HIGH</stp>
        <stp>.NAIL201120C45</stp>
        <tr r="J441" s="1"/>
      </tp>
      <tp>
        <v>3.5</v>
        <stp/>
        <stp>HIGH</stp>
        <stp>.NAIL201120C46</stp>
        <tr r="J443" s="1"/>
      </tp>
      <tp>
        <v>3.1</v>
        <stp/>
        <stp>HIGH</stp>
        <stp>.NAIL201120C47</stp>
        <tr r="J445" s="1"/>
      </tp>
      <tp>
        <v>2.4500000000000002</v>
        <stp/>
        <stp>HIGH</stp>
        <stp>.NAIL201120C48</stp>
        <tr r="J447" s="1"/>
      </tp>
      <tp>
        <v>1.9</v>
        <stp/>
        <stp>HIGH</stp>
        <stp>.NAIL201120C49</stp>
        <tr r="J449" s="1"/>
      </tp>
      <tp>
        <v>0.89</v>
        <stp/>
        <stp>LAST</stp>
        <stp>.IEMG201120C57</stp>
        <tr r="E257" s="1"/>
      </tp>
      <tp>
        <v>0.35</v>
        <stp/>
        <stp>LAST</stp>
        <stp>.IEMG201120C58</stp>
        <tr r="E259" s="1"/>
      </tp>
      <tp t="s">
        <v>N/A</v>
        <stp/>
        <stp>INTRINSIC</stp>
        <stp>.AMLP201120C23.5</stp>
        <tr r="R21" s="1"/>
      </tp>
      <tp t="s">
        <v>N/A</v>
        <stp/>
        <stp>INTRINSIC</stp>
        <stp>.AMLP201120P23.5</stp>
        <tr r="R22" s="1"/>
      </tp>
      <tp t="s">
        <v>N/A</v>
        <stp/>
        <stp>VEGA</stp>
        <stp>.ACWI201120C86</stp>
        <tr r="P10" s="1"/>
      </tp>
      <tp t="s">
        <v>N/A</v>
        <stp/>
        <stp>VEGA</stp>
        <stp>.ACWI201120C85</stp>
        <tr r="P8" s="1"/>
      </tp>
      <tp t="s">
        <v>N/A</v>
        <stp/>
        <stp>VEGA</stp>
        <stp>.INDA201120P36</stp>
        <tr r="P282" s="1"/>
      </tp>
      <tp t="s">
        <v>25.05%</v>
        <stp/>
        <stp>IMPL_VOL</stp>
        <stp>SPLG</stp>
        <tr r="D584" s="1"/>
      </tp>
      <tp t="s">
        <v>19.88%</v>
        <stp/>
        <stp>IMPL_VOL</stp>
        <stp>SPLV</stp>
        <tr r="D587" s="1"/>
      </tp>
      <tp t="s">
        <v>23.50%</v>
        <stp/>
        <stp>IMPL_VOL</stp>
        <stp>SPHD</stp>
        <tr r="D581" s="1"/>
      </tp>
      <tp t="s">
        <v>N/A</v>
        <stp/>
        <stp>INTRINSIC</stp>
        <stp>.XLU201120C66</stp>
        <tr r="R850" s="1"/>
      </tp>
      <tp t="s">
        <v>N/A</v>
        <stp/>
        <stp>INTRINSIC</stp>
        <stp>.XLU201120C67</stp>
        <tr r="R854" s="1"/>
      </tp>
      <tp t="s">
        <v>N/A</v>
        <stp/>
        <stp>EXTRINSIC</stp>
        <stp>.SSO201120P81</stp>
        <tr r="S644" s="1"/>
      </tp>
      <tp t="s">
        <v>N/A</v>
        <stp/>
        <stp>EXTRINSIC</stp>
        <stp>.SSO201120P82</stp>
        <tr r="S648" s="1"/>
      </tp>
      <tp t="s">
        <v>N/A</v>
        <stp/>
        <stp>EXTRINSIC</stp>
        <stp>.SSO201120P83</stp>
        <tr r="S652" s="1"/>
      </tp>
      <tp t="s">
        <v>N/A</v>
        <stp/>
        <stp>EXTRINSIC</stp>
        <stp>.SSO201120P84</stp>
        <tr r="S656" s="1"/>
      </tp>
      <tp t="s">
        <v>40.34%</v>
        <stp/>
        <stp>IMPL_VOL</stp>
        <stp>SPDW</stp>
        <tr r="D578" s="1"/>
      </tp>
      <tp>
        <v>0</v>
        <stp/>
        <stp>OPEN_INT</stp>
        <stp>GDXJ</stp>
        <tr r="G202" s="1"/>
      </tp>
      <tp t="s">
        <v>N/A</v>
        <stp/>
        <stp>EXTRINSIC</stp>
        <stp>HYG</stp>
        <tr r="S220" s="1"/>
      </tp>
      <tp t="s">
        <v>N/A</v>
        <stp/>
        <stp>INTRINSIC</stp>
        <stp>HYG</stp>
        <tr r="R220" s="1"/>
      </tp>
      <tp t="s">
        <v>N/A</v>
        <stp/>
        <stp>INTRINSIC</stp>
        <stp>.XLP201120C67</stp>
        <tr r="R844" s="1"/>
      </tp>
      <tp t="s">
        <v>N/A</v>
        <stp/>
        <stp>PROB_OTM</stp>
        <stp>ITOT</stp>
        <tr r="U297" s="1"/>
      </tp>
      <tp t="s">
        <v>N/A</v>
        <stp/>
        <stp>PROB_OF_EXPIRING</stp>
        <stp>VXUS</stp>
        <tr r="T753" s="1"/>
      </tp>
      <tp t="s">
        <v>N/A</v>
        <stp/>
        <stp>PROB_OF_EXPIRING</stp>
        <stp>IXUS</stp>
        <tr r="T360" s="1"/>
      </tp>
      <tp t="s">
        <v>N/A</v>
        <stp/>
        <stp>PROB_OTM</stp>
        <stp>MTUM</stp>
        <tr r="U426" s="1"/>
      </tp>
      <tp t="s">
        <v>N/A</v>
        <stp/>
        <stp>INTRINSIC</stp>
        <stp>.QLD201120C96</stp>
        <tr r="R463" s="1"/>
      </tp>
      <tp t="s">
        <v>N/A</v>
        <stp/>
        <stp>INTRINSIC</stp>
        <stp>.QLD201120C97</stp>
        <tr r="R465" s="1"/>
      </tp>
      <tp t="s">
        <v>N/A</v>
        <stp/>
        <stp>INTRINSIC</stp>
        <stp>.QLD201120C98</stp>
        <tr r="R467" s="1"/>
      </tp>
      <tp t="s">
        <v>N/A</v>
        <stp/>
        <stp>INTRINSIC</stp>
        <stp>.QLD201120C99</stp>
        <tr r="R469" s="1"/>
      </tp>
      <tp>
        <v>0</v>
        <stp/>
        <stp>OPEN_INT</stp>
        <stp>PDBC</stp>
        <tr r="G451" s="1"/>
      </tp>
      <tp t="s">
        <v>N/A</v>
        <stp/>
        <stp>EXTRINSIC</stp>
        <stp>.RSX201120P22</stp>
        <tr r="S514" s="1"/>
      </tp>
      <tp t="s">
        <v>28.99%</v>
        <stp/>
        <stp>IMPL_VOL</stp>
        <stp>SPYG</stp>
        <tr r="D629" s="1"/>
      </tp>
      <tp t="s">
        <v>23.87%</v>
        <stp/>
        <stp>IMPL_VOL</stp>
        <stp>SPYV</stp>
        <tr r="D634" s="1"/>
      </tp>
      <tp t="s">
        <v>N/A</v>
        <stp/>
        <stp>INTRINSIC</stp>
        <stp>.XLI201120C84</stp>
        <tr r="R814" s="1"/>
      </tp>
      <tp t="s">
        <v>N/A</v>
        <stp/>
        <stp>INTRINSIC</stp>
        <stp>.XLI201120C85</stp>
        <tr r="R818" s="1"/>
      </tp>
      <tp t="s">
        <v>N/A</v>
        <stp/>
        <stp>INTRINSIC</stp>
        <stp>.XLI201120C86</stp>
        <tr r="R822" s="1"/>
      </tp>
      <tp t="s">
        <v>N/A</v>
        <stp/>
        <stp>INTRINSIC</stp>
        <stp>.XLE201120C34</stp>
        <tr r="R806" s="1"/>
      </tp>
      <tp t="s">
        <v>N/A</v>
        <stp/>
        <stp>INTRINSIC</stp>
        <stp>.XLB201120C70</stp>
        <tr r="R794" s="1"/>
      </tp>
      <tp t="s">
        <v>N/A</v>
        <stp/>
        <stp>INTRINSIC</stp>
        <stp>.XLC201120C63</stp>
        <tr r="R797" s="1"/>
      </tp>
      <tp t="s">
        <v>N/A</v>
        <stp/>
        <stp>INTRINSIC</stp>
        <stp>.XLC201120C64</stp>
        <tr r="R801" s="1"/>
      </tp>
      <tp t="s">
        <v>N/A</v>
        <stp/>
        <stp>INTRINSIC</stp>
        <stp>.ILF201120C25</stp>
        <tr r="R278" s="1"/>
      </tp>
      <tp t="s">
        <v>N/A</v>
        <stp/>
        <stp>INTRINSIC</stp>
        <stp>.XLF201120C27</stp>
        <tr r="R811" s="1"/>
      </tp>
      <tp t="s">
        <v>N/A</v>
        <stp/>
        <stp>INTRINSIC</stp>
        <stp>.XLB201120C69</stp>
        <tr r="R790" s="1"/>
      </tp>
      <tp t="s">
        <v>N/A</v>
        <stp/>
        <stp>PUT_CALL_RATIO</stp>
        <stp>.LQD201120P135.5</stp>
        <tr r="C410" s="1"/>
      </tp>
      <tp t="s">
        <v>N/A</v>
        <stp/>
        <stp>PUT_CALL_RATIO</stp>
        <stp>.IBB201120C140.5</stp>
        <tr r="C239" s="1"/>
      </tp>
      <tp t="s">
        <v>N/A</v>
        <stp/>
        <stp>THETA</stp>
        <stp>.INDA201120C36</stp>
        <tr r="O281" s="1"/>
      </tp>
      <tp t="s">
        <v>N/A</v>
        <stp/>
        <stp>THETA</stp>
        <stp>.ACWI201120P86</stp>
        <tr r="O11" s="1"/>
      </tp>
      <tp t="s">
        <v>N/A</v>
        <stp/>
        <stp>DELTA</stp>
        <stp>.NAIL201120C49</stp>
        <tr r="M449" s="1"/>
      </tp>
      <tp t="s">
        <v>N/A</v>
        <stp/>
        <stp>DELTA</stp>
        <stp>.NAIL201120C48</stp>
        <tr r="M447" s="1"/>
      </tp>
      <tp t="s">
        <v>N/A</v>
        <stp/>
        <stp>THETA</stp>
        <stp>.ACWI201120P85</stp>
        <tr r="O9" s="1"/>
      </tp>
      <tp t="s">
        <v>N/A</v>
        <stp/>
        <stp>DELTA</stp>
        <stp>.NAIL201120C45</stp>
        <tr r="M441" s="1"/>
      </tp>
      <tp t="s">
        <v>N/A</v>
        <stp/>
        <stp>DELTA</stp>
        <stp>.NAIL201120C44</stp>
        <tr r="M439" s="1"/>
      </tp>
      <tp t="s">
        <v>N/A</v>
        <stp/>
        <stp>DELTA</stp>
        <stp>.NAIL201120C47</stp>
        <tr r="M445" s="1"/>
      </tp>
      <tp t="s">
        <v>N/A</v>
        <stp/>
        <stp>DELTA</stp>
        <stp>.NAIL201120C46</stp>
        <tr r="M443" s="1"/>
      </tp>
      <tp t="s">
        <v>N/A</v>
        <stp/>
        <stp>OPEN</stp>
        <stp>.IJR201120P80</stp>
        <tr r="L276" s="1"/>
      </tp>
      <tp t="s">
        <v>N/A</v>
        <stp/>
        <stp>OPEN</stp>
        <stp>.IYR201120C85</stp>
        <tr r="L371" s="1"/>
      </tp>
      <tp t="s">
        <v>N/A</v>
        <stp/>
        <stp>OPEN</stp>
        <stp>.IYR201120C84</stp>
        <tr r="L367" s="1"/>
      </tp>
      <tp>
        <v>1582595</v>
        <stp/>
        <stp>VOLUME</stp>
        <stp>VT</stp>
        <tr r="F734" s="1"/>
      </tp>
      <tp t="s">
        <v>N/A</v>
        <stp/>
        <stp>STRIKE</stp>
        <stp>.SMH201120P197.5</stp>
        <tr r="W573" s="1"/>
      </tp>
      <tp t="s">
        <v>N/A</v>
        <stp/>
        <stp>VEGA</stp>
        <stp>.VEA201120P44</stp>
        <tr r="P709" s="1"/>
      </tp>
      <tp>
        <v>12053707</v>
        <stp/>
        <stp>VOLUME</stp>
        <stp>SH</stp>
        <tr r="F542" s="1"/>
      </tp>
      <tp t="s">
        <v>N/A</v>
        <stp/>
        <stp>VEGA</stp>
        <stp>.FVD201120C35</stp>
        <tr r="P186" s="1"/>
      </tp>
      <tp t="s">
        <v>N/A</v>
        <stp/>
        <stp>LAST</stp>
        <stp>.SCZ201120C63</stp>
        <tr r="E535" s="1"/>
      </tp>
      <tp t="s">
        <v>N/A</v>
        <stp/>
        <stp>VEGA</stp>
        <stp>.EEM201120P48</stp>
        <tr r="P98" s="1"/>
      </tp>
      <tp t="s">
        <v>N/A</v>
        <stp/>
        <stp>GAMMA</stp>
        <stp>.IEMG201120C57</stp>
        <tr r="N257" s="1"/>
      </tp>
      <tp t="s">
        <v>N/A</v>
        <stp/>
        <stp>GAMMA</stp>
        <stp>.IEMG201120C58</stp>
        <tr r="N259" s="1"/>
      </tp>
      <tp>
        <v>1.1000000000000001</v>
        <stp/>
        <stp>HIGH</stp>
        <stp>.XLP201120P67</stp>
        <tr r="J845" s="1"/>
      </tp>
      <tp>
        <v>357.5</v>
        <stp/>
        <stp>STRIKE</stp>
        <stp>.SPY201120C357.5</stp>
        <tr r="W619" s="1"/>
      </tp>
      <tp>
        <v>0</v>
        <stp/>
        <stp>VOLUME</stp>
        <stp>.IVW201120C61.25</stp>
        <tr r="F331" s="1"/>
      </tp>
      <tp>
        <v>3</v>
        <stp/>
        <stp>VOLUME</stp>
        <stp>.SMH201120C194.5</stp>
        <tr r="F560" s="1"/>
      </tp>
      <tp>
        <v>1.22</v>
        <stp/>
        <stp>HIGH</stp>
        <stp>.XLU201120P66</stp>
        <tr r="J851" s="1"/>
      </tp>
      <tp>
        <v>0</v>
        <stp/>
        <stp>HIGH</stp>
        <stp>.XLU201120P67</stp>
        <tr r="J855" s="1"/>
      </tp>
      <tp t="s">
        <v>N/A</v>
        <stp/>
        <stp>DELTA</stp>
        <stp>.IGIB201120C61</stp>
        <tr r="M262" s="1"/>
      </tp>
      <tp t="s">
        <v>N/A</v>
        <stp/>
        <stp>VEGA</stp>
        <stp>.VEU201120P55</stp>
        <tr r="P712" s="1"/>
      </tp>
      <tp t="s">
        <v>N/A</v>
        <stp/>
        <stp>VEGA</stp>
        <stp>.DVY201120C91</stp>
        <tr r="P85" s="1"/>
      </tp>
      <tp t="s">
        <v>N/A</v>
        <stp/>
        <stp>VEGA</stp>
        <stp>.DVY201120C92</stp>
        <tr r="P87" s="1"/>
      </tp>
      <tp t="s">
        <v>N/A</v>
        <stp/>
        <stp>VEGA</stp>
        <stp>.DVY201120C93</stp>
        <tr r="P89" s="1"/>
      </tp>
      <tp>
        <v>2.5</v>
        <stp/>
        <stp>HIGH</stp>
        <stp>.QLD201120P96</stp>
        <tr r="J464" s="1"/>
      </tp>
      <tp>
        <v>2.25</v>
        <stp/>
        <stp>HIGH</stp>
        <stp>.QLD201120P97</stp>
        <tr r="J466" s="1"/>
      </tp>
      <tp>
        <v>3.2</v>
        <stp/>
        <stp>HIGH</stp>
        <stp>.QLD201120P98</stp>
        <tr r="J468" s="1"/>
      </tp>
      <tp>
        <v>0</v>
        <stp/>
        <stp>HIGH</stp>
        <stp>.QLD201120P99</stp>
        <tr r="J470" s="1"/>
      </tp>
      <tp t="s">
        <v>N/A</v>
        <stp/>
        <stp>PUT_CALL_RATIO</stp>
        <stp>.LQD201120C135.5</stp>
        <tr r="C409" s="1"/>
      </tp>
      <tp t="s">
        <v>N/A</v>
        <stp/>
        <stp>PUT_CALL_RATIO</stp>
        <stp>.IBB201120P140.5</stp>
        <tr r="C240" s="1"/>
      </tp>
      <tp t="s">
        <v>N/A</v>
        <stp/>
        <stp>STRIKE</stp>
        <stp>.SMH201120C197.5</stp>
        <tr r="W572" s="1"/>
      </tp>
      <tp t="s">
        <v>N/A</v>
        <stp/>
        <stp>THETA</stp>
        <stp>.SPDW201120C32</stp>
        <tr r="O579" s="1"/>
      </tp>
      <tp t="s">
        <v>N/A</v>
        <stp/>
        <stp>DELTA</stp>
        <stp>.VCIT201120C96</stp>
        <tr r="M702" s="1"/>
      </tp>
      <tp>
        <v>0.25</v>
        <stp/>
        <stp>OPEN</stp>
        <stp>.HYG201120C86</stp>
        <tr r="L223" s="1"/>
      </tp>
      <tp t="s">
        <v>N/A</v>
        <stp/>
        <stp>VOLUME</stp>
        <stp>.IVW201120P61.25</stp>
        <tr r="F332" s="1"/>
      </tp>
      <tp>
        <v>1503609</v>
        <stp/>
        <stp>VOLUME</stp>
        <stp>MJ</stp>
        <tr r="F423" s="1"/>
      </tp>
      <tp>
        <v>357.5</v>
        <stp/>
        <stp>STRIKE</stp>
        <stp>.SPY201120P357.5</stp>
        <tr r="W620" s="1"/>
      </tp>
      <tp t="s">
        <v>N/A</v>
        <stp/>
        <stp>THETA</stp>
        <stp>.INDY201120C38</stp>
        <tr r="O286" s="1"/>
      </tp>
      <tp t="s">
        <v>N/A</v>
        <stp/>
        <stp>DELTA</stp>
        <stp>.VGIT201120C70</stp>
        <tr r="M719" s="1"/>
      </tp>
      <tp>
        <v>1.83</v>
        <stp/>
        <stp>HIGH</stp>
        <stp>.XLE201120P34</stp>
        <tr r="J807" s="1"/>
      </tp>
      <tp t="s">
        <v>N/A</v>
        <stp/>
        <stp>HIGH</stp>
        <stp>.XLB201120P70</stp>
        <tr r="J795" s="1"/>
      </tp>
      <tp t="s">
        <v>N/A</v>
        <stp/>
        <stp>HIGH</stp>
        <stp>.XLC201120P63</stp>
        <tr r="J798" s="1"/>
      </tp>
      <tp t="s">
        <v>N/A</v>
        <stp/>
        <stp>HIGH</stp>
        <stp>.XLC201120P64</stp>
        <tr r="J802" s="1"/>
      </tp>
      <tp t="s">
        <v>N/A</v>
        <stp/>
        <stp>GAMMA</stp>
        <stp>.USMV201120C67</stp>
        <tr r="N699" s="1"/>
      </tp>
      <tp t="s">
        <v>N/A</v>
        <stp/>
        <stp>HIGH</stp>
        <stp>.ILF201120P25</stp>
        <tr r="J279" s="1"/>
      </tp>
      <tp>
        <v>0.82</v>
        <stp/>
        <stp>HIGH</stp>
        <stp>.XLF201120P27</stp>
        <tr r="J812" s="1"/>
      </tp>
      <tp>
        <v>1.79</v>
        <stp/>
        <stp>HIGH</stp>
        <stp>.XLB201120P69</stp>
        <tr r="J791" s="1"/>
      </tp>
      <tp>
        <v>0</v>
        <stp/>
        <stp>OPEN</stp>
        <stp>.IYE201120C18</stp>
        <tr r="L364" s="1"/>
      </tp>
      <tp t="s">
        <v>N/A</v>
        <stp/>
        <stp>OPEN</stp>
        <stp>.VYM201120C88</stp>
        <tr r="L761" s="1"/>
      </tp>
      <tp t="s">
        <v>N/A</v>
        <stp/>
        <stp>OPEN</stp>
        <stp>.VYM201120C87</stp>
        <tr r="L759" s="1"/>
      </tp>
      <tp t="s">
        <v>N/A</v>
        <stp/>
        <stp>DELTA</stp>
        <stp>.DRIP201120C45</stp>
        <tr r="M82" s="1"/>
      </tp>
      <tp t="s">
        <v>N/A</v>
        <stp/>
        <stp>THETA</stp>
        <stp>.ACWX201120P50</stp>
        <tr r="O14" s="1"/>
      </tp>
      <tp t="s">
        <v>N/A</v>
        <stp/>
        <stp>HIGH</stp>
        <stp>.XLI201120P84</stp>
        <tr r="J815" s="1"/>
      </tp>
      <tp>
        <v>1.88</v>
        <stp/>
        <stp>HIGH</stp>
        <stp>.XLI201120P85</stp>
        <tr r="J819" s="1"/>
      </tp>
      <tp t="s">
        <v>N/A</v>
        <stp/>
        <stp>HIGH</stp>
        <stp>.XLI201120P86</stp>
        <tr r="J823" s="1"/>
      </tp>
      <tp>
        <v>1</v>
        <stp/>
        <stp>VOLUME</stp>
        <stp>.SMH201120P194.5</stp>
        <tr r="F561" s="1"/>
      </tp>
      <tp t="s">
        <v>N/A</v>
        <stp/>
        <stp>VEGA</stp>
        <stp>.FEZ201120P40</stp>
        <tr r="P184" s="1"/>
      </tp>
      <tp>
        <v>0.45</v>
        <stp/>
        <stp>HIGH</stp>
        <stp>.ASHR201120C38</stp>
        <tr r="J46" s="1"/>
      </tp>
      <tp>
        <v>0</v>
        <stp/>
        <stp>HIGH</stp>
        <stp>.SCHP201120C61</stp>
        <tr r="J532" s="1"/>
      </tp>
      <tp t="s">
        <v>N/A</v>
        <stp/>
        <stp>LAST</stp>
        <stp>.SPLV201120C55</stp>
        <tr r="E588" s="1"/>
      </tp>
      <tp t="s">
        <v>N/A</v>
        <stp/>
        <stp>LAST</stp>
        <stp>.AMLP201120C23</stp>
        <tr r="E19" s="1"/>
      </tp>
      <tp t="s">
        <v>N/A</v>
        <stp/>
        <stp>LAST</stp>
        <stp>.AMLP201120C24</stp>
        <tr r="E23" s="1"/>
      </tp>
      <tp t="s">
        <v>N/A</v>
        <stp/>
        <stp>VEGA</stp>
        <stp>.SRVR201120C35</stp>
        <tr r="P638" s="1"/>
      </tp>
      <tp t="s">
        <v>N/A</v>
        <stp/>
        <stp>VEGA</stp>
        <stp>.SRVR201120C36</stp>
        <tr r="P640" s="1"/>
      </tp>
      <tp t="s">
        <v>N/A</v>
        <stp/>
        <stp>HIGH</stp>
        <stp>.MCHI201120C80</stp>
        <tr r="J412" s="1"/>
      </tp>
      <tp t="s">
        <v>N/A</v>
        <stp/>
        <stp>VEGA</stp>
        <stp>.DFEN201120P13</stp>
        <tr r="P56" s="1"/>
      </tp>
      <tp t="s">
        <v>N/A</v>
        <stp/>
        <stp>VEGA</stp>
        <stp>.DFEN201120P14</stp>
        <tr r="P58" s="1"/>
      </tp>
      <tp t="s">
        <v>N/A</v>
        <stp/>
        <stp>INTRINSIC</stp>
        <stp>.JETS201120P19.5</stp>
        <tr r="R377" s="1"/>
      </tp>
      <tp t="s">
        <v>N/A</v>
        <stp/>
        <stp>HIGH</stp>
        <stp>.SCHD201120C61</stp>
        <tr r="J521" s="1"/>
      </tp>
      <tp t="s">
        <v>N/A</v>
        <stp/>
        <stp>HIGH</stp>
        <stp>.SCHD201120C62</stp>
        <tr r="J523" s="1"/>
      </tp>
      <tp t="s">
        <v>N/A</v>
        <stp/>
        <stp>INTRINSIC</stp>
        <stp>.JETS201120C19.5</stp>
        <tr r="R376" s="1"/>
      </tp>
      <tp t="s">
        <v>N/A</v>
        <stp/>
        <stp>HIGH</stp>
        <stp>.SCHF201120C34</stp>
        <tr r="J529" s="1"/>
      </tp>
      <tp t="s">
        <v>N/A</v>
        <stp/>
        <stp>OPEN</stp>
        <stp>.ITOT201120C81</stp>
        <tr r="L300" s="1"/>
      </tp>
      <tp t="s">
        <v>N/A</v>
        <stp/>
        <stp>OPEN</stp>
        <stp>.ITOT201120C80</stp>
        <tr r="L298" s="1"/>
      </tp>
      <tp>
        <v>0.37</v>
        <stp/>
        <stp>LOW</stp>
        <stp>.MJ201120C13</stp>
        <tr r="K424" s="1"/>
      </tp>
      <tp t="s">
        <v>N/A</v>
        <stp/>
        <stp>LAST</stp>
        <stp>.ICLN201120C22</stp>
        <tr r="E246" s="1"/>
      </tp>
      <tp t="s">
        <v>N/A</v>
        <stp/>
        <stp>LAST</stp>
        <stp>.BKLN201120C22</stp>
        <tr r="E49" s="1"/>
      </tp>
      <tp t="s">
        <v>N/A</v>
        <stp/>
        <stp>HIGH</stp>
        <stp>.SCHE201120C29</stp>
        <tr r="J526" s="1"/>
      </tp>
      <tp t="s">
        <v>N/A</v>
        <stp/>
        <stp>HIGH</stp>
        <stp>.SPHD201120C36</stp>
        <tr r="J582" s="1"/>
      </tp>
      <tp t="s">
        <v>N/A</v>
        <stp/>
        <stp>VEGA</stp>
        <stp>.KWEB201120P74</stp>
        <tr r="P403" s="1"/>
      </tp>
      <tp t="s">
        <v>N/A</v>
        <stp/>
        <stp>VEGA</stp>
        <stp>.KWEB201120P73</stp>
        <tr r="P401" s="1"/>
      </tp>
      <tp t="s">
        <v>N/A</v>
        <stp/>
        <stp>VEGA</stp>
        <stp>.KWEB201120P72</stp>
        <tr r="P399" s="1"/>
      </tp>
      <tp>
        <v>0.2</v>
        <stp/>
        <stp>LAST</stp>
        <stp>.EMLC201120C32</stp>
        <tr r="E115" s="1"/>
      </tp>
      <tp t="s">
        <v>N/A</v>
        <stp/>
        <stp>LAST</stp>
        <stp>.SPLG201120C42</stp>
        <tr r="E585" s="1"/>
      </tp>
      <tp t="s">
        <v>N/A</v>
        <stp/>
        <stp>EXTRINSIC</stp>
        <stp>.JETS201120C19.5</stp>
        <tr r="S376" s="1"/>
      </tp>
      <tp t="s">
        <v>N/A</v>
        <stp/>
        <stp>LAST</stp>
        <stp>.HYLB201120C49</stp>
        <tr r="E226" s="1"/>
      </tp>
      <tp t="s">
        <v>N/A</v>
        <stp/>
        <stp>EXTRINSIC</stp>
        <stp>.JETS201120P19.5</stp>
        <tr r="S377" s="1"/>
      </tp>
      <tp t="s">
        <v>N/A</v>
        <stp/>
        <stp>EXTRINSIC</stp>
        <stp>ITB</stp>
        <tr r="S288" s="1"/>
      </tp>
      <tp t="s">
        <v>N/A</v>
        <stp/>
        <stp>INTRINSIC</stp>
        <stp>ITB</stp>
        <tr r="R288" s="1"/>
      </tp>
      <tp>
        <v>0</v>
        <stp/>
        <stp>OPEN_INT</stp>
        <stp>JETS</stp>
        <tr r="G375" s="1"/>
      </tp>
      <tp t="s">
        <v>N/A</v>
        <stp/>
        <stp>PROB_OTM</stp>
        <stp>QUAL</stp>
        <tr r="U498" s="1"/>
      </tp>
      <tp t="s">
        <v>N/A</v>
        <stp/>
        <stp>EXTRINSIC</stp>
        <stp>.DIA201120C297.5</stp>
        <tr r="S79" s="1"/>
      </tp>
      <tp t="s">
        <v>N/A</v>
        <stp/>
        <stp>EXTRINSIC</stp>
        <stp>IVV</stp>
        <tr r="S309" s="1"/>
      </tp>
      <tp t="s">
        <v>N/A</v>
        <stp/>
        <stp>EXTRINSIC</stp>
        <stp>IVW</stp>
        <tr r="S330" s="1"/>
      </tp>
      <tp t="s">
        <v>N/A</v>
        <stp/>
        <stp>INTRINSIC</stp>
        <stp>IVV</stp>
        <tr r="R309" s="1"/>
      </tp>
      <tp t="s">
        <v>N/A</v>
        <stp/>
        <stp>INTRINSIC</stp>
        <stp>IVW</stp>
        <tr r="R330" s="1"/>
      </tp>
      <tp t="s">
        <v>N/A</v>
        <stp/>
        <stp>EXTRINSIC</stp>
        <stp>IVE</stp>
        <tr r="S302" s="1"/>
      </tp>
      <tp t="s">
        <v>N/A</v>
        <stp/>
        <stp>INTRINSIC</stp>
        <stp>IVE</stp>
        <tr r="R302" s="1"/>
      </tp>
      <tp t="s">
        <v>N/A</v>
        <stp/>
        <stp>EXTRINSIC</stp>
        <stp>IWD</stp>
        <tr r="S333" s="1"/>
      </tp>
      <tp t="s">
        <v>N/A</v>
        <stp/>
        <stp>EXTRINSIC</stp>
        <stp>IWF</stp>
        <tr r="S340" s="1"/>
      </tp>
      <tp t="s">
        <v>N/A</v>
        <stp/>
        <stp>INTRINSIC</stp>
        <stp>IWM</stp>
        <tr r="R345" s="1"/>
      </tp>
      <tp t="s">
        <v>N/A</v>
        <stp/>
        <stp>EXTRINSIC</stp>
        <stp>IWM</stp>
        <tr r="S345" s="1"/>
      </tp>
      <tp t="s">
        <v>N/A</v>
        <stp/>
        <stp>INTRINSIC</stp>
        <stp>IWD</stp>
        <tr r="R333" s="1"/>
      </tp>
      <tp t="s">
        <v>N/A</v>
        <stp/>
        <stp>INTRINSIC</stp>
        <stp>IWF</stp>
        <tr r="R340" s="1"/>
      </tp>
      <tp t="s">
        <v>N/A</v>
        <stp/>
        <stp>EXTRINSIC</stp>
        <stp>.TAN201120C73</stp>
        <tr r="S662" s="1"/>
      </tp>
      <tp t="s">
        <v>N/A</v>
        <stp/>
        <stp>EXTRINSIC</stp>
        <stp>.TAN201120C74</stp>
        <tr r="S666" s="1"/>
      </tp>
      <tp t="s">
        <v>N/A</v>
        <stp/>
        <stp>EXTRINSIC</stp>
        <stp>.TAN201120C75</stp>
        <tr r="S670" s="1"/>
      </tp>
      <tp t="s">
        <v>N/A</v>
        <stp/>
        <stp>EXTRINSIC</stp>
        <stp>.TAN201120C76</stp>
        <tr r="S674" s="1"/>
      </tp>
      <tp t="s">
        <v>N/A</v>
        <stp/>
        <stp>EXTRINSIC</stp>
        <stp>.TAN201120C77</stp>
        <tr r="S678" s="1"/>
      </tp>
      <tp t="s">
        <v>N/A</v>
        <stp/>
        <stp>PROB_OTM</stp>
        <stp>EUFN</stp>
        <tr r="U117" s="1"/>
      </tp>
      <tp t="s">
        <v>N/A</v>
        <stp/>
        <stp>PROB_OF_EXPIRING</stp>
        <stp>HYLB</stp>
        <tr r="T225" s="1"/>
      </tp>
      <tp t="s">
        <v>N/A</v>
        <stp/>
        <stp>EXTRINSIC</stp>
        <stp>.KRE201120P46</stp>
        <tr r="S390" s="1"/>
      </tp>
      <tp t="s">
        <v>N/A</v>
        <stp/>
        <stp>EXTRINSIC</stp>
        <stp>.KRE201120P47</stp>
        <tr r="S394" s="1"/>
      </tp>
      <tp t="s">
        <v>N/A</v>
        <stp/>
        <stp>EXTRINSIC</stp>
        <stp>IYR</stp>
        <tr r="S366" s="1"/>
      </tp>
      <tp t="s">
        <v>N/A</v>
        <stp/>
        <stp>INTRINSIC</stp>
        <stp>IYR</stp>
        <tr r="R366" s="1"/>
      </tp>
      <tp t="s">
        <v>N/A</v>
        <stp/>
        <stp>EXTRINSIC</stp>
        <stp>IYE</stp>
        <tr r="S363" s="1"/>
      </tp>
      <tp t="s">
        <v>N/A</v>
        <stp/>
        <stp>INTRINSIC</stp>
        <stp>IYE</stp>
        <tr r="R363" s="1"/>
      </tp>
      <tp t="s">
        <v>N/A</v>
        <stp/>
        <stp>INTRINSIC</stp>
        <stp>.DIA201120C297.5</stp>
        <tr r="R79" s="1"/>
      </tp>
      <tp t="s">
        <v>N/A</v>
        <stp/>
        <stp>EXTRINSIC</stp>
        <stp>IEF</stp>
        <tr r="S248" s="1"/>
      </tp>
      <tp t="s">
        <v>N/A</v>
        <stp/>
        <stp>INTRINSIC</stp>
        <stp>IEF</stp>
        <tr r="R248" s="1"/>
      </tp>
      <tp>
        <v>0</v>
        <stp/>
        <stp>OPEN_INT</stp>
        <stp>IEFA</stp>
        <tr r="G251" s="1"/>
      </tp>
      <tp t="s">
        <v>N/A</v>
        <stp/>
        <stp>PROB_OTM</stp>
        <stp>GUSH</stp>
        <tr r="U213" s="1"/>
      </tp>
      <tp t="s">
        <v>N/A</v>
        <stp/>
        <stp>EXTRINSIC</stp>
        <stp>.DIA201120P297.5</stp>
        <tr r="S80" s="1"/>
      </tp>
      <tp t="s">
        <v>N/A</v>
        <stp/>
        <stp>EXTRINSIC</stp>
        <stp>IGV</stp>
        <tr r="S264" s="1"/>
      </tp>
      <tp t="s">
        <v>N/A</v>
        <stp/>
        <stp>INTRINSIC</stp>
        <stp>IGV</stp>
        <tr r="R264" s="1"/>
      </tp>
      <tp t="s">
        <v>N/A</v>
        <stp/>
        <stp>EXTRINSIC</stp>
        <stp>IBB</stp>
        <tr r="S228" s="1"/>
      </tp>
      <tp t="s">
        <v>N/A</v>
        <stp/>
        <stp>INTRINSIC</stp>
        <stp>IBB</stp>
        <tr r="R228" s="1"/>
      </tp>
      <tp t="s">
        <v>N/A</v>
        <stp/>
        <stp>EXTRINSIC</stp>
        <stp>ILF</stp>
        <tr r="S277" s="1"/>
      </tp>
      <tp t="s">
        <v>N/A</v>
        <stp/>
        <stp>INTRINSIC</stp>
        <stp>ILF</stp>
        <tr r="R277" s="1"/>
      </tp>
      <tp>
        <v>0</v>
        <stp/>
        <stp>OPEN_INT</stp>
        <stp>IEMG</stp>
        <tr r="G256" s="1"/>
      </tp>
      <tp t="s">
        <v>N/A</v>
        <stp/>
        <stp>EXTRINSIC</stp>
        <stp>.XRT201120P54</stp>
        <tr r="S904" s="1"/>
      </tp>
      <tp t="s">
        <v>N/A</v>
        <stp/>
        <stp>EXTRINSIC</stp>
        <stp>.XRT201120P55</stp>
        <tr r="S908" s="1"/>
      </tp>
      <tp t="s">
        <v>N/A</v>
        <stp/>
        <stp>INTRINSIC</stp>
        <stp>.XME201120C27</stp>
        <tr r="R887" s="1"/>
      </tp>
      <tp t="s">
        <v>N/A</v>
        <stp/>
        <stp>EXTRINSIC</stp>
        <stp>IJR</stp>
        <tr r="S274" s="1"/>
      </tp>
      <tp t="s">
        <v>N/A</v>
        <stp/>
        <stp>INTRINSIC</stp>
        <stp>IJR</stp>
        <tr r="R274" s="1"/>
      </tp>
      <tp t="s">
        <v>N/A</v>
        <stp/>
        <stp>INTRINSIC</stp>
        <stp>IJH</stp>
        <tr r="R271" s="1"/>
      </tp>
      <tp t="s">
        <v>N/A</v>
        <stp/>
        <stp>EXTRINSIC</stp>
        <stp>IJH</stp>
        <tr r="S271" s="1"/>
      </tp>
      <tp t="s">
        <v>N/A</v>
        <stp/>
        <stp>INTRINSIC</stp>
        <stp>.DIA201120P297.5</stp>
        <tr r="R80" s="1"/>
      </tp>
      <tp t="s">
        <v>N/A</v>
        <stp/>
        <stp>THETA</stp>
        <stp>.ARKK201120C97</stp>
        <tr r="O26" s="1"/>
      </tp>
      <tp t="s">
        <v>N/A</v>
        <stp/>
        <stp>THETA</stp>
        <stp>.AAXJ201120P84</stp>
        <tr r="O6" s="1"/>
      </tp>
      <tp t="s">
        <v>N/A</v>
        <stp/>
        <stp>THETA</stp>
        <stp>.AAXJ201120P83</stp>
        <tr r="O4" s="1"/>
      </tp>
      <tp t="s">
        <v>N/A</v>
        <stp/>
        <stp>THETA</stp>
        <stp>.ARKK201120C98</stp>
        <tr r="O28" s="1"/>
      </tp>
      <tp t="s">
        <v>N/A</v>
        <stp/>
        <stp>THETA</stp>
        <stp>.ARKK201120C99</stp>
        <tr r="O30" s="1"/>
      </tp>
      <tp>
        <v>0</v>
        <stp/>
        <stp>HIGH</stp>
        <stp>.SCZ201120P63</stp>
        <tr r="J536" s="1"/>
      </tp>
      <tp t="s">
        <v>N/A</v>
        <stp/>
        <stp>STRIKE</stp>
        <stp>.SMH201120P198.5</stp>
        <tr r="W577" s="1"/>
      </tp>
      <tp t="s">
        <v>N/A</v>
        <stp/>
        <stp>VEGA</stp>
        <stp>.VYM201120C88</stp>
        <tr r="P761" s="1"/>
      </tp>
      <tp t="s">
        <v>N/A</v>
        <stp/>
        <stp>VEGA</stp>
        <stp>.VYM201120C87</stp>
        <tr r="P759" s="1"/>
      </tp>
      <tp t="s">
        <v>N/A</v>
        <stp/>
        <stp>STRIKE</stp>
        <stp>.XLY201120P153.5</stp>
        <tr r="W877" s="1"/>
      </tp>
      <tp t="s">
        <v>N/A</v>
        <stp/>
        <stp>DELTA</stp>
        <stp>.EUFN201120C16</stp>
        <tr r="M118" s="1"/>
      </tp>
      <tp t="s">
        <v>N/A</v>
        <stp/>
        <stp>VEGA</stp>
        <stp>.IYE201120C18</stp>
        <tr r="P364" s="1"/>
      </tp>
      <tp>
        <v>1</v>
        <stp/>
        <stp>OPEN</stp>
        <stp>.FEZ201120P40</stp>
        <tr r="L184" s="1"/>
      </tp>
      <tp>
        <v>0.45</v>
        <stp/>
        <stp>LAST</stp>
        <stp>.XLU201120C66</stp>
        <tr r="E850" s="1"/>
      </tp>
      <tp>
        <v>0.17</v>
        <stp/>
        <stp>LAST</stp>
        <stp>.XLU201120C67</stp>
        <tr r="E854" s="1"/>
      </tp>
      <tp t="s">
        <v>N/A</v>
        <stp/>
        <stp>OPEN</stp>
        <stp>.DVY201120C91</stp>
        <tr r="L85" s="1"/>
      </tp>
      <tp t="s">
        <v>N/A</v>
        <stp/>
        <stp>OPEN</stp>
        <stp>.DVY201120C93</stp>
        <tr r="L89" s="1"/>
      </tp>
      <tp t="s">
        <v>N/A</v>
        <stp/>
        <stp>OPEN</stp>
        <stp>.DVY201120C92</stp>
        <tr r="L87" s="1"/>
      </tp>
      <tp t="s">
        <v>N/A</v>
        <stp/>
        <stp>OPEN</stp>
        <stp>.VEU201120P55</stp>
        <tr r="L712" s="1"/>
      </tp>
      <tp t="s">
        <v>N/A</v>
        <stp/>
        <stp>GAMMA</stp>
        <stp>.PDBC201120C14</stp>
        <tr r="N452" s="1"/>
      </tp>
      <tp t="s">
        <v>N/A</v>
        <stp/>
        <stp>STRIKE</stp>
        <stp>.XBI201120P123.5</stp>
        <tr r="W771" s="1"/>
      </tp>
      <tp t="s">
        <v>N/A</v>
        <stp/>
        <stp>PUT_CALL_RATIO</stp>
        <stp>.DIA201120C292.5</stp>
        <tr r="C67" s="1"/>
      </tp>
      <tp t="s">
        <v>N/A</v>
        <stp/>
        <stp>THETA</stp>
        <stp>.GDXJ201120P52</stp>
        <tr r="O204" s="1"/>
      </tp>
      <tp t="s">
        <v>N/A</v>
        <stp/>
        <stp>THETA</stp>
        <stp>.GDXJ201120P53</stp>
        <tr r="O208" s="1"/>
      </tp>
      <tp t="s">
        <v>N/A</v>
        <stp/>
        <stp>THETA</stp>
        <stp>.GDXJ201120P54</stp>
        <tr r="O212" s="1"/>
      </tp>
      <tp>
        <v>55</v>
        <stp/>
        <stp>VOLUME</stp>
        <stp>.XLK201120C120.5</stp>
        <tr r="F829" s="1"/>
      </tp>
      <tp>
        <v>3</v>
        <stp/>
        <stp>VOLUME</stp>
        <stp>.XLV201120C110.5</stp>
        <tr r="F859" s="1"/>
      </tp>
      <tp t="s">
        <v>N/A</v>
        <stp/>
        <stp>DELTA</stp>
        <stp>.IEFA201120C66</stp>
        <tr r="M254" s="1"/>
      </tp>
      <tp t="s">
        <v>N/A</v>
        <stp/>
        <stp>DELTA</stp>
        <stp>.IEFA201120C65</stp>
        <tr r="M252" s="1"/>
      </tp>
      <tp>
        <v>0.35</v>
        <stp/>
        <stp>LAST</stp>
        <stp>.XLP201120C67</stp>
        <tr r="E844" s="1"/>
      </tp>
      <tp t="s">
        <v>N/A</v>
        <stp/>
        <stp>VEGA</stp>
        <stp>.HYG201120C86</stp>
        <tr r="P223" s="1"/>
      </tp>
      <tp>
        <v>0.44</v>
        <stp/>
        <stp>OPEN</stp>
        <stp>.EEM201120P48</stp>
        <tr r="L98" s="1"/>
      </tp>
      <tp t="s">
        <v>N/A</v>
        <stp/>
        <stp>STRIKE</stp>
        <stp>.XLY201120C153.5</stp>
        <tr r="W876" s="1"/>
      </tp>
      <tp>
        <v>2.66</v>
        <stp/>
        <stp>LAST</stp>
        <stp>.QLD201120C98</stp>
        <tr r="E467" s="1"/>
      </tp>
      <tp>
        <v>2.5499999999999998</v>
        <stp/>
        <stp>LAST</stp>
        <stp>.QLD201120C99</stp>
        <tr r="E469" s="1"/>
      </tp>
      <tp>
        <v>6.21</v>
        <stp/>
        <stp>LAST</stp>
        <stp>.QLD201120C96</stp>
        <tr r="E463" s="1"/>
      </tp>
      <tp>
        <v>3.8</v>
        <stp/>
        <stp>LAST</stp>
        <stp>.QLD201120C97</stp>
        <tr r="E465" s="1"/>
      </tp>
      <tp t="s">
        <v>N/A</v>
        <stp/>
        <stp>STRIKE</stp>
        <stp>.SMH201120C198.5</stp>
        <tr r="W576" s="1"/>
      </tp>
      <tp t="s">
        <v>N/A</v>
        <stp/>
        <stp>STRIKE</stp>
        <stp>.XBI201120C123.5</stp>
        <tr r="W770" s="1"/>
      </tp>
      <tp t="s">
        <v>N/A</v>
        <stp/>
        <stp>PUT_CALL_RATIO</stp>
        <stp>.DIA201120P292.5</stp>
        <tr r="C68" s="1"/>
      </tp>
      <tp t="s">
        <v>N/A</v>
        <stp/>
        <stp>LAST</stp>
        <stp>.XLI201120C84</stp>
        <tr r="E814" s="1"/>
      </tp>
      <tp>
        <v>0.84</v>
        <stp/>
        <stp>LAST</stp>
        <stp>.XLI201120C85</stp>
        <tr r="E818" s="1"/>
      </tp>
      <tp t="s">
        <v>N/A</v>
        <stp/>
        <stp>LAST</stp>
        <stp>.XLI201120C86</stp>
        <tr r="E822" s="1"/>
      </tp>
      <tp t="s">
        <v>N/A</v>
        <stp/>
        <stp>VEGA</stp>
        <stp>.IYR201120C84</stp>
        <tr r="P367" s="1"/>
      </tp>
      <tp t="s">
        <v>N/A</v>
        <stp/>
        <stp>VEGA</stp>
        <stp>.IYR201120C85</stp>
        <tr r="P371" s="1"/>
      </tp>
      <tp t="s">
        <v>N/A</v>
        <stp/>
        <stp>VEGA</stp>
        <stp>.IJR201120P80</stp>
        <tr r="P276" s="1"/>
      </tp>
      <tp t="s">
        <v>N/A</v>
        <stp/>
        <stp>DELTA</stp>
        <stp>.VXUS201120P57</stp>
        <tr r="M757" s="1"/>
      </tp>
      <tp t="s">
        <v>N/A</v>
        <stp/>
        <stp>DELTA</stp>
        <stp>.VXUS201120P56</stp>
        <tr r="M755" s="1"/>
      </tp>
      <tp>
        <v>0.34</v>
        <stp/>
        <stp>LAST</stp>
        <stp>.XLE201120C34</stp>
        <tr r="E806" s="1"/>
      </tp>
      <tp t="s">
        <v>N/A</v>
        <stp/>
        <stp>OPEN</stp>
        <stp>.VEA201120P44</stp>
        <tr r="L709" s="1"/>
      </tp>
      <tp>
        <v>31</v>
        <stp/>
        <stp>VOLUME</stp>
        <stp>.XLK201120P120.5</stp>
        <tr r="F830" s="1"/>
      </tp>
      <tp>
        <v>117</v>
        <stp/>
        <stp>VOLUME</stp>
        <stp>.XLV201120P110.5</stp>
        <tr r="F860" s="1"/>
      </tp>
      <tp>
        <v>0.28999999999999998</v>
        <stp/>
        <stp>LAST</stp>
        <stp>.XLB201120C70</stp>
        <tr r="E794" s="1"/>
      </tp>
      <tp>
        <v>1.28</v>
        <stp/>
        <stp>LAST</stp>
        <stp>.XLC201120C63</stp>
        <tr r="E797" s="1"/>
      </tp>
      <tp>
        <v>0.55000000000000004</v>
        <stp/>
        <stp>LAST</stp>
        <stp>.XLC201120C64</stp>
        <tr r="E801" s="1"/>
      </tp>
      <tp t="s">
        <v>N/A</v>
        <stp/>
        <stp>DELTA</stp>
        <stp>.IXUS201120P63</stp>
        <tr r="M362" s="1"/>
      </tp>
      <tp>
        <v>0.5</v>
        <stp/>
        <stp>LAST</stp>
        <stp>.XLB201120C69</stp>
        <tr r="E790" s="1"/>
      </tp>
      <tp t="s">
        <v>N/A</v>
        <stp/>
        <stp>LAST</stp>
        <stp>.ILF201120C25</stp>
        <tr r="E278" s="1"/>
      </tp>
      <tp>
        <v>0.28999999999999998</v>
        <stp/>
        <stp>LAST</stp>
        <stp>.XLF201120C27</stp>
        <tr r="E811" s="1"/>
      </tp>
      <tp t="s">
        <v>N/A</v>
        <stp/>
        <stp>OPEN</stp>
        <stp>.FVD201120C35</stp>
        <tr r="L186" s="1"/>
      </tp>
      <tp>
        <v>1.1000000000000001</v>
        <stp/>
        <stp>HIGH</stp>
        <stp>.JETS201120P20</stp>
        <tr r="J379" s="1"/>
      </tp>
      <tp>
        <v>2.4</v>
        <stp/>
        <stp>OPEN</stp>
        <stp>.GUSH201120P28</stp>
        <tr r="L219" s="1"/>
      </tp>
      <tp>
        <v>1.9</v>
        <stp/>
        <stp>OPEN</stp>
        <stp>.GUSH201120P27</stp>
        <tr r="L217" s="1"/>
      </tp>
      <tp>
        <v>1.5</v>
        <stp/>
        <stp>OPEN</stp>
        <stp>.GUSH201120P26</stp>
        <tr r="L215" s="1"/>
      </tp>
      <tp t="s">
        <v>N/A</v>
        <stp/>
        <stp>VEGA</stp>
        <stp>.SPYV201120C33</stp>
        <tr r="P635" s="1"/>
      </tp>
      <tp>
        <v>0.65</v>
        <stp/>
        <stp>ASK</stp>
        <stp>.MJ201120P13</stp>
        <tr r="I425" s="1"/>
      </tp>
      <tp t="s">
        <v>N/A</v>
        <stp/>
        <stp>RHO</stp>
        <stp>.VT201120P87</stp>
        <tr r="Q738" s="1"/>
      </tp>
      <tp t="s">
        <v>N/A</v>
        <stp/>
        <stp>RHO</stp>
        <stp>.VT201120P86</stp>
        <tr r="Q736" s="1"/>
      </tp>
      <tp t="s">
        <v>N/A</v>
        <stp/>
        <stp>VEGA</stp>
        <stp>.SHYG201120C45</stp>
        <tr r="P549" s="1"/>
      </tp>
      <tp t="s">
        <v>N/A</v>
        <stp/>
        <stp>VEGA</stp>
        <stp>.SPYG201120C53</stp>
        <tr r="P632" s="1"/>
      </tp>
      <tp t="s">
        <v>N/A</v>
        <stp/>
        <stp>VEGA</stp>
        <stp>.SPYG201120C52</stp>
        <tr r="P630" s="1"/>
      </tp>
      <tp t="s">
        <v>N/A</v>
        <stp/>
        <stp>EXTRINSIC</stp>
        <stp>FVD</stp>
        <tr r="S185" s="1"/>
      </tp>
      <tp t="s">
        <v>N/A</v>
        <stp/>
        <stp>INTRINSIC</stp>
        <stp>FVD</stp>
        <tr r="R185" s="1"/>
      </tp>
      <tp t="s">
        <v>N/A</v>
        <stp/>
        <stp>PROB_OF_TOUCHING</stp>
        <stp>USMV</stp>
        <tr r="V698" s="1"/>
      </tp>
      <tp t="s">
        <v>N/A</v>
        <stp/>
        <stp>THETA</stp>
        <stp>.MJ201120C13</stp>
        <tr r="O424" s="1"/>
      </tp>
      <tp t="s">
        <v>N/A</v>
        <stp/>
        <stp>EXTRINSIC</stp>
        <stp>.JNK201120C106.5</stp>
        <tr r="S381" s="1"/>
      </tp>
      <tp t="s">
        <v>N/A</v>
        <stp/>
        <stp>PROB_OF_TOUCHING</stp>
        <stp>ASHR</stp>
        <tr r="V43" s="1"/>
      </tp>
      <tp t="s">
        <v>N/A</v>
        <stp/>
        <stp>INTRINSIC</stp>
        <stp>.JNK201120C106.5</stp>
        <tr r="R381" s="1"/>
      </tp>
      <tp t="s">
        <v>N/A</v>
        <stp/>
        <stp>INTRINSIC</stp>
        <stp>FXI</stp>
        <tr r="R188" s="1"/>
      </tp>
      <tp t="s">
        <v>N/A</v>
        <stp/>
        <stp>EXTRINSIC</stp>
        <stp>FXI</stp>
        <tr r="S188" s="1"/>
      </tp>
      <tp t="s">
        <v>N/A</v>
        <stp/>
        <stp>INTRINSIC</stp>
        <stp>.TBT201120C17</stp>
        <tr r="R684" s="1"/>
      </tp>
      <tp t="s">
        <v>N/A</v>
        <stp/>
        <stp>INTRINSIC</stp>
        <stp>FEZ</stp>
        <tr r="R180" s="1"/>
      </tp>
      <tp t="s">
        <v>N/A</v>
        <stp/>
        <stp>EXTRINSIC</stp>
        <stp>FEZ</stp>
        <tr r="S180" s="1"/>
      </tp>
      <tp t="s">
        <v>N/A</v>
        <stp/>
        <stp>PROB_OTM</stp>
        <stp>.QUAL201120C110</stp>
        <tr r="U499" s="1"/>
      </tp>
      <tp t="s">
        <v>N/A</v>
        <stp/>
        <stp>PROB_OTM</stp>
        <stp>.QUAL201120P110</stp>
        <tr r="U500" s="1"/>
      </tp>
      <tp t="s">
        <v>N/A</v>
        <stp/>
        <stp>PROB_OTM</stp>
        <stp>.QUAL201120C111</stp>
        <tr r="U501" s="1"/>
      </tp>
      <tp t="s">
        <v>N/A</v>
        <stp/>
        <stp>PROB_OTM</stp>
        <stp>.QUAL201120P111</stp>
        <tr r="U502" s="1"/>
      </tp>
      <tp t="s">
        <v>N/A</v>
        <stp/>
        <stp>PROB_OTM</stp>
        <stp>.QUAL201120C112</stp>
        <tr r="U503" s="1"/>
      </tp>
      <tp t="s">
        <v>N/A</v>
        <stp/>
        <stp>PROB_OTM</stp>
        <stp>.QUAL201120P112</stp>
        <tr r="U504" s="1"/>
      </tp>
      <tp t="s">
        <v>N/A</v>
        <stp/>
        <stp>EXTRINSIC</stp>
        <stp>.VNQ201120C84</stp>
        <tr r="S725" s="1"/>
      </tp>
      <tp t="s">
        <v>N/A</v>
        <stp/>
        <stp>EXTRINSIC</stp>
        <stp>.VNQ201120C85</stp>
        <tr r="S727" s="1"/>
      </tp>
      <tp t="s">
        <v>N/A</v>
        <stp/>
        <stp>DELTA</stp>
        <stp>.MJ201120C13</stp>
        <tr r="M424" s="1"/>
      </tp>
      <tp t="s">
        <v>N/A</v>
        <stp/>
        <stp>EXTRINSIC</stp>
        <stp>.JNK201120P106.5</stp>
        <tr r="S382" s="1"/>
      </tp>
      <tp t="s">
        <v>N/A</v>
        <stp/>
        <stp>INTRINSIC</stp>
        <stp>.JNK201120P106.5</stp>
        <tr r="R382" s="1"/>
      </tp>
      <tp t="s">
        <v>N/A</v>
        <stp/>
        <stp>INTRINSIC</stp>
        <stp>.TBF201120C16</stp>
        <tr r="R681" s="1"/>
      </tp>
      <tp t="s">
        <v>N/A</v>
        <stp/>
        <stp>INTRINSIC</stp>
        <stp>.KBE201120C38</stp>
        <tr r="R386" s="1"/>
      </tp>
      <tp t="s">
        <v>N/A</v>
        <stp/>
        <stp>PUT_CALL_RATIO</stp>
        <stp>.ASHR201120C37.5</stp>
        <tr r="C44" s="1"/>
      </tp>
      <tp t="s">
        <v>N/A</v>
        <stp/>
        <stp>PUT_CALL_RATIO</stp>
        <stp>.ASHR201120P37.5</stp>
        <tr r="C45" s="1"/>
      </tp>
      <tp t="s">
        <v>N/A</v>
        <stp/>
        <stp>THETA</stp>
        <stp>.SHYG201120P45</stp>
        <tr r="O550" s="1"/>
      </tp>
      <tp t="s">
        <v>N/A</v>
        <stp/>
        <stp>THETA</stp>
        <stp>.SPYG201120P52</stp>
        <tr r="O631" s="1"/>
      </tp>
      <tp t="s">
        <v>N/A</v>
        <stp/>
        <stp>THETA</stp>
        <stp>.SPYG201120P53</stp>
        <tr r="O633" s="1"/>
      </tp>
      <tp>
        <v>0.52</v>
        <stp/>
        <stp>OPEN</stp>
        <stp>.EWZ201120C32</stp>
        <tr r="L175" s="1"/>
      </tp>
      <tp>
        <v>0.71</v>
        <stp/>
        <stp>OPEN</stp>
        <stp>.GDX201120P37</stp>
        <tr r="L199" s="1"/>
      </tp>
      <tp t="s">
        <v>N/A</v>
        <stp/>
        <stp>VEGA</stp>
        <stp>.DXD201120C14</stp>
        <tr r="P92" s="1"/>
      </tp>
      <tp t="s">
        <v>N/A</v>
        <stp/>
        <stp>STRIKE</stp>
        <stp>.XLY201120P152.5</stp>
        <tr r="W873" s="1"/>
      </tp>
      <tp t="s">
        <v>N/A</v>
        <stp/>
        <stp>STRIKE</stp>
        <stp>.XLK201120P122.5</stp>
        <tr r="W838" s="1"/>
      </tp>
      <tp t="s">
        <v>N/A</v>
        <stp/>
        <stp>OPEN</stp>
        <stp>.EWY201120C73</stp>
        <tr r="L168" s="1"/>
      </tp>
      <tp t="s">
        <v>N/A</v>
        <stp/>
        <stp>OPEN</stp>
        <stp>.EWY201120C72</stp>
        <tr r="L164" s="1"/>
      </tp>
      <tp t="s">
        <v>N/A</v>
        <stp/>
        <stp>VEGA</stp>
        <stp>.PXH201120C19</stp>
        <tr r="P458" s="1"/>
      </tp>
      <tp t="s">
        <v>N/A</v>
        <stp/>
        <stp>OPEN</stp>
        <stp>.EWT201120C48</stp>
        <tr r="L149" s="1"/>
      </tp>
      <tp t="s">
        <v>N/A</v>
        <stp/>
        <stp>HIGH</stp>
        <stp>.TBT201120P17</stp>
        <tr r="J685" s="1"/>
      </tp>
      <tp t="s">
        <v>N/A</v>
        <stp/>
        <stp>OPEN</stp>
        <stp>.SDS201120P14</stp>
        <tr r="L541" s="1"/>
      </tp>
      <tp t="s">
        <v>N/A</v>
        <stp/>
        <stp>OPEN</stp>
        <stp>.EWP201120C26</stp>
        <tr r="L146" s="1"/>
      </tp>
      <tp t="s">
        <v>N/A</v>
        <stp/>
        <stp>STRIKE</stp>
        <stp>.XBI201120P122.5</stp>
        <tr r="W767" s="1"/>
      </tp>
      <tp t="s">
        <v>N/A</v>
        <stp/>
        <stp>VEGA</stp>
        <stp>.PXH201120C20</stp>
        <tr r="P460" s="1"/>
      </tp>
      <tp t="s">
        <v>N/A</v>
        <stp/>
        <stp>VEGA</stp>
        <stp>.FXI201120C48</stp>
        <tr r="P193" s="1"/>
      </tp>
      <tp t="s">
        <v>N/A</v>
        <stp/>
        <stp>VEGA</stp>
        <stp>.FXI201120C47</stp>
        <tr r="P189" s="1"/>
      </tp>
      <tp>
        <v>0.6</v>
        <stp/>
        <stp>OPEN</stp>
        <stp>.EWW201120C39</stp>
        <tr r="L157" s="1"/>
      </tp>
      <tp>
        <v>20</v>
        <stp/>
        <stp>VOLUME</stp>
        <stp>.XLK201120C121.5</stp>
        <tr r="F833" s="1"/>
      </tp>
      <tp>
        <v>1</v>
        <stp/>
        <stp>VOLUME</stp>
        <stp>.XLV201120C111.5</stp>
        <tr r="F863" s="1"/>
      </tp>
      <tp>
        <v>12</v>
        <stp/>
        <stp>VOLUME</stp>
        <stp>.XLY201120C151.5</stp>
        <tr r="F868" s="1"/>
      </tp>
      <tp t="s">
        <v>N/A</v>
        <stp/>
        <stp>OPEN</stp>
        <stp>.EWL201120C43</stp>
        <tr r="L143" s="1"/>
      </tp>
      <tp t="s">
        <v>N/A</v>
        <stp/>
        <stp>OPEN</stp>
        <stp>.EWH201120C24</stp>
        <tr r="L130" s="1"/>
      </tp>
      <tp>
        <v>0</v>
        <stp/>
        <stp>OPEN</stp>
        <stp>.EWI201120C27</stp>
        <tr r="L133" s="1"/>
      </tp>
      <tp t="s">
        <v>N/A</v>
        <stp/>
        <stp>OPEN</stp>
        <stp>.VWO201120C47</stp>
        <tr r="L751" s="1"/>
      </tp>
      <tp>
        <v>0.62</v>
        <stp/>
        <stp>OPEN</stp>
        <stp>.EWJ201120C63</stp>
        <tr r="L136" s="1"/>
      </tp>
      <tp>
        <v>0.23</v>
        <stp/>
        <stp>OPEN</stp>
        <stp>.EWJ201120C64</stp>
        <tr r="L140" s="1"/>
      </tp>
      <tp t="s">
        <v>N/A</v>
        <stp/>
        <stp>STRIKE</stp>
        <stp>.XLY201120C152.5</stp>
        <tr r="W872" s="1"/>
      </tp>
      <tp t="s">
        <v>N/A</v>
        <stp/>
        <stp>STRIKE</stp>
        <stp>.XLK201120C122.5</stp>
        <tr r="W837" s="1"/>
      </tp>
      <tp t="s">
        <v>N/A</v>
        <stp/>
        <stp>THETA</stp>
        <stp>.SPYV201120P33</stp>
        <tr r="O636" s="1"/>
      </tp>
      <tp>
        <v>0.65</v>
        <stp/>
        <stp>OPEN</stp>
        <stp>.RWM201120C29</stp>
        <tr r="L518" s="1"/>
      </tp>
      <tp t="s">
        <v>N/A</v>
        <stp/>
        <stp>STRIKE</stp>
        <stp>.XBI201120C122.5</stp>
        <tr r="W766" s="1"/>
      </tp>
      <tp>
        <v>0</v>
        <stp/>
        <stp>HIGH</stp>
        <stp>.TBF201120P16</stp>
        <tr r="J682" s="1"/>
      </tp>
      <tp t="s">
        <v>N/A</v>
        <stp/>
        <stp>HIGH</stp>
        <stp>.KBE201120P38</stp>
        <tr r="J387" s="1"/>
      </tp>
      <tp t="s">
        <v>N/A</v>
        <stp/>
        <stp>OPEN</stp>
        <stp>.EWC201120C29</stp>
        <tr r="L124" s="1"/>
      </tp>
      <tp t="s">
        <v>N/A</v>
        <stp/>
        <stp>DELTA</stp>
        <stp>.JETS201120P20</stp>
        <tr r="M379" s="1"/>
      </tp>
      <tp t="s">
        <v>N/A</v>
        <stp/>
        <stp>OPEN</stp>
        <stp>.EWA201120C22</stp>
        <tr r="L121" s="1"/>
      </tp>
      <tp>
        <v>0.42</v>
        <stp/>
        <stp>LAST</stp>
        <stp>.XME201120C27</stp>
        <tr r="E887" s="1"/>
      </tp>
      <tp t="s">
        <v>N/A</v>
        <stp/>
        <stp>OPEN</stp>
        <stp>.EWG201120C30</stp>
        <tr r="L127" s="1"/>
      </tp>
      <tp>
        <v>57</v>
        <stp/>
        <stp>VOLUME</stp>
        <stp>.XLK201120P121.5</stp>
        <tr r="F834" s="1"/>
      </tp>
      <tp>
        <v>0</v>
        <stp/>
        <stp>VOLUME</stp>
        <stp>.XLV201120P111.5</stp>
        <tr r="F864" s="1"/>
      </tp>
      <tp t="s">
        <v>N/A</v>
        <stp/>
        <stp>VOLUME</stp>
        <stp>.XLY201120P151.5</stp>
        <tr r="F869" s="1"/>
      </tp>
      <tp>
        <v>0.7</v>
        <stp/>
        <stp>OPEN</stp>
        <stp>.DGRO201120P43</stp>
        <tr r="L61" s="1"/>
      </tp>
      <tp t="s">
        <v>N/A</v>
        <stp/>
        <stp>HIGH</stp>
        <stp>.IXUS201120P63</stp>
        <tr r="J362" s="1"/>
      </tp>
      <tp t="s">
        <v>N/A</v>
        <stp/>
        <stp>HIGH</stp>
        <stp>.VXUS201120P56</stp>
        <tr r="J755" s="1"/>
      </tp>
      <tp t="s">
        <v>N/A</v>
        <stp/>
        <stp>HIGH</stp>
        <stp>.VXUS201120P57</stp>
        <tr r="J757" s="1"/>
      </tp>
      <tp>
        <v>0.4</v>
        <stp/>
        <stp>OPEN</stp>
        <stp>.XLRE201120P37</stp>
        <tr r="L848" s="1"/>
      </tp>
      <tp>
        <v>1.55</v>
        <stp/>
        <stp>BID</stp>
        <stp>.VT201120P87</stp>
        <tr r="H738" s="1"/>
      </tp>
      <tp>
        <v>0.95</v>
        <stp/>
        <stp>BID</stp>
        <stp>.VT201120P86</stp>
        <tr r="H736" s="1"/>
      </tp>
      <tp t="s">
        <v>N/A</v>
        <stp/>
        <stp>VEGA</stp>
        <stp>.GDXJ201120C53</stp>
        <tr r="P207" s="1"/>
      </tp>
      <tp t="s">
        <v>N/A</v>
        <stp/>
        <stp>VEGA</stp>
        <stp>.GDXJ201120C52</stp>
        <tr r="P203" s="1"/>
      </tp>
      <tp t="s">
        <v>N/A</v>
        <stp/>
        <stp>VEGA</stp>
        <stp>.GDXJ201120C54</stp>
        <tr r="P211" s="1"/>
      </tp>
      <tp t="s">
        <v>N/A</v>
        <stp/>
        <stp>HIGH</stp>
        <stp>.IEFA201120C66</stp>
        <tr r="J254" s="1"/>
      </tp>
      <tp t="s">
        <v>N/A</v>
        <stp/>
        <stp>HIGH</stp>
        <stp>.IEFA201120C65</stp>
        <tr r="J252" s="1"/>
      </tp>
      <tp>
        <v>0.15</v>
        <stp/>
        <stp>LAST</stp>
        <stp>.PDBC201120C14</stp>
        <tr r="E452" s="1"/>
      </tp>
      <tp t="s">
        <v>N/A</v>
        <stp/>
        <stp>HIGH</stp>
        <stp>.EUFN201120C16</stp>
        <tr r="J118" s="1"/>
      </tp>
      <tp t="s">
        <v>N/A</v>
        <stp/>
        <stp>VEGA</stp>
        <stp>.ARKK201120P99</stp>
        <tr r="P31" s="1"/>
      </tp>
      <tp t="s">
        <v>N/A</v>
        <stp/>
        <stp>VEGA</stp>
        <stp>.ARKK201120P98</stp>
        <tr r="P29" s="1"/>
      </tp>
      <tp t="s">
        <v>N/A</v>
        <stp/>
        <stp>VEGA</stp>
        <stp>.ARKK201120P97</stp>
        <tr r="P27" s="1"/>
      </tp>
      <tp t="s">
        <v>N/A</v>
        <stp/>
        <stp>VEGA</stp>
        <stp>.AAXJ201120C84</stp>
        <tr r="P5" s="1"/>
      </tp>
      <tp t="s">
        <v>N/A</v>
        <stp/>
        <stp>VEGA</stp>
        <stp>.AAXJ201120C83</stp>
        <tr r="P3" s="1"/>
      </tp>
      <tp t="s">
        <v>N/A</v>
        <stp/>
        <stp>PROB_OF_EXPIRING</stp>
        <stp>KWEB</stp>
        <tr r="T397" s="1"/>
      </tp>
      <tp t="s">
        <v>N/A</v>
        <stp/>
        <stp>PROB_OF_TOUCHING</stp>
        <stp>ARKK</stp>
        <tr r="V25" s="1"/>
      </tp>
      <tp t="s">
        <v>N/A</v>
        <stp/>
        <stp>PROB_OF_TOUCHING</stp>
        <stp>ARKW</stp>
        <tr r="V34" s="1"/>
      </tp>
      <tp t="s">
        <v>N/A</v>
        <stp/>
        <stp>PROB_OF_TOUCHING</stp>
        <stp>DRIP</stp>
        <tr r="V81" s="1"/>
      </tp>
      <tp t="s">
        <v>N/A</v>
        <stp/>
        <stp>INTRINSIC</stp>
        <stp>.SCZ201120C63</stp>
        <tr r="R535" s="1"/>
      </tp>
      <tp t="s">
        <v>N/A</v>
        <stp/>
        <stp>IMPL_VOL</stp>
        <stp>.ARKK201120P100</stp>
        <tr r="D33" s="1"/>
      </tp>
      <tp t="s">
        <v>N/A</v>
        <stp/>
        <stp>IMPL_VOL</stp>
        <stp>.ARKK201120C100</stp>
        <tr r="D32" s="1"/>
      </tp>
      <tp t="s">
        <v>N/A</v>
        <stp/>
        <stp>PROB_OTM</stp>
        <stp>.MTUM201120P151</stp>
        <tr r="U432" s="1"/>
      </tp>
      <tp t="s">
        <v>N/A</v>
        <stp/>
        <stp>PROB_OTM</stp>
        <stp>.MTUM201120C151</stp>
        <tr r="U431" s="1"/>
      </tp>
      <tp t="s">
        <v>N/A</v>
        <stp/>
        <stp>PROB_OTM</stp>
        <stp>.MTUM201120P150</stp>
        <tr r="U430" s="1"/>
      </tp>
      <tp t="s">
        <v>N/A</v>
        <stp/>
        <stp>PROB_OTM</stp>
        <stp>.MTUM201120C150</stp>
        <tr r="U429" s="1"/>
      </tp>
      <tp t="s">
        <v>N/A</v>
        <stp/>
        <stp>PROB_OTM</stp>
        <stp>.MTUM201120P152</stp>
        <tr r="U434" s="1"/>
      </tp>
      <tp t="s">
        <v>N/A</v>
        <stp/>
        <stp>PROB_OTM</stp>
        <stp>.MTUM201120C152</stp>
        <tr r="U433" s="1"/>
      </tp>
      <tp t="s">
        <v>N/A</v>
        <stp/>
        <stp>PROB_OF_TOUCHING</stp>
        <stp>.ARKK201120P100</stp>
        <tr r="V33" s="1"/>
      </tp>
      <tp t="s">
        <v>N/A</v>
        <stp/>
        <stp>PROB_OF_TOUCHING</stp>
        <stp>.ARKK201120C100</stp>
        <tr r="V32" s="1"/>
      </tp>
      <tp t="s">
        <v>N/A</v>
        <stp/>
        <stp>PROB_OTM</stp>
        <stp>.MTUM201120P149</stp>
        <tr r="U428" s="1"/>
      </tp>
      <tp t="s">
        <v>N/A</v>
        <stp/>
        <stp>PROB_OTM</stp>
        <stp>.MTUM201120C149</stp>
        <tr r="U427" s="1"/>
      </tp>
      <tp t="s">
        <v>N/A</v>
        <stp/>
        <stp>INTRINSIC</stp>
        <stp>GDX</stp>
        <tr r="R195" s="1"/>
      </tp>
      <tp t="s">
        <v>N/A</v>
        <stp/>
        <stp>EXTRINSIC</stp>
        <stp>GDX</stp>
        <tr r="S195" s="1"/>
      </tp>
      <tp>
        <v>0</v>
        <stp/>
        <stp>OPEN_INT</stp>
        <stp>BKLN</stp>
        <tr r="G48" s="1"/>
      </tp>
      <tp t="s">
        <v>N/A</v>
        <stp/>
        <stp>EXTRINSIC</stp>
        <stp>.XOP201120C47</stp>
        <tr r="S890" s="1"/>
      </tp>
      <tp t="s">
        <v>N/A</v>
        <stp/>
        <stp>EXTRINSIC</stp>
        <stp>.XOP201120C48</stp>
        <tr r="S894" s="1"/>
      </tp>
      <tp t="s">
        <v>N/A</v>
        <stp/>
        <stp>EXTRINSIC</stp>
        <stp>.XOP201120C49</stp>
        <tr r="S898" s="1"/>
      </tp>
      <tp t="s">
        <v>N/A</v>
        <stp/>
        <stp>PROB_OF_TOUCHING</stp>
        <stp>SRVR</stp>
        <tr r="V637" s="1"/>
      </tp>
      <tp t="s">
        <v>N/A</v>
        <stp/>
        <stp>GAMMA</stp>
        <stp>.GUSH201120P28</stp>
        <tr r="N219" s="1"/>
      </tp>
      <tp t="s">
        <v>N/A</v>
        <stp/>
        <stp>GAMMA</stp>
        <stp>.GUSH201120P27</stp>
        <tr r="N217" s="1"/>
      </tp>
      <tp t="s">
        <v>N/A</v>
        <stp/>
        <stp>GAMMA</stp>
        <stp>.GUSH201120P26</stp>
        <tr r="N215" s="1"/>
      </tp>
      <tp t="s">
        <v>N/A</v>
        <stp/>
        <stp>OPEN</stp>
        <stp>.PGX201120P15</stp>
        <tr r="L456" s="1"/>
      </tp>
      <tp>
        <v>0.75</v>
        <stp/>
        <stp>LAST</stp>
        <stp>.VNQ201120C84</stp>
        <tr r="E725" s="1"/>
      </tp>
      <tp t="s">
        <v>N/A</v>
        <stp/>
        <stp>LAST</stp>
        <stp>.VNQ201120C85</stp>
        <tr r="E727" s="1"/>
      </tp>
      <tp>
        <v>2</v>
        <stp/>
        <stp>VOLUME</stp>
        <stp>.XBI201120C122.5</stp>
        <tr r="F766" s="1"/>
      </tp>
      <tp t="s">
        <v>N/A</v>
        <stp/>
        <stp>STRIKE</stp>
        <stp>.XLY201120P151.5</stp>
        <tr r="W869" s="1"/>
      </tp>
      <tp t="s">
        <v>N/A</v>
        <stp/>
        <stp>STRIKE</stp>
        <stp>.XLV201120P111.5</stp>
        <tr r="W864" s="1"/>
      </tp>
      <tp t="s">
        <v>N/A</v>
        <stp/>
        <stp>STRIKE</stp>
        <stp>.XLK201120P121.5</stp>
        <tr r="W834" s="1"/>
      </tp>
      <tp t="s">
        <v>N/A</v>
        <stp/>
        <stp>VEGA</stp>
        <stp>.XHB201120P55</stp>
        <tr r="P782" s="1"/>
      </tp>
      <tp t="s">
        <v>N/A</v>
        <stp/>
        <stp>VEGA</stp>
        <stp>.XHB201120P56</stp>
        <tr r="P786" s="1"/>
      </tp>
      <tp t="s">
        <v>N/A</v>
        <stp/>
        <stp>THETA</stp>
        <stp>.IGIB201120C61</stp>
        <tr r="O262" s="1"/>
      </tp>
      <tp t="s">
        <v>N/A</v>
        <stp/>
        <stp>DELTA</stp>
        <stp>.INDA201120C36</stp>
        <tr r="M281" s="1"/>
      </tp>
      <tp t="s">
        <v>N/A</v>
        <stp/>
        <stp>THETA</stp>
        <stp>.NAIL201120C49</stp>
        <tr r="O449" s="1"/>
      </tp>
      <tp t="s">
        <v>N/A</v>
        <stp/>
        <stp>DELTA</stp>
        <stp>.ACWI201120P86</stp>
        <tr r="M11" s="1"/>
      </tp>
      <tp t="s">
        <v>N/A</v>
        <stp/>
        <stp>THETA</stp>
        <stp>.NAIL201120C48</stp>
        <tr r="O447" s="1"/>
      </tp>
      <tp t="s">
        <v>N/A</v>
        <stp/>
        <stp>DELTA</stp>
        <stp>.ACWI201120P85</stp>
        <tr r="M9" s="1"/>
      </tp>
      <tp t="s">
        <v>N/A</v>
        <stp/>
        <stp>THETA</stp>
        <stp>.NAIL201120C45</stp>
        <tr r="O441" s="1"/>
      </tp>
      <tp t="s">
        <v>N/A</v>
        <stp/>
        <stp>THETA</stp>
        <stp>.NAIL201120C44</stp>
        <tr r="O439" s="1"/>
      </tp>
      <tp t="s">
        <v>N/A</v>
        <stp/>
        <stp>THETA</stp>
        <stp>.NAIL201120C47</stp>
        <tr r="O445" s="1"/>
      </tp>
      <tp t="s">
        <v>N/A</v>
        <stp/>
        <stp>THETA</stp>
        <stp>.NAIL201120C46</stp>
        <tr r="O443" s="1"/>
      </tp>
      <tp>
        <v>47</v>
        <stp/>
        <stp>VOLUME</stp>
        <stp>.XLK201120C122.5</stp>
        <tr r="F837" s="1"/>
      </tp>
      <tp t="s">
        <v>N/A</v>
        <stp/>
        <stp>VOLUME</stp>
        <stp>.XLY201120C152.5</stp>
        <tr r="F872" s="1"/>
      </tp>
      <tp t="s">
        <v>N/A</v>
        <stp/>
        <stp>HIGH</stp>
        <stp>.XRT201120C54</stp>
        <tr r="J903" s="1"/>
      </tp>
      <tp t="s">
        <v>N/A</v>
        <stp/>
        <stp>HIGH</stp>
        <stp>.XRT201120C55</stp>
        <tr r="J907" s="1"/>
      </tp>
      <tp>
        <v>199</v>
        <stp/>
        <stp>VOLUME</stp>
        <stp>.XBI201120P122.5</stp>
        <tr r="F767" s="1"/>
      </tp>
      <tp t="s">
        <v>N/A</v>
        <stp/>
        <stp>DELTA</stp>
        <stp>.INDY201120C38</stp>
        <tr r="M286" s="1"/>
      </tp>
      <tp t="s">
        <v>N/A</v>
        <stp/>
        <stp>THETA</stp>
        <stp>.VGIT201120C70</stp>
        <tr r="O719" s="1"/>
      </tp>
      <tp t="s">
        <v>N/A</v>
        <stp/>
        <stp>STRIKE</stp>
        <stp>.XLY201120C151.5</stp>
        <tr r="W868" s="1"/>
      </tp>
      <tp t="s">
        <v>N/A</v>
        <stp/>
        <stp>STRIKE</stp>
        <stp>.XLV201120C111.5</stp>
        <tr r="W863" s="1"/>
      </tp>
      <tp t="s">
        <v>N/A</v>
        <stp/>
        <stp>STRIKE</stp>
        <stp>.XLK201120C121.5</stp>
        <tr r="W833" s="1"/>
      </tp>
      <tp>
        <v>2.2599999999999998</v>
        <stp/>
        <stp>HIGH</stp>
        <stp>.TAN201120P73</stp>
        <tr r="J663" s="1"/>
      </tp>
      <tp>
        <v>1.82</v>
        <stp/>
        <stp>HIGH</stp>
        <stp>.TAN201120P74</stp>
        <tr r="J667" s="1"/>
      </tp>
      <tp>
        <v>3.4</v>
        <stp/>
        <stp>HIGH</stp>
        <stp>.TAN201120P75</stp>
        <tr r="J671" s="1"/>
      </tp>
      <tp>
        <v>0</v>
        <stp/>
        <stp>HIGH</stp>
        <stp>.TAN201120P76</stp>
        <tr r="J675" s="1"/>
      </tp>
      <tp>
        <v>3.6</v>
        <stp/>
        <stp>HIGH</stp>
        <stp>.TAN201120P77</stp>
        <tr r="J679" s="1"/>
      </tp>
      <tp>
        <v>0</v>
        <stp/>
        <stp>OPEN</stp>
        <stp>.VGK201120P57</stp>
        <tr r="L723" s="1"/>
      </tp>
      <tp t="s">
        <v>N/A</v>
        <stp/>
        <stp>THETA</stp>
        <stp>.DRIP201120C45</stp>
        <tr r="O82" s="1"/>
      </tp>
      <tp t="s">
        <v>N/A</v>
        <stp/>
        <stp>DELTA</stp>
        <stp>.ACWX201120P50</stp>
        <tr r="M14" s="1"/>
      </tp>
      <tp>
        <v>1</v>
        <stp/>
        <stp>VOLUME</stp>
        <stp>.XLK201120P122.5</stp>
        <tr r="F838" s="1"/>
      </tp>
      <tp t="s">
        <v>N/A</v>
        <stp/>
        <stp>VOLUME</stp>
        <stp>.XLY201120P152.5</stp>
        <tr r="F873" s="1"/>
      </tp>
      <tp t="s">
        <v>N/A</v>
        <stp/>
        <stp>DELTA</stp>
        <stp>.SPDW201120C32</stp>
        <tr r="M579" s="1"/>
      </tp>
      <tp t="s">
        <v>N/A</v>
        <stp/>
        <stp>THETA</stp>
        <stp>.VCIT201120C96</stp>
        <tr r="O702" s="1"/>
      </tp>
      <tp>
        <v>1.3</v>
        <stp/>
        <stp>HIGH</stp>
        <stp>.KRE201120C46</stp>
        <tr r="J389" s="1"/>
      </tp>
      <tp>
        <v>0.88</v>
        <stp/>
        <stp>HIGH</stp>
        <stp>.KRE201120C47</stp>
        <tr r="J393" s="1"/>
      </tp>
      <tp t="s">
        <v>N/A</v>
        <stp/>
        <stp>OPEN</stp>
        <stp>.ITB201120C55</stp>
        <tr r="L291" s="1"/>
      </tp>
      <tp t="s">
        <v>N/A</v>
        <stp/>
        <stp>OPEN</stp>
        <stp>.ITB201120C56</stp>
        <tr r="L295" s="1"/>
      </tp>
      <tp>
        <v>0</v>
        <stp/>
        <stp>HIGH</stp>
        <stp>.SRVR201120P35</stp>
        <tr r="J639" s="1"/>
      </tp>
      <tp t="s">
        <v>N/A</v>
        <stp/>
        <stp>HIGH</stp>
        <stp>.SRVR201120P36</stp>
        <tr r="J641" s="1"/>
      </tp>
      <tp>
        <v>0</v>
        <stp/>
        <stp>OPEN</stp>
        <stp>.PDBC201120C14</stp>
        <tr r="L452" s="1"/>
      </tp>
      <tp t="s">
        <v>N/A</v>
        <stp/>
        <stp>VEGA</stp>
        <stp>.SCHP201120P61</stp>
        <tr r="P533" s="1"/>
      </tp>
      <tp t="s">
        <v>N/A</v>
        <stp/>
        <stp>VEGA</stp>
        <stp>.ASHR201120P38</stp>
        <tr r="P47" s="1"/>
      </tp>
      <tp>
        <v>0.7</v>
        <stp/>
        <stp>LAST</stp>
        <stp>.DGRO201120P43</stp>
        <tr r="E61" s="1"/>
      </tp>
      <tp t="s">
        <v>N/A</v>
        <stp/>
        <stp>HIGH</stp>
        <stp>.KWEB201120C74</stp>
        <tr r="J402" s="1"/>
      </tp>
      <tp t="s">
        <v>N/A</v>
        <stp/>
        <stp>HIGH</stp>
        <stp>.KWEB201120C73</stp>
        <tr r="J400" s="1"/>
      </tp>
      <tp t="s">
        <v>N/A</v>
        <stp/>
        <stp>HIGH</stp>
        <stp>.KWEB201120C72</stp>
        <tr r="J398" s="1"/>
      </tp>
      <tp t="s">
        <v>N/A</v>
        <stp/>
        <stp>LOW</stp>
        <stp>.SH201120P19</stp>
        <tr r="K544" s="1"/>
      </tp>
      <tp t="s">
        <v>N/A</v>
        <stp/>
        <stp>VEGA</stp>
        <stp>.SCHF201120P34</stp>
        <tr r="P530" s="1"/>
      </tp>
      <tp t="s">
        <v>N/A</v>
        <stp/>
        <stp>VEGA</stp>
        <stp>.SCHE201120P29</stp>
        <tr r="P527" s="1"/>
      </tp>
      <tp t="s">
        <v>N/A</v>
        <stp/>
        <stp>VEGA</stp>
        <stp>.SPHD201120P36</stp>
        <tr r="P583" s="1"/>
      </tp>
      <tp t="s">
        <v>N/A</v>
        <stp/>
        <stp>VEGA</stp>
        <stp>.MCHI201120P80</stp>
        <tr r="P413" s="1"/>
      </tp>
      <tp>
        <v>0.85</v>
        <stp/>
        <stp>HIGH</stp>
        <stp>.DFEN201120C13</stp>
        <tr r="J55" s="1"/>
      </tp>
      <tp>
        <v>0.3</v>
        <stp/>
        <stp>HIGH</stp>
        <stp>.DFEN201120C14</stp>
        <tr r="J57" s="1"/>
      </tp>
      <tp t="s">
        <v>N/A</v>
        <stp/>
        <stp>VEGA</stp>
        <stp>.SCHD201120P61</stp>
        <tr r="P522" s="1"/>
      </tp>
      <tp t="s">
        <v>N/A</v>
        <stp/>
        <stp>VEGA</stp>
        <stp>.SCHD201120P62</stp>
        <tr r="P524" s="1"/>
      </tp>
      <tp>
        <v>0.8</v>
        <stp/>
        <stp>LAST</stp>
        <stp>.XLRE201120P37</stp>
        <tr r="E848" s="1"/>
      </tp>
      <tp t="s">
        <v>N/A</v>
        <stp/>
        <stp>EXTRINSIC</stp>
        <stp>.QLD201120C96</stp>
        <tr r="S463" s="1"/>
      </tp>
      <tp t="s">
        <v>N/A</v>
        <stp/>
        <stp>EXTRINSIC</stp>
        <stp>.QLD201120C97</stp>
        <tr r="S465" s="1"/>
      </tp>
      <tp t="s">
        <v>N/A</v>
        <stp/>
        <stp>EXTRINSIC</stp>
        <stp>.QLD201120C98</stp>
        <tr r="S467" s="1"/>
      </tp>
      <tp t="s">
        <v>N/A</v>
        <stp/>
        <stp>EXTRINSIC</stp>
        <stp>.QLD201120C99</stp>
        <tr r="S469" s="1"/>
      </tp>
      <tp t="s">
        <v>N/A</v>
        <stp/>
        <stp>GAMMA</stp>
        <stp>.VT201120C86</stp>
        <tr r="N735" s="1"/>
      </tp>
      <tp t="s">
        <v>N/A</v>
        <stp/>
        <stp>GAMMA</stp>
        <stp>.VT201120C87</stp>
        <tr r="N737" s="1"/>
      </tp>
      <tp t="s">
        <v>N/A</v>
        <stp/>
        <stp>INTRINSIC</stp>
        <stp>.IWF201120P227.5</stp>
        <tr r="R344" s="1"/>
      </tp>
      <tp t="s">
        <v>N/A</v>
        <stp/>
        <stp>INTRINSIC</stp>
        <stp>.RSX201120P22</stp>
        <tr r="R514" s="1"/>
      </tp>
      <tp t="s">
        <v>N/A</v>
        <stp/>
        <stp>INTRINSIC</stp>
        <stp>.IVV201120P357.5</stp>
        <tr r="R319" s="1"/>
      </tp>
      <tp t="s">
        <v>N/A</v>
        <stp/>
        <stp>INTRINSIC</stp>
        <stp>DVY</stp>
        <tr r="R84" s="1"/>
      </tp>
      <tp t="s">
        <v>N/A</v>
        <stp/>
        <stp>EXTRINSIC</stp>
        <stp>DVY</stp>
        <tr r="S84" s="1"/>
      </tp>
      <tp t="s">
        <v>N/A</v>
        <stp/>
        <stp>EXTRINSIC</stp>
        <stp>.XLB201120C70</stp>
        <tr r="S794" s="1"/>
      </tp>
      <tp t="s">
        <v>N/A</v>
        <stp/>
        <stp>EXTRINSIC</stp>
        <stp>.XLC201120C63</stp>
        <tr r="S797" s="1"/>
      </tp>
      <tp t="s">
        <v>N/A</v>
        <stp/>
        <stp>EXTRINSIC</stp>
        <stp>.XLC201120C64</stp>
        <tr r="S801" s="1"/>
      </tp>
      <tp t="s">
        <v>N/A</v>
        <stp/>
        <stp>EXTRINSIC</stp>
        <stp>.ILF201120C25</stp>
        <tr r="S278" s="1"/>
      </tp>
      <tp t="s">
        <v>N/A</v>
        <stp/>
        <stp>EXTRINSIC</stp>
        <stp>.XLF201120C27</stp>
        <tr r="S811" s="1"/>
      </tp>
      <tp t="s">
        <v>N/A</v>
        <stp/>
        <stp>EXTRINSIC</stp>
        <stp>.XLB201120C69</stp>
        <tr r="S790" s="1"/>
      </tp>
      <tp t="s">
        <v>N/A</v>
        <stp/>
        <stp>PROB_OF_EXPIRING</stp>
        <stp>ITOT</stp>
        <tr r="T297" s="1"/>
      </tp>
      <tp t="s">
        <v>N/A</v>
        <stp/>
        <stp>EXTRINSIC</stp>
        <stp>.XLE201120C34</stp>
        <tr r="S806" s="1"/>
      </tp>
      <tp t="s">
        <v>N/A</v>
        <stp/>
        <stp>EXTRINSIC</stp>
        <stp>DXD</stp>
        <tr r="S91" s="1"/>
      </tp>
      <tp t="s">
        <v>N/A</v>
        <stp/>
        <stp>INTRINSIC</stp>
        <stp>DXD</stp>
        <tr r="R91" s="1"/>
      </tp>
      <tp t="s">
        <v>N/A</v>
        <stp/>
        <stp>EXTRINSIC</stp>
        <stp>.XLI201120C84</stp>
        <tr r="S814" s="1"/>
      </tp>
      <tp t="s">
        <v>N/A</v>
        <stp/>
        <stp>EXTRINSIC</stp>
        <stp>.XLI201120C85</stp>
        <tr r="S818" s="1"/>
      </tp>
      <tp t="s">
        <v>N/A</v>
        <stp/>
        <stp>EXTRINSIC</stp>
        <stp>.XLI201120C86</stp>
        <tr r="S822" s="1"/>
      </tp>
      <tp t="s">
        <v>N/A</v>
        <stp/>
        <stp>EXTRINSIC</stp>
        <stp>.IWF201120P227.5</stp>
        <tr r="S344" s="1"/>
      </tp>
      <tp>
        <v>0</v>
        <stp/>
        <stp>OPEN_INT</stp>
        <stp>SHYG</stp>
        <tr r="G548" s="1"/>
      </tp>
      <tp t="s">
        <v>N/A</v>
        <stp/>
        <stp>EXTRINSIC</stp>
        <stp>.IVV201120P357.5</stp>
        <tr r="S319" s="1"/>
      </tp>
      <tp t="s">
        <v>N/A</v>
        <stp/>
        <stp>PROB_OF_EXPIRING</stp>
        <stp>MTUM</stp>
        <tr r="T426" s="1"/>
      </tp>
      <tp t="s">
        <v>N/A</v>
        <stp/>
        <stp>INTRINSIC</stp>
        <stp>.IVV201120C357.5</stp>
        <tr r="R318" s="1"/>
      </tp>
      <tp t="s">
        <v>N/A</v>
        <stp/>
        <stp>INTRINSIC</stp>
        <stp>.IWF201120C227.5</stp>
        <tr r="R343" s="1"/>
      </tp>
      <tp t="s">
        <v>N/A</v>
        <stp/>
        <stp>PROB_OTM</stp>
        <stp>IXUS</stp>
        <tr r="U360" s="1"/>
      </tp>
      <tp t="s">
        <v>N/A</v>
        <stp/>
        <stp>PROB_OTM</stp>
        <stp>VXUS</stp>
        <tr r="U753" s="1"/>
      </tp>
      <tp t="s">
        <v>N/A</v>
        <stp/>
        <stp>EXTRINSIC</stp>
        <stp>.XLP201120C67</stp>
        <tr r="S844" s="1"/>
      </tp>
      <tp t="s">
        <v>N/A</v>
        <stp/>
        <stp>INTRINSIC</stp>
        <stp>.SSO201120P81</stp>
        <tr r="R644" s="1"/>
      </tp>
      <tp t="s">
        <v>N/A</v>
        <stp/>
        <stp>INTRINSIC</stp>
        <stp>.SSO201120P82</stp>
        <tr r="R648" s="1"/>
      </tp>
      <tp t="s">
        <v>N/A</v>
        <stp/>
        <stp>INTRINSIC</stp>
        <stp>.SSO201120P83</stp>
        <tr r="R652" s="1"/>
      </tp>
      <tp t="s">
        <v>N/A</v>
        <stp/>
        <stp>INTRINSIC</stp>
        <stp>.SSO201120P84</stp>
        <tr r="R656" s="1"/>
      </tp>
      <tp t="s">
        <v>N/A</v>
        <stp/>
        <stp>EXTRINSIC</stp>
        <stp>DIA</stp>
        <tr r="S62" s="1"/>
      </tp>
      <tp t="s">
        <v>N/A</v>
        <stp/>
        <stp>INTRINSIC</stp>
        <stp>DIA</stp>
        <tr r="R62" s="1"/>
      </tp>
      <tp t="s">
        <v>N/A</v>
        <stp/>
        <stp>EXTRINSIC</stp>
        <stp>.XLU201120C66</stp>
        <tr r="S850" s="1"/>
      </tp>
      <tp t="s">
        <v>N/A</v>
        <stp/>
        <stp>EXTRINSIC</stp>
        <stp>.XLU201120C67</stp>
        <tr r="S854" s="1"/>
      </tp>
      <tp t="s">
        <v>N/A</v>
        <stp/>
        <stp>EXTRINSIC</stp>
        <stp>.IVV201120C357.5</stp>
        <tr r="S318" s="1"/>
      </tp>
      <tp t="s">
        <v>N/A</v>
        <stp/>
        <stp>EXTRINSIC</stp>
        <stp>.IWF201120C227.5</stp>
        <tr r="S343" s="1"/>
      </tp>
      <tp t="s">
        <v>N/A</v>
        <stp/>
        <stp>PUT_CALL_RATIO</stp>
        <stp>.GDXJ201120P53.5</stp>
        <tr r="C210" s="1"/>
      </tp>
      <tp t="s">
        <v>N/A</v>
        <stp/>
        <stp>PUT_CALL_RATIO</stp>
        <stp>.GDXJ201120C53.5</stp>
        <tr r="C209" s="1"/>
      </tp>
      <tp t="s">
        <v>N/A</v>
        <stp/>
        <stp>GAMMA</stp>
        <stp>.DGRO201120P43</stp>
        <tr r="N61" s="1"/>
      </tp>
      <tp t="s">
        <v>N/A</v>
        <stp/>
        <stp>THETA</stp>
        <stp>.SCHD201120C61</stp>
        <tr r="O521" s="1"/>
      </tp>
      <tp t="s">
        <v>N/A</v>
        <stp/>
        <stp>THETA</stp>
        <stp>.SCHD201120C62</stp>
        <tr r="O523" s="1"/>
      </tp>
      <tp t="s">
        <v>N/A</v>
        <stp/>
        <stp>THETA</stp>
        <stp>.MCHI201120C80</stp>
        <tr r="O412" s="1"/>
      </tp>
      <tp>
        <v>6</v>
        <stp/>
        <stp>VOLUME</stp>
        <stp>.XBI201120C123.5</stp>
        <tr r="F770" s="1"/>
      </tp>
      <tp t="s">
        <v>N/A</v>
        <stp/>
        <stp>THETA</stp>
        <stp>.SPHD201120C36</stp>
        <tr r="O582" s="1"/>
      </tp>
      <tp t="s">
        <v>N/A</v>
        <stp/>
        <stp>THETA</stp>
        <stp>.SCHE201120C29</stp>
        <tr r="O526" s="1"/>
      </tp>
      <tp t="s">
        <v>N/A</v>
        <stp/>
        <stp>STRIKE</stp>
        <stp>.XLV201120P110.5</stp>
        <tr r="W860" s="1"/>
      </tp>
      <tp t="s">
        <v>N/A</v>
        <stp/>
        <stp>STRIKE</stp>
        <stp>.XLK201120P120.5</stp>
        <tr r="W830" s="1"/>
      </tp>
      <tp t="s">
        <v>N/A</v>
        <stp/>
        <stp>DELTA</stp>
        <stp>.DFEN201120C13</stp>
        <tr r="M55" s="1"/>
      </tp>
      <tp t="s">
        <v>N/A</v>
        <stp/>
        <stp>DELTA</stp>
        <stp>.DFEN201120C14</stp>
        <tr r="M57" s="1"/>
      </tp>
      <tp t="s">
        <v>N/A</v>
        <stp/>
        <stp>HIGH</stp>
        <stp>.RSX201120C22</stp>
        <tr r="J513" s="1"/>
      </tp>
      <tp t="s">
        <v>N/A</v>
        <stp/>
        <stp>THETA</stp>
        <stp>.SCHF201120C34</stp>
        <tr r="O529" s="1"/>
      </tp>
      <tp t="s">
        <v>N/A</v>
        <stp/>
        <stp>OPEN</stp>
        <stp>.EFV201120P45</stp>
        <tr r="L110" s="1"/>
      </tp>
      <tp>
        <v>13</v>
        <stp/>
        <stp>VOLUME</stp>
        <stp>.SMH201120C198.5</stp>
        <tr r="F576" s="1"/>
      </tp>
      <tp t="s">
        <v>N/A</v>
        <stp/>
        <stp>VOLUME</stp>
        <stp>.XLY201120C153.5</stp>
        <tr r="F876" s="1"/>
      </tp>
      <tp t="s">
        <v>N/A</v>
        <stp/>
        <stp>GAMMA</stp>
        <stp>.XLRE201120P37</stp>
        <tr r="N848" s="1"/>
      </tp>
      <tp t="s">
        <v>N/A</v>
        <stp/>
        <stp>DELTA</stp>
        <stp>.KWEB201120C74</stp>
        <tr r="M402" s="1"/>
      </tp>
      <tp t="s">
        <v>N/A</v>
        <stp/>
        <stp>DELTA</stp>
        <stp>.KWEB201120C72</stp>
        <tr r="M398" s="1"/>
      </tp>
      <tp t="s">
        <v>N/A</v>
        <stp/>
        <stp>DELTA</stp>
        <stp>.KWEB201120C73</stp>
        <tr r="M400" s="1"/>
      </tp>
      <tp t="s">
        <v>N/A</v>
        <stp/>
        <stp>LAST</stp>
        <stp>.XOP201120C48</stp>
        <tr r="E894" s="1"/>
      </tp>
      <tp>
        <v>0.45</v>
        <stp/>
        <stp>LAST</stp>
        <stp>.XOP201120C49</stp>
        <tr r="E898" s="1"/>
      </tp>
      <tp t="s">
        <v>N/A</v>
        <stp/>
        <stp>LAST</stp>
        <stp>.XOP201120C47</stp>
        <tr r="E890" s="1"/>
      </tp>
      <tp>
        <v>31</v>
        <stp/>
        <stp>VOLUME</stp>
        <stp>.XBI201120P123.5</stp>
        <tr r="F771" s="1"/>
      </tp>
      <tp t="s">
        <v>N/A</v>
        <stp/>
        <stp>VEGA</stp>
        <stp>.EZU201120C42</stp>
        <tr r="P178" s="1"/>
      </tp>
      <tp t="s">
        <v>N/A</v>
        <stp/>
        <stp>VEGA</stp>
        <stp>.BZQ201120C12</stp>
        <tr r="P52" s="1"/>
      </tp>
      <tp t="s">
        <v>N/A</v>
        <stp/>
        <stp>THETA</stp>
        <stp>.ASHR201120C38</stp>
        <tr r="O46" s="1"/>
      </tp>
      <tp t="s">
        <v>N/A</v>
        <stp/>
        <stp>THETA</stp>
        <stp>.SCHP201120C61</stp>
        <tr r="O532" s="1"/>
      </tp>
      <tp t="s">
        <v>N/A</v>
        <stp/>
        <stp>STRIKE</stp>
        <stp>.XLV201120C110.5</stp>
        <tr r="W859" s="1"/>
      </tp>
      <tp t="s">
        <v>N/A</v>
        <stp/>
        <stp>STRIKE</stp>
        <stp>.XLK201120C120.5</stp>
        <tr r="W829" s="1"/>
      </tp>
      <tp t="s">
        <v>N/A</v>
        <stp/>
        <stp>OPEN</stp>
        <stp>.VFH201120P67</stp>
        <tr r="L717" s="1"/>
      </tp>
      <tp t="s">
        <v>N/A</v>
        <stp/>
        <stp>OPEN</stp>
        <stp>.VFH201120P66</stp>
        <tr r="L715" s="1"/>
      </tp>
      <tp t="s">
        <v>N/A</v>
        <stp/>
        <stp>HIGH</stp>
        <stp>.SSO201120C81</stp>
        <tr r="J643" s="1"/>
      </tp>
      <tp t="s">
        <v>N/A</v>
        <stp/>
        <stp>HIGH</stp>
        <stp>.SSO201120C82</stp>
        <tr r="J647" s="1"/>
      </tp>
      <tp t="s">
        <v>N/A</v>
        <stp/>
        <stp>HIGH</stp>
        <stp>.SSO201120C83</stp>
        <tr r="J651" s="1"/>
      </tp>
      <tp t="s">
        <v>N/A</v>
        <stp/>
        <stp>HIGH</stp>
        <stp>.SSO201120C84</stp>
        <tr r="J655" s="1"/>
      </tp>
      <tp t="s">
        <v>N/A</v>
        <stp/>
        <stp>DELTA</stp>
        <stp>.SRVR201120P35</stp>
        <tr r="M639" s="1"/>
      </tp>
      <tp t="s">
        <v>N/A</v>
        <stp/>
        <stp>DELTA</stp>
        <stp>.SRVR201120P36</stp>
        <tr r="M641" s="1"/>
      </tp>
      <tp t="s">
        <v>N/A</v>
        <stp/>
        <stp>VOLUME</stp>
        <stp>.XLY201120P153.5</stp>
        <tr r="F877" s="1"/>
      </tp>
      <tp t="s">
        <v>N/A</v>
        <stp/>
        <stp>OPEN</stp>
        <stp>.EFA201120P70</stp>
        <tr r="L107" s="1"/>
      </tp>
      <tp>
        <v>0</v>
        <stp/>
        <stp>VOLUME</stp>
        <stp>.SMH201120P198.5</stp>
        <tr r="F577" s="1"/>
      </tp>
      <tp>
        <v>0.9</v>
        <stp/>
        <stp>OPEN</stp>
        <stp>.EFA201120P69</stp>
        <tr r="L103" s="1"/>
      </tp>
      <tp t="s">
        <v>N/A</v>
        <stp/>
        <stp>VEGA</stp>
        <stp>.VCIT201120P96</stp>
        <tr r="P703" s="1"/>
      </tp>
      <tp>
        <v>0</v>
        <stp/>
        <stp>HIGH</stp>
        <stp>.SPDW201120C32</stp>
        <tr r="J579" s="1"/>
      </tp>
      <tp t="s">
        <v>N/A</v>
        <stp/>
        <stp>VEGA</stp>
        <stp>.DRIP201120P45</stp>
        <tr r="P83" s="1"/>
      </tp>
      <tp>
        <v>0</v>
        <stp/>
        <stp>HIGH</stp>
        <stp>.INDY201120C38</stp>
        <tr r="J286" s="1"/>
      </tp>
      <tp t="s">
        <v>N/A</v>
        <stp/>
        <stp>HIGH</stp>
        <stp>.ACWX201120P50</stp>
        <tr r="J14" s="1"/>
      </tp>
      <tp t="s">
        <v>N/A</v>
        <stp/>
        <stp>VEGA</stp>
        <stp>.VGIT201120P70</stp>
        <tr r="P720" s="1"/>
      </tp>
      <tp t="s">
        <v>N/A</v>
        <stp/>
        <stp>DESCRIPTION</stp>
        <stp>.MJ201120C13</stp>
        <tr r="B424" s="1"/>
      </tp>
      <tp t="s">
        <v>N/A</v>
        <stp/>
        <stp>HIGH</stp>
        <stp>.ACWI201120P86</stp>
        <tr r="J11" s="1"/>
      </tp>
      <tp t="s">
        <v>N/A</v>
        <stp/>
        <stp>HIGH</stp>
        <stp>.ACWI201120P85</stp>
        <tr r="J9" s="1"/>
      </tp>
      <tp>
        <v>3.8</v>
        <stp/>
        <stp>LAST</stp>
        <stp>.GUSH201120P28</stp>
        <tr r="E219" s="1"/>
      </tp>
      <tp>
        <v>2.5</v>
        <stp/>
        <stp>LAST</stp>
        <stp>.GUSH201120P27</stp>
        <tr r="E217" s="1"/>
      </tp>
      <tp>
        <v>2.35</v>
        <stp/>
        <stp>LAST</stp>
        <stp>.GUSH201120P26</stp>
        <tr r="E215" s="1"/>
      </tp>
      <tp t="s">
        <v>N/A</v>
        <stp/>
        <stp>HIGH</stp>
        <stp>.INDA201120C36</stp>
        <tr r="J281" s="1"/>
      </tp>
      <tp t="s">
        <v>N/A</v>
        <stp/>
        <stp>EXTRINSIC</stp>
        <stp>.INDA201120P36.5</stp>
        <tr r="S284" s="1"/>
      </tp>
      <tp t="s">
        <v>N/A</v>
        <stp/>
        <stp>EXTRINSIC</stp>
        <stp>.INDA201120C36.5</stp>
        <tr r="S283" s="1"/>
      </tp>
      <tp t="s">
        <v>N/A</v>
        <stp/>
        <stp>VEGA</stp>
        <stp>.NAIL201120P44</stp>
        <tr r="P440" s="1"/>
      </tp>
      <tp t="s">
        <v>N/A</v>
        <stp/>
        <stp>VEGA</stp>
        <stp>.NAIL201120P45</stp>
        <tr r="P442" s="1"/>
      </tp>
      <tp t="s">
        <v>N/A</v>
        <stp/>
        <stp>VEGA</stp>
        <stp>.NAIL201120P46</stp>
        <tr r="P444" s="1"/>
      </tp>
      <tp t="s">
        <v>N/A</v>
        <stp/>
        <stp>VEGA</stp>
        <stp>.NAIL201120P47</stp>
        <tr r="P446" s="1"/>
      </tp>
      <tp t="s">
        <v>N/A</v>
        <stp/>
        <stp>VEGA</stp>
        <stp>.NAIL201120P48</stp>
        <tr r="P448" s="1"/>
      </tp>
      <tp t="s">
        <v>N/A</v>
        <stp/>
        <stp>VEGA</stp>
        <stp>.NAIL201120P49</stp>
        <tr r="P450" s="1"/>
      </tp>
      <tp t="s">
        <v>N/A</v>
        <stp/>
        <stp>INTRINSIC</stp>
        <stp>.INDA201120C36.5</stp>
        <tr r="R283" s="1"/>
      </tp>
      <tp t="s">
        <v>N/A</v>
        <stp/>
        <stp>INTRINSIC</stp>
        <stp>.INDA201120P36.5</stp>
        <tr r="R284" s="1"/>
      </tp>
      <tp t="s">
        <v>N/A</v>
        <stp/>
        <stp>VEGA</stp>
        <stp>.IGIB201120P61</stp>
        <tr r="P263" s="1"/>
      </tp>
      <tp t="s">
        <v>N/A</v>
        <stp/>
        <stp>INTRINSIC</stp>
        <stp>.MDY201120C382.5</stp>
        <tr r="R417" s="1"/>
      </tp>
      <tp t="s">
        <v>N/A</v>
        <stp/>
        <stp>EXTRINSIC</stp>
        <stp>EWT</stp>
        <tr r="S148" s="1"/>
      </tp>
      <tp t="s">
        <v>N/A</v>
        <stp/>
        <stp>EXTRINSIC</stp>
        <stp>EWU</stp>
        <tr r="S151" s="1"/>
      </tp>
      <tp t="s">
        <v>N/A</v>
        <stp/>
        <stp>INTRINSIC</stp>
        <stp>EWY</stp>
        <tr r="R161" s="1"/>
      </tp>
      <tp t="s">
        <v>N/A</v>
        <stp/>
        <stp>INTRINSIC</stp>
        <stp>EWZ</stp>
        <tr r="R172" s="1"/>
      </tp>
      <tp t="s">
        <v>N/A</v>
        <stp/>
        <stp>EXTRINSIC</stp>
        <stp>EWW</stp>
        <tr r="S154" s="1"/>
      </tp>
      <tp t="s">
        <v>N/A</v>
        <stp/>
        <stp>EXTRINSIC</stp>
        <stp>EWP</stp>
        <tr r="S145" s="1"/>
      </tp>
      <tp t="s">
        <v>N/A</v>
        <stp/>
        <stp>INTRINSIC</stp>
        <stp>EWP</stp>
        <tr r="R145" s="1"/>
      </tp>
      <tp t="s">
        <v>N/A</v>
        <stp/>
        <stp>INTRINSIC</stp>
        <stp>EWT</stp>
        <tr r="R148" s="1"/>
      </tp>
      <tp t="s">
        <v>N/A</v>
        <stp/>
        <stp>EXTRINSIC</stp>
        <stp>EWY</stp>
        <tr r="S161" s="1"/>
      </tp>
      <tp t="s">
        <v>N/A</v>
        <stp/>
        <stp>INTRINSIC</stp>
        <stp>EWU</stp>
        <tr r="R151" s="1"/>
      </tp>
      <tp t="s">
        <v>N/A</v>
        <stp/>
        <stp>EXTRINSIC</stp>
        <stp>EWZ</stp>
        <tr r="S172" s="1"/>
      </tp>
      <tp t="s">
        <v>N/A</v>
        <stp/>
        <stp>INTRINSIC</stp>
        <stp>EWW</stp>
        <tr r="R154" s="1"/>
      </tp>
      <tp t="s">
        <v>N/A</v>
        <stp/>
        <stp>INTRINSIC</stp>
        <stp>EWH</stp>
        <tr r="R129" s="1"/>
      </tp>
      <tp t="s">
        <v>N/A</v>
        <stp/>
        <stp>INTRINSIC</stp>
        <stp>EWI</stp>
        <tr r="R132" s="1"/>
      </tp>
      <tp t="s">
        <v>N/A</v>
        <stp/>
        <stp>INTRINSIC</stp>
        <stp>EWJ</stp>
        <tr r="R135" s="1"/>
      </tp>
      <tp t="s">
        <v>N/A</v>
        <stp/>
        <stp>EXTRINSIC</stp>
        <stp>EWG</stp>
        <tr r="S126" s="1"/>
      </tp>
      <tp t="s">
        <v>N/A</v>
        <stp/>
        <stp>INTRINSIC</stp>
        <stp>EWL</stp>
        <tr r="R142" s="1"/>
      </tp>
      <tp t="s">
        <v>N/A</v>
        <stp/>
        <stp>EXTRINSIC</stp>
        <stp>EWA</stp>
        <tr r="S120" s="1"/>
      </tp>
      <tp t="s">
        <v>N/A</v>
        <stp/>
        <stp>EXTRINSIC</stp>
        <stp>EWC</stp>
        <tr r="S123" s="1"/>
      </tp>
      <tp t="s">
        <v>N/A</v>
        <stp/>
        <stp>EXTRINSIC</stp>
        <stp>EWL</stp>
        <tr r="S142" s="1"/>
      </tp>
      <tp t="s">
        <v>N/A</v>
        <stp/>
        <stp>INTRINSIC</stp>
        <stp>EWA</stp>
        <tr r="R120" s="1"/>
      </tp>
      <tp t="s">
        <v>N/A</v>
        <stp/>
        <stp>INTRINSIC</stp>
        <stp>EWC</stp>
        <tr r="R123" s="1"/>
      </tp>
      <tp t="s">
        <v>N/A</v>
        <stp/>
        <stp>EXTRINSIC</stp>
        <stp>EWH</stp>
        <tr r="S129" s="1"/>
      </tp>
      <tp t="s">
        <v>N/A</v>
        <stp/>
        <stp>EXTRINSIC</stp>
        <stp>EWI</stp>
        <tr r="S132" s="1"/>
      </tp>
      <tp t="s">
        <v>N/A</v>
        <stp/>
        <stp>EXTRINSIC</stp>
        <stp>EWJ</stp>
        <tr r="S135" s="1"/>
      </tp>
      <tp t="s">
        <v>N/A</v>
        <stp/>
        <stp>INTRINSIC</stp>
        <stp>EWG</stp>
        <tr r="R126" s="1"/>
      </tp>
      <tp t="s">
        <v>N/A</v>
        <stp/>
        <stp>PROB_OF_EXPIRING</stp>
        <stp>EUFN</stp>
        <tr r="T117" s="1"/>
      </tp>
      <tp t="s">
        <v>N/A</v>
        <stp/>
        <stp>PROB_OF_TOUCHING</stp>
        <stp>SPLG</stp>
        <tr r="V584" s="1"/>
      </tp>
      <tp t="s">
        <v>N/A</v>
        <stp/>
        <stp>PROB_OF_TOUCHING</stp>
        <stp>SPLV</stp>
        <tr r="V587" s="1"/>
      </tp>
      <tp t="s">
        <v>N/A</v>
        <stp/>
        <stp>PROB_OF_EXPIRING</stp>
        <stp>QUAL</stp>
        <tr r="T498" s="1"/>
      </tp>
      <tp t="s">
        <v>N/A</v>
        <stp/>
        <stp>PROB_OF_TOUCHING</stp>
        <stp>SPHD</stp>
        <tr r="V581" s="1"/>
      </tp>
      <tp t="s">
        <v>N/A</v>
        <stp/>
        <stp>INTRINSIC</stp>
        <stp>.XRT201120P54</stp>
        <tr r="R904" s="1"/>
      </tp>
      <tp t="s">
        <v>N/A</v>
        <stp/>
        <stp>INTRINSIC</stp>
        <stp>.XRT201120P55</stp>
        <tr r="R908" s="1"/>
      </tp>
      <tp t="s">
        <v>N/A</v>
        <stp/>
        <stp>EXTRINSIC</stp>
        <stp>.XME201120C27</stp>
        <tr r="S887" s="1"/>
      </tp>
      <tp t="s">
        <v>N/A</v>
        <stp/>
        <stp>PROB_OF_TOUCHING</stp>
        <stp>SPDW</stp>
        <tr r="V578" s="1"/>
      </tp>
      <tp t="s">
        <v>N/A</v>
        <stp/>
        <stp>EXTRINSIC</stp>
        <stp>.MDY201120C382.5</stp>
        <tr r="S417" s="1"/>
      </tp>
      <tp t="s">
        <v>N/A</v>
        <stp/>
        <stp>PROB_OTM</stp>
        <stp>HYLB</stp>
        <tr r="U225" s="1"/>
      </tp>
      <tp t="s">
        <v>N/A</v>
        <stp/>
        <stp>EXTRINSIC</stp>
        <stp>EZU</stp>
        <tr r="S177" s="1"/>
      </tp>
      <tp t="s">
        <v>N/A</v>
        <stp/>
        <stp>INTRINSIC</stp>
        <stp>EZU</stp>
        <tr r="R177" s="1"/>
      </tp>
      <tp t="s">
        <v>N/A</v>
        <stp/>
        <stp>INTRINSIC</stp>
        <stp>EEM</stp>
        <tr r="R94" s="1"/>
      </tp>
      <tp t="s">
        <v>N/A</v>
        <stp/>
        <stp>EXTRINSIC</stp>
        <stp>EEM</stp>
        <tr r="S94" s="1"/>
      </tp>
      <tp t="s">
        <v>N/A</v>
        <stp/>
        <stp>EXTRINSIC</stp>
        <stp>EFV</stp>
        <tr r="S108" s="1"/>
      </tp>
      <tp t="s">
        <v>N/A</v>
        <stp/>
        <stp>INTRINSIC</stp>
        <stp>EFV</stp>
        <tr r="R108" s="1"/>
      </tp>
      <tp t="s">
        <v>N/A</v>
        <stp/>
        <stp>EXTRINSIC</stp>
        <stp>EFA</stp>
        <tr r="S101" s="1"/>
      </tp>
      <tp t="s">
        <v>N/A</v>
        <stp/>
        <stp>INTRINSIC</stp>
        <stp>EFA</stp>
        <tr r="R101" s="1"/>
      </tp>
      <tp t="s">
        <v>N/A</v>
        <stp/>
        <stp>INTRINSIC</stp>
        <stp>.TAN201120C73</stp>
        <tr r="R662" s="1"/>
      </tp>
      <tp t="s">
        <v>N/A</v>
        <stp/>
        <stp>INTRINSIC</stp>
        <stp>.TAN201120C74</stp>
        <tr r="R666" s="1"/>
      </tp>
      <tp t="s">
        <v>N/A</v>
        <stp/>
        <stp>INTRINSIC</stp>
        <stp>.TAN201120C75</stp>
        <tr r="R670" s="1"/>
      </tp>
      <tp t="s">
        <v>N/A</v>
        <stp/>
        <stp>INTRINSIC</stp>
        <stp>.TAN201120C76</stp>
        <tr r="R674" s="1"/>
      </tp>
      <tp t="s">
        <v>N/A</v>
        <stp/>
        <stp>INTRINSIC</stp>
        <stp>.TAN201120C77</stp>
        <tr r="R678" s="1"/>
      </tp>
      <tp t="s">
        <v>N/A</v>
        <stp/>
        <stp>INTRINSIC</stp>
        <stp>.MDY201120P382.5</stp>
        <tr r="R418" s="1"/>
      </tp>
      <tp>
        <v>2298</v>
        <stp/>
        <stp>OPEN_INT</stp>
        <stp>.ARKK201120P100</stp>
        <tr r="G33" s="1"/>
      </tp>
      <tp>
        <v>754</v>
        <stp/>
        <stp>OPEN_INT</stp>
        <stp>.ARKK201120C100</stp>
        <tr r="G32" s="1"/>
      </tp>
      <tp t="s">
        <v>N/A</v>
        <stp/>
        <stp>PROB_OF_TOUCHING</stp>
        <stp>SPYG</stp>
        <tr r="V629" s="1"/>
      </tp>
      <tp t="s">
        <v>N/A</v>
        <stp/>
        <stp>PROB_OF_EXPIRING</stp>
        <stp>GUSH</stp>
        <tr r="T213" s="1"/>
      </tp>
      <tp t="s">
        <v>N/A</v>
        <stp/>
        <stp>PROB_OF_TOUCHING</stp>
        <stp>SPYV</stp>
        <tr r="V634" s="1"/>
      </tp>
      <tp t="s">
        <v>N/A</v>
        <stp/>
        <stp>EXTRINSIC</stp>
        <stp>EMB</stp>
        <tr r="S111" s="1"/>
      </tp>
      <tp t="s">
        <v>N/A</v>
        <stp/>
        <stp>INTRINSIC</stp>
        <stp>EMB</stp>
        <tr r="R111" s="1"/>
      </tp>
      <tp t="s">
        <v>N/A</v>
        <stp/>
        <stp>INTRINSIC</stp>
        <stp>.KRE201120P46</stp>
        <tr r="R390" s="1"/>
      </tp>
      <tp t="s">
        <v>N/A</v>
        <stp/>
        <stp>INTRINSIC</stp>
        <stp>.KRE201120P47</stp>
        <tr r="R394" s="1"/>
      </tp>
      <tp t="s">
        <v>N/A</v>
        <stp/>
        <stp>EXTRINSIC</stp>
        <stp>.MDY201120P382.5</stp>
        <tr r="S418" s="1"/>
      </tp>
      <tp t="s">
        <v>N/A</v>
        <stp/>
        <stp>PUT_CALL_RATIO</stp>
        <stp>.GDXJ201120P52.5</stp>
        <tr r="C206" s="1"/>
      </tp>
      <tp t="s">
        <v>N/A</v>
        <stp/>
        <stp>PUT_CALL_RATIO</stp>
        <stp>.GDXJ201120C52.5</stp>
        <tr r="C205" s="1"/>
      </tp>
      <tp>
        <v>5</v>
        <stp/>
        <stp>VOLUME</stp>
        <stp>.XBI201120C124.5</stp>
        <tr r="F774" s="1"/>
      </tp>
      <tp t="s">
        <v>N/A</v>
        <stp/>
        <stp>GAMMA</stp>
        <stp>.EUFN201120C16</stp>
        <tr r="N118" s="1"/>
      </tp>
      <tp t="s">
        <v>N/A</v>
        <stp/>
        <stp>HIGH</stp>
        <stp>.PGX201120P15</stp>
        <tr r="J456" s="1"/>
      </tp>
      <tp t="s">
        <v>N/A</v>
        <stp/>
        <stp>DELTA</stp>
        <stp>.PDBC201120C14</stp>
        <tr r="M452" s="1"/>
      </tp>
      <tp t="s">
        <v>N/A</v>
        <stp/>
        <stp>OPEN</stp>
        <stp>.XRT201120C55</stp>
        <tr r="L907" s="1"/>
      </tp>
      <tp t="s">
        <v>N/A</v>
        <stp/>
        <stp>OPEN</stp>
        <stp>.XRT201120C54</stp>
        <tr r="L903" s="1"/>
      </tp>
      <tp t="s">
        <v>N/A</v>
        <stp/>
        <stp>GAMMA</stp>
        <stp>.IEFA201120C66</stp>
        <tr r="N254" s="1"/>
      </tp>
      <tp t="s">
        <v>N/A</v>
        <stp/>
        <stp>GAMMA</stp>
        <stp>.IEFA201120C65</stp>
        <tr r="N252" s="1"/>
      </tp>
      <tp t="s">
        <v>N/A</v>
        <stp/>
        <stp>VOLUME</stp>
        <stp>.XLY201120C154.5</stp>
        <tr r="F880" s="1"/>
      </tp>
      <tp>
        <v>14</v>
        <stp/>
        <stp>VOLUME</stp>
        <stp>.XBI201120P124.5</stp>
        <tr r="F775" s="1"/>
      </tp>
      <tp>
        <v>0</v>
        <stp/>
        <stp>HIGH</stp>
        <stp>.VGK201120P57</stp>
        <tr r="J723" s="1"/>
      </tp>
      <tp>
        <v>2.2599999999999998</v>
        <stp/>
        <stp>OPEN</stp>
        <stp>.TAN201120P73</stp>
        <tr r="L663" s="1"/>
      </tp>
      <tp>
        <v>2.5</v>
        <stp/>
        <stp>OPEN</stp>
        <stp>.TAN201120P75</stp>
        <tr r="L671" s="1"/>
      </tp>
      <tp>
        <v>1.82</v>
        <stp/>
        <stp>OPEN</stp>
        <stp>.TAN201120P74</stp>
        <tr r="L667" s="1"/>
      </tp>
      <tp>
        <v>3.05</v>
        <stp/>
        <stp>OPEN</stp>
        <stp>.TAN201120P77</stp>
        <tr r="L679" s="1"/>
      </tp>
      <tp>
        <v>0</v>
        <stp/>
        <stp>OPEN</stp>
        <stp>.TAN201120P76</stp>
        <tr r="L675" s="1"/>
      </tp>
      <tp t="s">
        <v>N/A</v>
        <stp/>
        <stp>HIGH</stp>
        <stp>.ITB201120C55</stp>
        <tr r="J291" s="1"/>
      </tp>
      <tp t="s">
        <v>N/A</v>
        <stp/>
        <stp>HIGH</stp>
        <stp>.ITB201120C56</stp>
        <tr r="J295" s="1"/>
      </tp>
      <tp t="s">
        <v>N/A</v>
        <stp/>
        <stp>VEGA</stp>
        <stp>.VNQ201120P84</stp>
        <tr r="P726" s="1"/>
      </tp>
      <tp t="s">
        <v>N/A</v>
        <stp/>
        <stp>VEGA</stp>
        <stp>.VNQ201120P85</stp>
        <tr r="P728" s="1"/>
      </tp>
      <tp>
        <v>0.67</v>
        <stp/>
        <stp>OPEN</stp>
        <stp>.KRE201120C47</stp>
        <tr r="L393" s="1"/>
      </tp>
      <tp>
        <v>0.94</v>
        <stp/>
        <stp>OPEN</stp>
        <stp>.KRE201120C46</stp>
        <tr r="L389" s="1"/>
      </tp>
      <tp>
        <v>1.56</v>
        <stp/>
        <stp>LAST</stp>
        <stp>.XHB201120C55</stp>
        <tr r="E781" s="1"/>
      </tp>
      <tp>
        <v>0.95</v>
        <stp/>
        <stp>LAST</stp>
        <stp>.XHB201120C56</stp>
        <tr r="E785" s="1"/>
      </tp>
      <tp t="s">
        <v>N/A</v>
        <stp/>
        <stp>GAMMA</stp>
        <stp>.VXUS201120P56</stp>
        <tr r="N755" s="1"/>
      </tp>
      <tp t="s">
        <v>N/A</v>
        <stp/>
        <stp>GAMMA</stp>
        <stp>.VXUS201120P57</stp>
        <tr r="N757" s="1"/>
      </tp>
      <tp t="s">
        <v>N/A</v>
        <stp/>
        <stp>VOLUME</stp>
        <stp>.XLY201120P154.5</stp>
        <tr r="F881" s="1"/>
      </tp>
      <tp t="s">
        <v>N/A</v>
        <stp/>
        <stp>GAMMA</stp>
        <stp>.IXUS201120P63</stp>
        <tr r="N362" s="1"/>
      </tp>
      <tp t="s">
        <v>N/A</v>
        <stp/>
        <stp>THETA</stp>
        <stp>.ITOT201120C80</stp>
        <tr r="O298" s="1"/>
      </tp>
      <tp t="s">
        <v>N/A</v>
        <stp/>
        <stp>THETA</stp>
        <stp>.ITOT201120C81</stp>
        <tr r="O300" s="1"/>
      </tp>
      <tp t="s">
        <v>N/A</v>
        <stp/>
        <stp>BID</stp>
        <stp>.SH201120P19</stp>
        <tr r="H544" s="1"/>
      </tp>
      <tp>
        <v>1.1000000000000001</v>
        <stp/>
        <stp>LAST</stp>
        <stp>.JETS201120P20</stp>
        <tr r="E379" s="1"/>
      </tp>
      <tp t="s">
        <v>N/A</v>
        <stp/>
        <stp>OPEN</stp>
        <stp>.ACWI201120P85</stp>
        <tr r="L9" s="1"/>
      </tp>
      <tp t="s">
        <v>N/A</v>
        <stp/>
        <stp>OPEN</stp>
        <stp>.ACWI201120P86</stp>
        <tr r="L11" s="1"/>
      </tp>
      <tp t="s">
        <v>N/A</v>
        <stp/>
        <stp>OPEN</stp>
        <stp>.INDA201120C36</stp>
        <tr r="L281" s="1"/>
      </tp>
      <tp>
        <v>0</v>
        <stp/>
        <stp>OPEN</stp>
        <stp>.INDY201120C38</stp>
        <tr r="L286" s="1"/>
      </tp>
      <tp t="s">
        <v>N/A</v>
        <stp/>
        <stp>OPEN</stp>
        <stp>.ACWX201120P50</stp>
        <tr r="L14" s="1"/>
      </tp>
      <tp>
        <v>0</v>
        <stp/>
        <stp>OPEN</stp>
        <stp>.SPDW201120C32</stp>
        <tr r="L579" s="1"/>
      </tp>
      <tp t="s">
        <v>N/A</v>
        <stp/>
        <stp>EXTRINSIC</stp>
        <stp>.HYG201120P86</stp>
        <tr r="S224" s="1"/>
      </tp>
      <tp>
        <v>0</v>
        <stp/>
        <stp>OPEN_INT</stp>
        <stp>.QUAL201120P111</stp>
        <tr r="G502" s="1"/>
      </tp>
      <tp>
        <v>1</v>
        <stp/>
        <stp>OPEN_INT</stp>
        <stp>.QUAL201120C111</stp>
        <tr r="G501" s="1"/>
      </tp>
      <tp>
        <v>0</v>
        <stp/>
        <stp>OPEN_INT</stp>
        <stp>.QUAL201120P110</stp>
        <tr r="G500" s="1"/>
      </tp>
      <tp t="s">
        <v>N/A</v>
        <stp/>
        <stp>OPEN_INT</stp>
        <stp>.QUAL201120C110</stp>
        <tr r="G499" s="1"/>
      </tp>
      <tp t="s">
        <v>N/A</v>
        <stp/>
        <stp>OPEN_INT</stp>
        <stp>.QUAL201120P112</stp>
        <tr r="G504" s="1"/>
      </tp>
      <tp t="s">
        <v>N/A</v>
        <stp/>
        <stp>OPEN_INT</stp>
        <stp>.QUAL201120C112</stp>
        <tr r="G503" s="1"/>
      </tp>
      <tp t="s">
        <v>N/A</v>
        <stp/>
        <stp>INTRINSIC</stp>
        <stp>.IBB201120C141.5</stp>
        <tr r="R243" s="1"/>
      </tp>
      <tp t="s">
        <v>N/A</v>
        <stp/>
        <stp>INTRINSIC</stp>
        <stp>.LQD201120P134.5</stp>
        <tr r="R406" s="1"/>
      </tp>
      <tp t="s">
        <v>N/A</v>
        <stp/>
        <stp>EXTRINSIC</stp>
        <stp>.VYM201120P87</stp>
        <tr r="S760" s="1"/>
      </tp>
      <tp t="s">
        <v>N/A</v>
        <stp/>
        <stp>EXTRINSIC</stp>
        <stp>.VYM201120P88</stp>
        <tr r="S762" s="1"/>
      </tp>
      <tp t="s">
        <v>N/A</v>
        <stp/>
        <stp>INTRINSIC</stp>
        <stp>.EFV201120C45</stp>
        <tr r="R109" s="1"/>
      </tp>
      <tp t="s">
        <v>N/A</v>
        <stp/>
        <stp>EXTRINSIC</stp>
        <stp>.IYE201120P18</stp>
        <tr r="S365" s="1"/>
      </tp>
      <tp t="s">
        <v>N/A</v>
        <stp/>
        <stp>PROB_OF_TOUCHING</stp>
        <stp>KWEB</stp>
        <tr r="V397" s="1"/>
      </tp>
      <tp t="s">
        <v>N/A</v>
        <stp/>
        <stp>EXTRINSIC</stp>
        <stp>.LQD201120P134.5</stp>
        <tr r="S406" s="1"/>
      </tp>
      <tp t="s">
        <v>N/A</v>
        <stp/>
        <stp>EXTRINSIC</stp>
        <stp>.IBB201120C141.5</stp>
        <tr r="S243" s="1"/>
      </tp>
      <tp t="s">
        <v>N/A</v>
        <stp/>
        <stp>PROB_OF_EXPIRING</stp>
        <stp>DRIP</stp>
        <tr r="T81" s="1"/>
      </tp>
      <tp t="s">
        <v>N/A</v>
        <stp/>
        <stp>EXTRINSIC</stp>
        <stp>BZQ</stp>
        <tr r="S51" s="1"/>
      </tp>
      <tp t="s">
        <v>N/A</v>
        <stp/>
        <stp>INTRINSIC</stp>
        <stp>BZQ</stp>
        <tr r="R51" s="1"/>
      </tp>
      <tp t="s">
        <v>N/A</v>
        <stp/>
        <stp>PROB_OF_EXPIRING</stp>
        <stp>ARKK</stp>
        <tr r="T25" s="1"/>
      </tp>
      <tp t="s">
        <v>N/A</v>
        <stp/>
        <stp>PROB_OF_EXPIRING</stp>
        <stp>ARKW</stp>
        <tr r="T34" s="1"/>
      </tp>
      <tp>
        <v>0</v>
        <stp/>
        <stp>OPEN_INT</stp>
        <stp>INDA</stp>
        <tr r="G280" s="1"/>
      </tp>
      <tp>
        <v>0</v>
        <stp/>
        <stp>OPEN_INT</stp>
        <stp>INDY</stp>
        <tr r="G285" s="1"/>
      </tp>
      <tp t="s">
        <v>N/A</v>
        <stp/>
        <stp>PROB_OF_EXPIRING</stp>
        <stp>SRVR</stp>
        <tr r="T637" s="1"/>
      </tp>
      <tp t="s">
        <v>N/A</v>
        <stp/>
        <stp>INTRINSIC</stp>
        <stp>.VFH201120C66</stp>
        <tr r="R714" s="1"/>
      </tp>
      <tp t="s">
        <v>N/A</v>
        <stp/>
        <stp>INTRINSIC</stp>
        <stp>.VFH201120C67</stp>
        <tr r="R716" s="1"/>
      </tp>
      <tp t="s">
        <v>N/A</v>
        <stp/>
        <stp>INTRINSIC</stp>
        <stp>.IBB201120P141.5</stp>
        <tr r="R244" s="1"/>
      </tp>
      <tp t="s">
        <v>N/A</v>
        <stp/>
        <stp>INTRINSIC</stp>
        <stp>.LQD201120C134.5</stp>
        <tr r="R405" s="1"/>
      </tp>
      <tp t="s">
        <v>N/A</v>
        <stp/>
        <stp>EXTRINSIC</stp>
        <stp>.IJR201120C80</stp>
        <tr r="S275" s="1"/>
      </tp>
      <tp t="s">
        <v>N/A</v>
        <stp/>
        <stp>EXTRINSIC</stp>
        <stp>.IYR201120P84</stp>
        <tr r="S368" s="1"/>
      </tp>
      <tp t="s">
        <v>N/A</v>
        <stp/>
        <stp>EXTRINSIC</stp>
        <stp>.IYR201120P85</stp>
        <tr r="S372" s="1"/>
      </tp>
      <tp t="s">
        <v>N/A</v>
        <stp/>
        <stp>EXTRINSIC</stp>
        <stp>.LQD201120C134.5</stp>
        <tr r="S405" s="1"/>
      </tp>
      <tp t="s">
        <v>N/A</v>
        <stp/>
        <stp>EXTRINSIC</stp>
        <stp>.IBB201120P141.5</stp>
        <tr r="S244" s="1"/>
      </tp>
      <tp t="s">
        <v>N/A</v>
        <stp/>
        <stp>INTRINSIC</stp>
        <stp>.EFA201120C69</stp>
        <tr r="R102" s="1"/>
      </tp>
      <tp t="s">
        <v>N/A</v>
        <stp/>
        <stp>INTRINSIC</stp>
        <stp>.EFA201120C70</stp>
        <tr r="R106" s="1"/>
      </tp>
      <tp t="s">
        <v>N/A</v>
        <stp/>
        <stp>PUT_CALL_RATIO</stp>
        <stp>.AMLP201120C23.5</stp>
        <tr r="C21" s="1"/>
      </tp>
      <tp t="s">
        <v>N/A</v>
        <stp/>
        <stp>PUT_CALL_RATIO</stp>
        <stp>.AMLP201120P23.5</stp>
        <tr r="C22" s="1"/>
      </tp>
      <tp t="s">
        <v>N/A</v>
        <stp/>
        <stp>OPEN</stp>
        <stp>.RSX201120C22</stp>
        <tr r="L513" s="1"/>
      </tp>
      <tp>
        <v>5</v>
        <stp/>
        <stp>VOLUME</stp>
        <stp>.XBI201120C125.5</stp>
        <tr r="F778" s="1"/>
      </tp>
      <tp t="s">
        <v>N/A</v>
        <stp/>
        <stp>LAST</stp>
        <stp>.EZU201120P42</stp>
        <tr r="E179" s="1"/>
      </tp>
      <tp t="s">
        <v>N/A</v>
        <stp/>
        <stp>PUT_CALL_RATIO</stp>
        <stp>.DIA201120C297.5</stp>
        <tr r="C79" s="1"/>
      </tp>
      <tp t="s">
        <v>N/A</v>
        <stp/>
        <stp>LAST</stp>
        <stp>.BZQ201120P12</stp>
        <tr r="E53" s="1"/>
      </tp>
      <tp t="s">
        <v>N/A</v>
        <stp/>
        <stp>HIGH</stp>
        <stp>.EFV201120P45</stp>
        <tr r="J110" s="1"/>
      </tp>
      <tp>
        <v>10</v>
        <stp/>
        <stp>VOLUME</stp>
        <stp>.XBI201120P125.5</stp>
        <tr r="F779" s="1"/>
      </tp>
      <tp t="s">
        <v>N/A</v>
        <stp/>
        <stp>HIGH</stp>
        <stp>.VFH201120P66</stp>
        <tr r="J715" s="1"/>
      </tp>
      <tp t="s">
        <v>N/A</v>
        <stp/>
        <stp>HIGH</stp>
        <stp>.VFH201120P67</stp>
        <tr r="J717" s="1"/>
      </tp>
      <tp t="s">
        <v>N/A</v>
        <stp/>
        <stp>VEGA</stp>
        <stp>.XOP201120P48</stp>
        <tr r="P895" s="1"/>
      </tp>
      <tp t="s">
        <v>N/A</v>
        <stp/>
        <stp>VEGA</stp>
        <stp>.XOP201120P49</stp>
        <tr r="P899" s="1"/>
      </tp>
      <tp t="s">
        <v>N/A</v>
        <stp/>
        <stp>VEGA</stp>
        <stp>.XOP201120P47</stp>
        <tr r="P891" s="1"/>
      </tp>
      <tp t="s">
        <v>N/A</v>
        <stp/>
        <stp>PUT_CALL_RATIO</stp>
        <stp>.DIA201120P297.5</stp>
        <tr r="C80" s="1"/>
      </tp>
      <tp>
        <v>1.06</v>
        <stp/>
        <stp>HIGH</stp>
        <stp>.EFA201120P69</stp>
        <tr r="J103" s="1"/>
      </tp>
      <tp t="s">
        <v>N/A</v>
        <stp/>
        <stp>HIGH</stp>
        <stp>.EFA201120P70</stp>
        <tr r="J107" s="1"/>
      </tp>
      <tp t="s">
        <v>N/A</v>
        <stp/>
        <stp>GAMMA</stp>
        <stp>.JETS201120P20</stp>
        <tr r="N379" s="1"/>
      </tp>
      <tp t="s">
        <v>N/A</v>
        <stp/>
        <stp>OPEN</stp>
        <stp>.SSO201120C81</stp>
        <tr r="L643" s="1"/>
      </tp>
      <tp t="s">
        <v>N/A</v>
        <stp/>
        <stp>OPEN</stp>
        <stp>.SSO201120C83</stp>
        <tr r="L651" s="1"/>
      </tp>
      <tp t="s">
        <v>N/A</v>
        <stp/>
        <stp>OPEN</stp>
        <stp>.SSO201120C82</stp>
        <tr r="L647" s="1"/>
      </tp>
      <tp t="s">
        <v>N/A</v>
        <stp/>
        <stp>OPEN</stp>
        <stp>.SSO201120C84</stp>
        <tr r="L655" s="1"/>
      </tp>
      <tp t="s">
        <v>N/A</v>
        <stp/>
        <stp>VEGA</stp>
        <stp>.ITOT201120P81</stp>
        <tr r="P301" s="1"/>
      </tp>
      <tp t="s">
        <v>N/A</v>
        <stp/>
        <stp>VEGA</stp>
        <stp>.ITOT201120P80</stp>
        <tr r="P299" s="1"/>
      </tp>
      <tp>
        <v>0.85</v>
        <stp/>
        <stp>OPEN</stp>
        <stp>.DFEN201120C13</stp>
        <tr r="L55" s="1"/>
      </tp>
      <tp>
        <v>0.21</v>
        <stp/>
        <stp>OPEN</stp>
        <stp>.DFEN201120C14</stp>
        <tr r="L57" s="1"/>
      </tp>
      <tp t="s">
        <v>N/A</v>
        <stp/>
        <stp>LAST</stp>
        <stp>.IXUS201120P63</stp>
        <tr r="E362" s="1"/>
      </tp>
      <tp t="s">
        <v>N/A</v>
        <stp/>
        <stp>OPEN</stp>
        <stp>.KWEB201120C74</stp>
        <tr r="L402" s="1"/>
      </tp>
      <tp t="s">
        <v>N/A</v>
        <stp/>
        <stp>OPEN</stp>
        <stp>.KWEB201120C73</stp>
        <tr r="L400" s="1"/>
      </tp>
      <tp t="s">
        <v>N/A</v>
        <stp/>
        <stp>OPEN</stp>
        <stp>.KWEB201120C72</stp>
        <tr r="L398" s="1"/>
      </tp>
      <tp t="s">
        <v>N/A</v>
        <stp/>
        <stp>RHO</stp>
        <stp>.SH201120P19</stp>
        <tr r="Q544" s="1"/>
      </tp>
      <tp t="s">
        <v>N/A</v>
        <stp/>
        <stp>LAST</stp>
        <stp>.VXUS201120P56</stp>
        <tr r="E755" s="1"/>
      </tp>
      <tp t="s">
        <v>N/A</v>
        <stp/>
        <stp>LAST</stp>
        <stp>.VXUS201120P57</stp>
        <tr r="E757" s="1"/>
      </tp>
      <tp>
        <v>0</v>
        <stp/>
        <stp>HIGH</stp>
        <stp>.PDBC201120C14</stp>
        <tr r="J452" s="1"/>
      </tp>
      <tp t="s">
        <v>N/A</v>
        <stp/>
        <stp>LAST</stp>
        <stp>.EUFN201120C16</stp>
        <tr r="E118" s="1"/>
      </tp>
      <tp t="s">
        <v>N/A</v>
        <stp/>
        <stp>OPEN</stp>
        <stp>.SRVR201120P36</stp>
        <tr r="L641" s="1"/>
      </tp>
      <tp>
        <v>0</v>
        <stp/>
        <stp>OPEN</stp>
        <stp>.SRVR201120P35</stp>
        <tr r="L639" s="1"/>
      </tp>
      <tp t="s">
        <v>N/A</v>
        <stp/>
        <stp>LAST</stp>
        <stp>.IEFA201120C66</stp>
        <tr r="E254" s="1"/>
      </tp>
      <tp t="s">
        <v>N/A</v>
        <stp/>
        <stp>LAST</stp>
        <stp>.IEFA201120C65</stp>
        <tr r="E252" s="1"/>
      </tp>
      <tp t="s">
        <v>N/A</v>
        <stp/>
        <stp>EXTRINSIC</stp>
        <stp>.FXI201120P47</stp>
        <tr r="S190" s="1"/>
      </tp>
      <tp t="s">
        <v>N/A</v>
        <stp/>
        <stp>EXTRINSIC</stp>
        <stp>.FXI201120P48</stp>
        <tr r="S194" s="1"/>
      </tp>
      <tp t="s">
        <v>N/A</v>
        <stp/>
        <stp>INTRINSIC</stp>
        <stp>.PGX201120C15</stp>
        <tr r="R455" s="1"/>
      </tp>
      <tp t="s">
        <v>N/A</v>
        <stp/>
        <stp>EXTRINSIC</stp>
        <stp>.PXH201120P19</stp>
        <tr r="S459" s="1"/>
      </tp>
      <tp t="s">
        <v>N/A</v>
        <stp/>
        <stp>INTRINSIC</stp>
        <stp>.IBB201120C140.5</stp>
        <tr r="R239" s="1"/>
      </tp>
      <tp t="s">
        <v>N/A</v>
        <stp/>
        <stp>INTRINSIC</stp>
        <stp>.LQD201120P135.5</stp>
        <tr r="R410" s="1"/>
      </tp>
      <tp t="s">
        <v>N/A</v>
        <stp/>
        <stp>EXTRINSIC</stp>
        <stp>.PXH201120P20</stp>
        <tr r="S461" s="1"/>
      </tp>
      <tp t="s">
        <v>N/A</v>
        <stp/>
        <stp>EXTRINSIC</stp>
        <stp>.DXD201120P14</stp>
        <tr r="S93" s="1"/>
      </tp>
      <tp t="s">
        <v>N/A</v>
        <stp/>
        <stp>PROB_OF_EXPIRING</stp>
        <stp>USMV</stp>
        <tr r="T698" s="1"/>
      </tp>
      <tp t="s">
        <v>N/A</v>
        <stp/>
        <stp>EXTRINSIC</stp>
        <stp>.LQD201120P135.5</stp>
        <tr r="S410" s="1"/>
      </tp>
      <tp t="s">
        <v>N/A</v>
        <stp/>
        <stp>EXTRINSIC</stp>
        <stp>.IBB201120C140.5</stp>
        <tr r="S239" s="1"/>
      </tp>
      <tp t="s">
        <v>N/A</v>
        <stp/>
        <stp>PROB_OF_EXPIRING</stp>
        <stp>ASHR</stp>
        <tr r="T43" s="1"/>
      </tp>
      <tp t="s">
        <v>N/A</v>
        <stp/>
        <stp>INTRINSIC</stp>
        <stp>.VGK201120C57</stp>
        <tr r="R722" s="1"/>
      </tp>
      <tp t="s">
        <v>N/A</v>
        <stp/>
        <stp>INTRINSIC</stp>
        <stp>.IBB201120P140.5</stp>
        <tr r="R240" s="1"/>
      </tp>
      <tp t="s">
        <v>N/A</v>
        <stp/>
        <stp>INTRINSIC</stp>
        <stp>.LQD201120C135.5</stp>
        <tr r="R409" s="1"/>
      </tp>
      <tp t="s">
        <v>N/A</v>
        <stp/>
        <stp>EXTRINSIC</stp>
        <stp>.LQD201120C135.5</stp>
        <tr r="S409" s="1"/>
      </tp>
      <tp t="s">
        <v>N/A</v>
        <stp/>
        <stp>EXTRINSIC</stp>
        <stp>.IBB201120P140.5</stp>
        <tr r="S240" s="1"/>
      </tp>
      <tp>
        <v>98</v>
        <stp/>
        <stp>OPEN_INT</stp>
        <stp>.MTUM201120C150</stp>
        <tr r="G429" s="1"/>
      </tp>
      <tp t="s">
        <v>N/A</v>
        <stp/>
        <stp>OPEN_INT</stp>
        <stp>.MTUM201120P150</stp>
        <tr r="G430" s="1"/>
      </tp>
      <tp t="s">
        <v>N/A</v>
        <stp/>
        <stp>OPEN_INT</stp>
        <stp>.MTUM201120C151</stp>
        <tr r="G431" s="1"/>
      </tp>
      <tp t="s">
        <v>N/A</v>
        <stp/>
        <stp>OPEN_INT</stp>
        <stp>.MTUM201120P151</stp>
        <tr r="G432" s="1"/>
      </tp>
      <tp>
        <v>14</v>
        <stp/>
        <stp>OPEN_INT</stp>
        <stp>.MTUM201120C152</stp>
        <tr r="G433" s="1"/>
      </tp>
      <tp t="s">
        <v>N/A</v>
        <stp/>
        <stp>OPEN_INT</stp>
        <stp>.MTUM201120P152</stp>
        <tr r="G434" s="1"/>
      </tp>
      <tp>
        <v>4</v>
        <stp/>
        <stp>OPEN_INT</stp>
        <stp>.MTUM201120C149</stp>
        <tr r="G427" s="1"/>
      </tp>
      <tp t="s">
        <v>N/A</v>
        <stp/>
        <stp>OPEN_INT</stp>
        <stp>.MTUM201120P149</stp>
        <tr r="G428" s="1"/>
      </tp>
      <tp t="s">
        <v>N/A</v>
        <stp/>
        <stp>INTRINSIC</stp>
        <stp>.ITB201120P55</stp>
        <tr r="R292" s="1"/>
      </tp>
      <tp t="s">
        <v>N/A</v>
        <stp/>
        <stp>INTRINSIC</stp>
        <stp>.ITB201120P56</stp>
        <tr r="R296" s="1"/>
      </tp>
      <tp t="s">
        <v>N/A</v>
        <stp/>
        <stp>PUT_CALL_RATIO</stp>
        <stp>.JETS201120P19.5</stp>
        <tr r="C377" s="1"/>
      </tp>
      <tp t="s">
        <v>N/A</v>
        <stp/>
        <stp>PUT_CALL_RATIO</stp>
        <stp>.JETS201120C19.5</stp>
        <tr r="C376" s="1"/>
      </tp>
      <tp t="s">
        <v>N/A</v>
        <stp/>
        <stp>PUT_CALL_RATIO</stp>
        <stp>.IBB201120C139.5</stp>
        <tr r="C235" s="1"/>
      </tp>
      <tp t="s">
        <v>N/A</v>
        <stp/>
        <stp>DELTA</stp>
        <stp>.GUSH201120P26</stp>
        <tr r="M215" s="1"/>
      </tp>
      <tp t="s">
        <v>N/A</v>
        <stp/>
        <stp>DELTA</stp>
        <stp>.GUSH201120P27</stp>
        <tr r="M217" s="1"/>
      </tp>
      <tp t="s">
        <v>N/A</v>
        <stp/>
        <stp>DELTA</stp>
        <stp>.GUSH201120P28</stp>
        <tr r="M219" s="1"/>
      </tp>
      <tp t="s">
        <v>N/A</v>
        <stp/>
        <stp>VEGA</stp>
        <stp>.XLI201120P84</stp>
        <tr r="P815" s="1"/>
      </tp>
      <tp t="s">
        <v>N/A</v>
        <stp/>
        <stp>VEGA</stp>
        <stp>.XLI201120P85</stp>
        <tr r="P819" s="1"/>
      </tp>
      <tp t="s">
        <v>N/A</v>
        <stp/>
        <stp>VEGA</stp>
        <stp>.XLI201120P86</stp>
        <tr r="P823" s="1"/>
      </tp>
      <tp t="s">
        <v>N/A</v>
        <stp/>
        <stp>THETA</stp>
        <stp>.IEMG201120C58</stp>
        <tr r="O259" s="1"/>
      </tp>
      <tp t="s">
        <v>N/A</v>
        <stp/>
        <stp>THETA</stp>
        <stp>.IEMG201120C57</stp>
        <tr r="O257" s="1"/>
      </tp>
      <tp>
        <v>1</v>
        <stp/>
        <stp>HIGH</stp>
        <stp>.FEZ201120P40</stp>
        <tr r="J184" s="1"/>
      </tp>
      <tp t="s">
        <v>N/A</v>
        <stp/>
        <stp>LAST</stp>
        <stp>.IJR201120C80</stp>
        <tr r="E275" s="1"/>
      </tp>
      <tp t="s">
        <v>N/A</v>
        <stp/>
        <stp>LAST</stp>
        <stp>.IYR201120P84</stp>
        <tr r="E368" s="1"/>
      </tp>
      <tp>
        <v>1.23</v>
        <stp/>
        <stp>LAST</stp>
        <stp>.IYR201120P85</stp>
        <tr r="E372" s="1"/>
      </tp>
      <tp t="s">
        <v>N/A</v>
        <stp/>
        <stp>VEGA</stp>
        <stp>.XLC201120P64</stp>
        <tr r="P802" s="1"/>
      </tp>
      <tp t="s">
        <v>N/A</v>
        <stp/>
        <stp>VEGA</stp>
        <stp>.XLB201120P70</stp>
        <tr r="P795" s="1"/>
      </tp>
      <tp t="s">
        <v>N/A</v>
        <stp/>
        <stp>VEGA</stp>
        <stp>.XLC201120P63</stp>
        <tr r="P798" s="1"/>
      </tp>
      <tp>
        <v>0</v>
        <stp/>
        <stp>OPEN</stp>
        <stp>.SCZ201120P63</stp>
        <tr r="L536" s="1"/>
      </tp>
      <tp t="s">
        <v>N/A</v>
        <stp/>
        <stp>VEGA</stp>
        <stp>.XLB201120P69</stp>
        <tr r="P791" s="1"/>
      </tp>
      <tp t="s">
        <v>N/A</v>
        <stp/>
        <stp>VEGA</stp>
        <stp>.ILF201120P25</stp>
        <tr r="P279" s="1"/>
      </tp>
      <tp t="s">
        <v>N/A</v>
        <stp/>
        <stp>VEGA</stp>
        <stp>.XLF201120P27</stp>
        <tr r="P812" s="1"/>
      </tp>
      <tp t="s">
        <v>N/A</v>
        <stp/>
        <stp>PUT_CALL_RATIO</stp>
        <stp>.IEF201120C119.5</stp>
        <tr r="C249" s="1"/>
      </tp>
      <tp t="s">
        <v>N/A</v>
        <stp/>
        <stp>VEGA</stp>
        <stp>.XLE201120P34</stp>
        <tr r="P807" s="1"/>
      </tp>
      <tp t="s">
        <v>N/A</v>
        <stp/>
        <stp>GAMMA</stp>
        <stp>.INDA201120C36</stp>
        <tr r="N281" s="1"/>
      </tp>
      <tp t="s">
        <v>N/A</v>
        <stp/>
        <stp>GAMMA</stp>
        <stp>.ACWI201120P86</stp>
        <tr r="N11" s="1"/>
      </tp>
      <tp t="s">
        <v>N/A</v>
        <stp/>
        <stp>GAMMA</stp>
        <stp>.ACWI201120P85</stp>
        <tr r="N9" s="1"/>
      </tp>
      <tp t="s">
        <v>N/A</v>
        <stp/>
        <stp>STRIKE</stp>
        <stp>.XBI201120P125.5</stp>
        <tr r="W779" s="1"/>
      </tp>
      <tp t="s">
        <v>N/A</v>
        <stp/>
        <stp>VEGA</stp>
        <stp>.QLD201120P98</stp>
        <tr r="P468" s="1"/>
      </tp>
      <tp t="s">
        <v>N/A</v>
        <stp/>
        <stp>VEGA</stp>
        <stp>.QLD201120P99</stp>
        <tr r="P470" s="1"/>
      </tp>
      <tp t="s">
        <v>N/A</v>
        <stp/>
        <stp>VEGA</stp>
        <stp>.QLD201120P96</stp>
        <tr r="P464" s="1"/>
      </tp>
      <tp t="s">
        <v>N/A</v>
        <stp/>
        <stp>VEGA</stp>
        <stp>.QLD201120P97</stp>
        <tr r="P466" s="1"/>
      </tp>
      <tp t="s">
        <v>N/A</v>
        <stp/>
        <stp>HIGH</stp>
        <stp>.DVY201120C91</stp>
        <tr r="J85" s="1"/>
      </tp>
      <tp t="s">
        <v>N/A</v>
        <stp/>
        <stp>HIGH</stp>
        <stp>.DVY201120C92</stp>
        <tr r="J87" s="1"/>
      </tp>
      <tp t="s">
        <v>N/A</v>
        <stp/>
        <stp>HIGH</stp>
        <stp>.DVY201120C93</stp>
        <tr r="J89" s="1"/>
      </tp>
      <tp t="s">
        <v>N/A</v>
        <stp/>
        <stp>HIGH</stp>
        <stp>.VEU201120P55</stp>
        <tr r="J712" s="1"/>
      </tp>
      <tp t="s">
        <v>N/A</v>
        <stp/>
        <stp>GAMMA</stp>
        <stp>.INDY201120C38</stp>
        <tr r="N286" s="1"/>
      </tp>
      <tp t="s">
        <v>N/A</v>
        <stp/>
        <stp>VEGA</stp>
        <stp>.XLU201120P66</stp>
        <tr r="P851" s="1"/>
      </tp>
      <tp t="s">
        <v>N/A</v>
        <stp/>
        <stp>VEGA</stp>
        <stp>.XLU201120P67</stp>
        <tr r="P855" s="1"/>
      </tp>
      <tp t="s">
        <v>N/A</v>
        <stp/>
        <stp>PUT_CALL_RATIO</stp>
        <stp>.IBB201120P139.5</stp>
        <tr r="C236" s="1"/>
      </tp>
      <tp t="s">
        <v>N/A</v>
        <stp/>
        <stp>THETA</stp>
        <stp>.USMV201120C67</stp>
        <tr r="O699" s="1"/>
      </tp>
      <tp t="s">
        <v>N/A</v>
        <stp/>
        <stp>PUT_CALL_RATIO</stp>
        <stp>.IEF201120P119.5</stp>
        <tr r="C250" s="1"/>
      </tp>
      <tp>
        <v>0.98</v>
        <stp/>
        <stp>LAST</stp>
        <stp>.HYG201120P86</stp>
        <tr r="E224" s="1"/>
      </tp>
      <tp t="s">
        <v>N/A</v>
        <stp/>
        <stp>GAMMA</stp>
        <stp>.ACWX201120P50</stp>
        <tr r="N14" s="1"/>
      </tp>
      <tp>
        <v>0.78</v>
        <stp/>
        <stp>HIGH</stp>
        <stp>.EEM201120P48</stp>
        <tr r="J98" s="1"/>
      </tp>
      <tp t="s">
        <v>N/A</v>
        <stp/>
        <stp>VEGA</stp>
        <stp>.XLP201120P67</stp>
        <tr r="P845" s="1"/>
      </tp>
      <tp t="s">
        <v>N/A</v>
        <stp/>
        <stp>STRIKE</stp>
        <stp>.XBI201120C125.5</stp>
        <tr r="W778" s="1"/>
      </tp>
      <tp t="s">
        <v>N/A</v>
        <stp/>
        <stp>HIGH</stp>
        <stp>.FVD201120C35</stp>
        <tr r="J186" s="1"/>
      </tp>
      <tp t="s">
        <v>N/A</v>
        <stp/>
        <stp>HIGH</stp>
        <stp>.VEA201120P44</stp>
        <tr r="J709" s="1"/>
      </tp>
      <tp t="s">
        <v>N/A</v>
        <stp/>
        <stp>LAST</stp>
        <stp>.VYM201120P88</stp>
        <tr r="E762" s="1"/>
      </tp>
      <tp t="s">
        <v>N/A</v>
        <stp/>
        <stp>LAST</stp>
        <stp>.VYM201120P87</stp>
        <tr r="E760" s="1"/>
      </tp>
      <tp t="s">
        <v>N/A</v>
        <stp/>
        <stp>GAMMA</stp>
        <stp>.SPDW201120C32</stp>
        <tr r="N579" s="1"/>
      </tp>
      <tp t="s">
        <v>N/A</v>
        <stp/>
        <stp>LAST</stp>
        <stp>.IYE201120P18</stp>
        <tr r="E365" s="1"/>
      </tp>
      <tp t="s">
        <v>N/A</v>
        <stp/>
        <stp>OPEN</stp>
        <stp>.EUFN201120C16</stp>
        <tr r="L118" s="1"/>
      </tp>
      <tp>
        <v>0.5</v>
        <stp/>
        <stp>LAST</stp>
        <stp>.SRVR201120P35</stp>
        <tr r="E639" s="1"/>
      </tp>
      <tp t="s">
        <v>N/A</v>
        <stp/>
        <stp>LAST</stp>
        <stp>.SRVR201120P36</stp>
        <tr r="E641" s="1"/>
      </tp>
      <tp t="s">
        <v>N/A</v>
        <stp/>
        <stp>VEGA</stp>
        <stp>.SPLV201120P55</stp>
        <tr r="P589" s="1"/>
      </tp>
      <tp t="s">
        <v>N/A</v>
        <stp/>
        <stp>OPEN</stp>
        <stp>.IEFA201120C65</stp>
        <tr r="L252" s="1"/>
      </tp>
      <tp t="s">
        <v>N/A</v>
        <stp/>
        <stp>OPEN</stp>
        <stp>.IEFA201120C66</stp>
        <tr r="L254" s="1"/>
      </tp>
      <tp t="s">
        <v>N/A</v>
        <stp/>
        <stp>VEGA</stp>
        <stp>.AMLP201120P24</stp>
        <tr r="P24" s="1"/>
      </tp>
      <tp t="s">
        <v>N/A</v>
        <stp/>
        <stp>VEGA</stp>
        <stp>.AMLP201120P23</stp>
        <tr r="P20" s="1"/>
      </tp>
      <tp t="s">
        <v>N/A</v>
        <stp/>
        <stp>VEGA</stp>
        <stp>.ICLN201120P22</stp>
        <tr r="P247" s="1"/>
      </tp>
      <tp t="s">
        <v>N/A</v>
        <stp/>
        <stp>VEGA</stp>
        <stp>.BKLN201120P22</stp>
        <tr r="P50" s="1"/>
      </tp>
      <tp>
        <v>0.3</v>
        <stp/>
        <stp>LAST</stp>
        <stp>.DFEN201120C14</stp>
        <tr r="E57" s="1"/>
      </tp>
      <tp>
        <v>0.65</v>
        <stp/>
        <stp>LAST</stp>
        <stp>.DFEN201120C13</stp>
        <tr r="E55" s="1"/>
      </tp>
      <tp>
        <v>0.8</v>
        <stp/>
        <stp>HIGH</stp>
        <stp>.XLRE201120P37</stp>
        <tr r="J848" s="1"/>
      </tp>
      <tp>
        <v>0.7</v>
        <stp/>
        <stp>HIGH</stp>
        <stp>.DGRO201120P43</stp>
        <tr r="J61" s="1"/>
      </tp>
      <tp t="s">
        <v>N/A</v>
        <stp/>
        <stp>VEGA</stp>
        <stp>.HYLB201120P49</stp>
        <tr r="P227" s="1"/>
      </tp>
      <tp t="s">
        <v>N/A</v>
        <stp/>
        <stp>LAST</stp>
        <stp>.KWEB201120C73</stp>
        <tr r="E400" s="1"/>
      </tp>
      <tp t="s">
        <v>N/A</v>
        <stp/>
        <stp>LAST</stp>
        <stp>.KWEB201120C72</stp>
        <tr r="E398" s="1"/>
      </tp>
      <tp t="s">
        <v>N/A</v>
        <stp/>
        <stp>LAST</stp>
        <stp>.KWEB201120C74</stp>
        <tr r="E402" s="1"/>
      </tp>
      <tp t="s">
        <v>N/A</v>
        <stp/>
        <stp>OPEN</stp>
        <stp>.IXUS201120P63</stp>
        <tr r="L362" s="1"/>
      </tp>
      <tp t="s">
        <v>N/A</v>
        <stp/>
        <stp>VEGA</stp>
        <stp>.EMLC201120P32</stp>
        <tr r="P116" s="1"/>
      </tp>
      <tp t="s">
        <v>N/A</v>
        <stp/>
        <stp>OPEN</stp>
        <stp>.VXUS201120P56</stp>
        <tr r="L755" s="1"/>
      </tp>
      <tp t="s">
        <v>N/A</v>
        <stp/>
        <stp>OPEN</stp>
        <stp>.VXUS201120P57</stp>
        <tr r="L757" s="1"/>
      </tp>
      <tp t="s">
        <v>N/A</v>
        <stp/>
        <stp>VEGA</stp>
        <stp>.SPLG201120P42</stp>
        <tr r="P586" s="1"/>
      </tp>
      <tp t="s">
        <v>N/A</v>
        <stp/>
        <stp>INTRINSIC</stp>
        <stp>.GDX201120C37</stp>
        <tr r="R198" s="1"/>
      </tp>
      <tp t="s">
        <v>N/A</v>
        <stp/>
        <stp>INTRINSIC</stp>
        <stp>.MDY201120C387.5</stp>
        <tr r="R421" s="1"/>
      </tp>
      <tp t="s">
        <v>N/A</v>
        <stp/>
        <stp>PROB_OF_EXPIRING</stp>
        <stp>SPDW</stp>
        <tr r="T578" s="1"/>
      </tp>
      <tp t="s">
        <v>N/A</v>
        <stp/>
        <stp>INTRINSIC</stp>
        <stp>.EWZ201120P32</stp>
        <tr r="R176" s="1"/>
      </tp>
      <tp t="s">
        <v>N/A</v>
        <stp/>
        <stp>INTRINSIC</stp>
        <stp>.EWY201120P72</stp>
        <tr r="R165" s="1"/>
      </tp>
      <tp t="s">
        <v>N/A</v>
        <stp/>
        <stp>INTRINSIC</stp>
        <stp>.EWY201120P73</stp>
        <tr r="R169" s="1"/>
      </tp>
      <tp>
        <v>0</v>
        <stp/>
        <stp>OPEN_INT</stp>
        <stp>XLRE</stp>
        <tr r="G846" s="1"/>
      </tp>
      <tp t="s">
        <v>N/A</v>
        <stp/>
        <stp>INTRINSIC</stp>
        <stp>.SDS201120C14</stp>
        <tr r="R540" s="1"/>
      </tp>
      <tp t="s">
        <v>N/A</v>
        <stp/>
        <stp>INTRINSIC</stp>
        <stp>.EWP201120P26</stp>
        <tr r="R147" s="1"/>
      </tp>
      <tp t="s">
        <v>N/A</v>
        <stp/>
        <stp>PROB_OF_EXPIRING</stp>
        <stp>SPLG</stp>
        <tr r="T584" s="1"/>
      </tp>
      <tp t="s">
        <v>N/A</v>
        <stp/>
        <stp>PROB_OF_TOUCHING</stp>
        <stp>EUFN</stp>
        <tr r="V117" s="1"/>
      </tp>
      <tp t="s">
        <v>N/A</v>
        <stp/>
        <stp>PROB_OF_EXPIRING</stp>
        <stp>SPLV</stp>
        <tr r="T587" s="1"/>
      </tp>
      <tp t="s">
        <v>N/A</v>
        <stp/>
        <stp>EXTRINSIC</stp>
        <stp>.XHB201120C55</stp>
        <tr r="S781" s="1"/>
      </tp>
      <tp t="s">
        <v>N/A</v>
        <stp/>
        <stp>EXTRINSIC</stp>
        <stp>.XHB201120C56</stp>
        <tr r="S785" s="1"/>
      </tp>
      <tp t="s">
        <v>N/A</v>
        <stp/>
        <stp>INTRINSIC</stp>
        <stp>.EWT201120P48</stp>
        <tr r="R150" s="1"/>
      </tp>
      <tp t="s">
        <v>N/A</v>
        <stp/>
        <stp>EXTRINSIC</stp>
        <stp>.MDY201120C387.5</stp>
        <tr r="S421" s="1"/>
      </tp>
      <tp t="s">
        <v>N/A</v>
        <stp/>
        <stp>PROB_OF_EXPIRING</stp>
        <stp>SPHD</stp>
        <tr r="T581" s="1"/>
      </tp>
      <tp t="s">
        <v>N/A</v>
        <stp/>
        <stp>PROB_OF_TOUCHING</stp>
        <stp>QUAL</stp>
        <tr r="V498" s="1"/>
      </tp>
      <tp t="s">
        <v>N/A</v>
        <stp/>
        <stp>INTRINSIC</stp>
        <stp>.EWW201120P39</stp>
        <tr r="R158" s="1"/>
      </tp>
      <tp t="s">
        <v>N/A</v>
        <stp/>
        <stp>INTRINSIC</stp>
        <stp>.VWO201120P47</stp>
        <tr r="R752" s="1"/>
      </tp>
      <tp t="s">
        <v>N/A</v>
        <stp/>
        <stp>INTRINSIC</stp>
        <stp>.EWI201120P27</stp>
        <tr r="R134" s="1"/>
      </tp>
      <tp t="s">
        <v>N/A</v>
        <stp/>
        <stp>INTRINSIC</stp>
        <stp>.EWH201120P24</stp>
        <tr r="R131" s="1"/>
      </tp>
      <tp t="s">
        <v>N/A</v>
        <stp/>
        <stp>INTRINSIC</stp>
        <stp>.EWL201120P43</stp>
        <tr r="R144" s="1"/>
      </tp>
      <tp t="s">
        <v>N/A</v>
        <stp/>
        <stp>INTRINSIC</stp>
        <stp>.MDY201120P387.5</stp>
        <tr r="R422" s="1"/>
      </tp>
      <tp t="s">
        <v>N/A</v>
        <stp/>
        <stp>INTRINSIC</stp>
        <stp>.RWM201120P29</stp>
        <tr r="R519" s="1"/>
      </tp>
      <tp t="s">
        <v>N/A</v>
        <stp/>
        <stp>IMPL_VOL</stp>
        <stp>.QUAL201120P112</stp>
        <tr r="D504" s="1"/>
      </tp>
      <tp t="s">
        <v>N/A</v>
        <stp/>
        <stp>IMPL_VOL</stp>
        <stp>.QUAL201120C112</stp>
        <tr r="D503" s="1"/>
      </tp>
      <tp t="s">
        <v>N/A</v>
        <stp/>
        <stp>IMPL_VOL</stp>
        <stp>.QUAL201120P111</stp>
        <tr r="D502" s="1"/>
      </tp>
      <tp t="s">
        <v>N/A</v>
        <stp/>
        <stp>IMPL_VOL</stp>
        <stp>.QUAL201120C111</stp>
        <tr r="D501" s="1"/>
      </tp>
      <tp t="s">
        <v>N/A</v>
        <stp/>
        <stp>IMPL_VOL</stp>
        <stp>.QUAL201120P110</stp>
        <tr r="D500" s="1"/>
      </tp>
      <tp t="s">
        <v>N/A</v>
        <stp/>
        <stp>IMPL_VOL</stp>
        <stp>.QUAL201120C110</stp>
        <tr r="D499" s="1"/>
      </tp>
      <tp t="s">
        <v>N/A</v>
        <stp/>
        <stp>INTRINSIC</stp>
        <stp>.EWJ201120P63</stp>
        <tr r="R137" s="1"/>
      </tp>
      <tp t="s">
        <v>N/A</v>
        <stp/>
        <stp>INTRINSIC</stp>
        <stp>.EWJ201120P64</stp>
        <tr r="R141" s="1"/>
      </tp>
      <tp t="s">
        <v>N/A</v>
        <stp/>
        <stp>INTRINSIC</stp>
        <stp>.EWA201120P22</stp>
        <tr r="R122" s="1"/>
      </tp>
      <tp t="s">
        <v>N/A</v>
        <stp/>
        <stp>INTRINSIC</stp>
        <stp>.EWC201120P29</stp>
        <tr r="R125" s="1"/>
      </tp>
      <tp t="s">
        <v>21.93%</v>
        <stp/>
        <stp>IMPL_VOL</stp>
        <stp>IXUS</stp>
        <tr r="D360" s="1"/>
      </tp>
      <tp t="s">
        <v>19.01%</v>
        <stp/>
        <stp>IMPL_VOL</stp>
        <stp>VXUS</stp>
        <tr r="D753" s="1"/>
      </tp>
      <tp t="s">
        <v>N/A</v>
        <stp/>
        <stp>PROB_OF_TOUCHING</stp>
        <stp>.QUAL201120P112</stp>
        <tr r="V504" s="1"/>
      </tp>
      <tp t="s">
        <v>N/A</v>
        <stp/>
        <stp>PROB_OF_TOUCHING</stp>
        <stp>.QUAL201120C112</stp>
        <tr r="V503" s="1"/>
      </tp>
      <tp t="s">
        <v>N/A</v>
        <stp/>
        <stp>PROB_OF_TOUCHING</stp>
        <stp>.QUAL201120P110</stp>
        <tr r="V500" s="1"/>
      </tp>
      <tp t="s">
        <v>N/A</v>
        <stp/>
        <stp>PROB_OF_TOUCHING</stp>
        <stp>.QUAL201120C110</stp>
        <tr r="V499" s="1"/>
      </tp>
      <tp t="s">
        <v>N/A</v>
        <stp/>
        <stp>PROB_OF_TOUCHING</stp>
        <stp>.QUAL201120P111</stp>
        <tr r="V502" s="1"/>
      </tp>
      <tp t="s">
        <v>N/A</v>
        <stp/>
        <stp>PROB_OF_TOUCHING</stp>
        <stp>.QUAL201120C111</stp>
        <tr r="V501" s="1"/>
      </tp>
      <tp t="s">
        <v>N/A</v>
        <stp/>
        <stp>PROB_OF_EXPIRING</stp>
        <stp>SPYG</stp>
        <tr r="T629" s="1"/>
      </tp>
      <tp t="s">
        <v>N/A</v>
        <stp/>
        <stp>PROB_OF_TOUCHING</stp>
        <stp>GUSH</stp>
        <tr r="V213" s="1"/>
      </tp>
      <tp t="s">
        <v>N/A</v>
        <stp/>
        <stp>PROB_OF_EXPIRING</stp>
        <stp>SPYV</stp>
        <tr r="T634" s="1"/>
      </tp>
      <tp t="s">
        <v>N/A</v>
        <stp/>
        <stp>INTRINSIC</stp>
        <stp>.EWG201120P30</stp>
        <tr r="R128" s="1"/>
      </tp>
      <tp t="s">
        <v>N/A</v>
        <stp/>
        <stp>EXTRINSIC</stp>
        <stp>.MDY201120P387.5</stp>
        <tr r="S422" s="1"/>
      </tp>
      <tp t="s">
        <v>N/A</v>
        <stp/>
        <stp>PUT_CALL_RATIO</stp>
        <stp>.IBB201120C138.5</stp>
        <tr r="C231" s="1"/>
      </tp>
      <tp t="s">
        <v>N/A</v>
        <stp/>
        <stp>THETA</stp>
        <stp>.SPLG201120C42</stp>
        <tr r="O585" s="1"/>
      </tp>
      <tp t="s">
        <v>N/A</v>
        <stp/>
        <stp>DELTA</stp>
        <stp>.DGRO201120P43</stp>
        <tr r="M61" s="1"/>
      </tp>
      <tp t="s">
        <v>N/A</v>
        <stp/>
        <stp>HIGH</stp>
        <stp>.EWY201120C72</stp>
        <tr r="J164" s="1"/>
      </tp>
      <tp t="s">
        <v>N/A</v>
        <stp/>
        <stp>HIGH</stp>
        <stp>.EWY201120C73</stp>
        <tr r="J168" s="1"/>
      </tp>
      <tp t="s">
        <v>N/A</v>
        <stp/>
        <stp>THETA</stp>
        <stp>.EMLC201120C32</stp>
        <tr r="O115" s="1"/>
      </tp>
      <tp t="s">
        <v>N/A</v>
        <stp/>
        <stp>GAMMA</stp>
        <stp>.DFEN201120C13</stp>
        <tr r="N55" s="1"/>
      </tp>
      <tp t="s">
        <v>N/A</v>
        <stp/>
        <stp>GAMMA</stp>
        <stp>.DFEN201120C14</stp>
        <tr r="N57" s="1"/>
      </tp>
      <tp>
        <v>0.71</v>
        <stp/>
        <stp>HIGH</stp>
        <stp>.GDX201120P37</stp>
        <tr r="J199" s="1"/>
      </tp>
      <tp t="s">
        <v>N/A</v>
        <stp/>
        <stp>STRIKE</stp>
        <stp>.XLY201120P154.5</stp>
        <tr r="W881" s="1"/>
      </tp>
      <tp t="s">
        <v>N/A</v>
        <stp/>
        <stp>THETA</stp>
        <stp>.HYLB201120C49</stp>
        <tr r="O226" s="1"/>
      </tp>
      <tp>
        <v>0.52</v>
        <stp/>
        <stp>HIGH</stp>
        <stp>.EWZ201120C32</stp>
        <tr r="J175" s="1"/>
      </tp>
      <tp t="s">
        <v>N/A</v>
        <stp/>
        <stp>VEGA</stp>
        <stp>.XME201120P27</stp>
        <tr r="P888" s="1"/>
      </tp>
      <tp t="s">
        <v>N/A</v>
        <stp/>
        <stp>STRIKE</stp>
        <stp>.XBI201120P124.5</stp>
        <tr r="W775" s="1"/>
      </tp>
      <tp>
        <v>0.6</v>
        <stp/>
        <stp>HIGH</stp>
        <stp>.EWW201120C39</stp>
        <tr r="J157" s="1"/>
      </tp>
      <tp t="s">
        <v>N/A</v>
        <stp/>
        <stp>DELTA</stp>
        <stp>.XLRE201120P37</stp>
        <tr r="M848" s="1"/>
      </tp>
      <tp t="s">
        <v>N/A</v>
        <stp/>
        <stp>HIGH</stp>
        <stp>.SDS201120P14</stp>
        <tr r="J541" s="1"/>
      </tp>
      <tp t="s">
        <v>N/A</v>
        <stp/>
        <stp>HIGH</stp>
        <stp>.EWP201120C26</stp>
        <tr r="J146" s="1"/>
      </tp>
      <tp t="s">
        <v>N/A</v>
        <stp/>
        <stp>OPEN</stp>
        <stp>.TBT201120P17</stp>
        <tr r="L685" s="1"/>
      </tp>
      <tp t="s">
        <v>N/A</v>
        <stp/>
        <stp>GAMMA</stp>
        <stp>.KWEB201120C74</stp>
        <tr r="N402" s="1"/>
      </tp>
      <tp t="s">
        <v>N/A</v>
        <stp/>
        <stp>GAMMA</stp>
        <stp>.KWEB201120C73</stp>
        <tr r="N400" s="1"/>
      </tp>
      <tp t="s">
        <v>N/A</v>
        <stp/>
        <stp>GAMMA</stp>
        <stp>.KWEB201120C72</stp>
        <tr r="N398" s="1"/>
      </tp>
      <tp t="s">
        <v>N/A</v>
        <stp/>
        <stp>THETA</stp>
        <stp>.BKLN201120C22</stp>
        <tr r="O49" s="1"/>
      </tp>
      <tp t="s">
        <v>N/A</v>
        <stp/>
        <stp>THETA</stp>
        <stp>.ICLN201120C22</stp>
        <tr r="O246" s="1"/>
      </tp>
      <tp t="s">
        <v>N/A</v>
        <stp/>
        <stp>HIGH</stp>
        <stp>.EWT201120C48</stp>
        <tr r="J149" s="1"/>
      </tp>
      <tp t="s">
        <v>N/A</v>
        <stp/>
        <stp>THETA</stp>
        <stp>.SPLV201120C55</stp>
        <tr r="O588" s="1"/>
      </tp>
      <tp>
        <v>0.8</v>
        <stp/>
        <stp>HIGH</stp>
        <stp>.RWM201120C29</stp>
        <tr r="J518" s="1"/>
      </tp>
      <tp t="s">
        <v>N/A</v>
        <stp/>
        <stp>THETA</stp>
        <stp>.AMLP201120C24</stp>
        <tr r="O23" s="1"/>
      </tp>
      <tp t="s">
        <v>N/A</v>
        <stp/>
        <stp>THETA</stp>
        <stp>.AMLP201120C23</stp>
        <tr r="O19" s="1"/>
      </tp>
      <tp t="s">
        <v>N/A</v>
        <stp/>
        <stp>LAST</stp>
        <stp>.PXH201120P20</stp>
        <tr r="E461" s="1"/>
      </tp>
      <tp>
        <v>0</v>
        <stp/>
        <stp>LAST</stp>
        <stp>.PXH201120P19</stp>
        <tr r="E459" s="1"/>
      </tp>
      <tp t="s">
        <v>N/A</v>
        <stp/>
        <stp>PUT_CALL_RATIO</stp>
        <stp>.IBB201120P138.5</stp>
        <tr r="C232" s="1"/>
      </tp>
      <tp>
        <v>0.62</v>
        <stp/>
        <stp>HIGH</stp>
        <stp>.EWJ201120C63</stp>
        <tr r="J136" s="1"/>
      </tp>
      <tp>
        <v>0.27</v>
        <stp/>
        <stp>HIGH</stp>
        <stp>.EWJ201120C64</stp>
        <tr r="J140" s="1"/>
      </tp>
      <tp>
        <v>0</v>
        <stp/>
        <stp>HIGH</stp>
        <stp>.EWI201120C27</stp>
        <tr r="J133" s="1"/>
      </tp>
      <tp t="s">
        <v>N/A</v>
        <stp/>
        <stp>HIGH</stp>
        <stp>.VWO201120C47</stp>
        <tr r="J751" s="1"/>
      </tp>
      <tp t="s">
        <v>N/A</v>
        <stp/>
        <stp>HIGH</stp>
        <stp>.EWH201120C24</stp>
        <tr r="J130" s="1"/>
      </tp>
      <tp t="s">
        <v>N/A</v>
        <stp/>
        <stp>STRIKE</stp>
        <stp>.XLY201120C154.5</stp>
        <tr r="W880" s="1"/>
      </tp>
      <tp>
        <v>0.9</v>
        <stp/>
        <stp>LAST</stp>
        <stp>.FXI201120P48</stp>
        <tr r="E194" s="1"/>
      </tp>
      <tp>
        <v>0.68</v>
        <stp/>
        <stp>LAST</stp>
        <stp>.FXI201120P47</stp>
        <tr r="E190" s="1"/>
      </tp>
      <tp t="s">
        <v>N/A</v>
        <stp/>
        <stp>HIGH</stp>
        <stp>.EWL201120C43</stp>
        <tr r="J143" s="1"/>
      </tp>
      <tp t="s">
        <v>N/A</v>
        <stp/>
        <stp>STRIKE</stp>
        <stp>.XBI201120C124.5</stp>
        <tr r="W774" s="1"/>
      </tp>
      <tp t="s">
        <v>N/A</v>
        <stp/>
        <stp>GAMMA</stp>
        <stp>.SRVR201120P35</stp>
        <tr r="N639" s="1"/>
      </tp>
      <tp t="s">
        <v>N/A</v>
        <stp/>
        <stp>GAMMA</stp>
        <stp>.SRVR201120P36</stp>
        <tr r="N641" s="1"/>
      </tp>
      <tp t="s">
        <v>N/A</v>
        <stp/>
        <stp>HIGH</stp>
        <stp>.EWG201120C30</stp>
        <tr r="J127" s="1"/>
      </tp>
      <tp t="s">
        <v>N/A</v>
        <stp/>
        <stp>HIGH</stp>
        <stp>.EWA201120C22</stp>
        <tr r="J121" s="1"/>
      </tp>
      <tp t="s">
        <v>N/A</v>
        <stp/>
        <stp>HIGH</stp>
        <stp>.EWC201120C29</stp>
        <tr r="J124" s="1"/>
      </tp>
      <tp>
        <v>0.4</v>
        <stp/>
        <stp>LAST</stp>
        <stp>.DXD201120P14</stp>
        <tr r="E93" s="1"/>
      </tp>
      <tp t="s">
        <v>N/A</v>
        <stp/>
        <stp>OPEN</stp>
        <stp>.KBE201120P38</stp>
        <tr r="L387" s="1"/>
      </tp>
      <tp>
        <v>0</v>
        <stp/>
        <stp>OPEN</stp>
        <stp>.TBF201120P16</stp>
        <tr r="L682" s="1"/>
      </tp>
      <tp>
        <v>0.59</v>
        <stp/>
        <stp>LAST</stp>
        <stp>.INDY201120C38</stp>
        <tr r="E286" s="1"/>
      </tp>
      <tp>
        <v>0</v>
        <stp/>
        <stp>LOW</stp>
        <stp>.VT201120P87</stp>
        <tr r="K738" s="1"/>
      </tp>
      <tp>
        <v>0</v>
        <stp/>
        <stp>LOW</stp>
        <stp>.VT201120P86</stp>
        <tr r="K736" s="1"/>
      </tp>
      <tp t="s">
        <v>N/A</v>
        <stp/>
        <stp>LAST</stp>
        <stp>.ACWX201120P50</stp>
        <tr r="E14" s="1"/>
      </tp>
      <tp t="s">
        <v>N/A</v>
        <stp/>
        <stp>VEGA</stp>
        <stp>.USMV201120P67</stp>
        <tr r="P700" s="1"/>
      </tp>
      <tp>
        <v>0</v>
        <stp/>
        <stp>LAST</stp>
        <stp>.SPDW201120C32</stp>
        <tr r="E579" s="1"/>
      </tp>
      <tp t="s">
        <v>N/A</v>
        <stp/>
        <stp>LAST</stp>
        <stp>.ACWI201120P86</stp>
        <tr r="E11" s="1"/>
      </tp>
      <tp t="s">
        <v>N/A</v>
        <stp/>
        <stp>LAST</stp>
        <stp>.ACWI201120P85</stp>
        <tr r="E9" s="1"/>
      </tp>
      <tp>
        <v>1</v>
        <stp/>
        <stp>OPEN</stp>
        <stp>.JETS201120P20</stp>
        <tr r="L379" s="1"/>
      </tp>
      <tp t="s">
        <v>N/A</v>
        <stp/>
        <stp>LAST</stp>
        <stp>.INDA201120C36</stp>
        <tr r="E281" s="1"/>
      </tp>
      <tp>
        <v>3.8</v>
        <stp/>
        <stp>HIGH</stp>
        <stp>.GUSH201120P28</stp>
        <tr r="J219" s="1"/>
      </tp>
      <tp>
        <v>2.65</v>
        <stp/>
        <stp>HIGH</stp>
        <stp>.GUSH201120P27</stp>
        <tr r="J217" s="1"/>
      </tp>
      <tp>
        <v>2.5</v>
        <stp/>
        <stp>HIGH</stp>
        <stp>.GUSH201120P26</stp>
        <tr r="J215" s="1"/>
      </tp>
      <tp t="s">
        <v>N/A</v>
        <stp/>
        <stp>VEGA</stp>
        <stp>.IEMG201120P57</stp>
        <tr r="P258" s="1"/>
      </tp>
      <tp t="s">
        <v>N/A</v>
        <stp/>
        <stp>VEGA</stp>
        <stp>.IEMG201120P58</stp>
        <tr r="P260" s="1"/>
      </tp>
      <tp t="s">
        <v>N/A</v>
        <stp/>
        <stp>PROB_OF_TOUCHING</stp>
        <stp>ITOT</stp>
        <tr r="V297" s="1"/>
      </tp>
      <tp t="s">
        <v>N/A</v>
        <stp/>
        <stp>INTRINSIC</stp>
        <stp>.IWM201120P172.5</stp>
        <tr r="R353" s="1"/>
      </tp>
      <tp t="s">
        <v>7.99%</v>
        <stp/>
        <stp>IMPL_VOL</stp>
        <stp>HYLB</stp>
        <tr r="D225" s="1"/>
      </tp>
      <tp t="s">
        <v>N/A</v>
        <stp/>
        <stp>PROB_OF_TOUCHING</stp>
        <stp>.MTUM201120C149</stp>
        <tr r="V427" s="1"/>
      </tp>
      <tp t="s">
        <v>N/A</v>
        <stp/>
        <stp>PROB_OF_TOUCHING</stp>
        <stp>.MTUM201120P149</stp>
        <tr r="V428" s="1"/>
      </tp>
      <tp t="s">
        <v>N/A</v>
        <stp/>
        <stp>PROB_OTM</stp>
        <stp>.ARKK201120C100</stp>
        <tr r="U32" s="1"/>
      </tp>
      <tp t="s">
        <v>N/A</v>
        <stp/>
        <stp>PROB_OTM</stp>
        <stp>.ARKK201120P100</stp>
        <tr r="U33" s="1"/>
      </tp>
      <tp t="s">
        <v>N/A</v>
        <stp/>
        <stp>PROB_OF_TOUCHING</stp>
        <stp>.MTUM201120C152</stp>
        <tr r="V433" s="1"/>
      </tp>
      <tp t="s">
        <v>N/A</v>
        <stp/>
        <stp>PROB_OF_TOUCHING</stp>
        <stp>.MTUM201120P152</stp>
        <tr r="V434" s="1"/>
      </tp>
      <tp t="s">
        <v>N/A</v>
        <stp/>
        <stp>PROB_OF_TOUCHING</stp>
        <stp>.MTUM201120C151</stp>
        <tr r="V431" s="1"/>
      </tp>
      <tp t="s">
        <v>N/A</v>
        <stp/>
        <stp>PROB_OF_TOUCHING</stp>
        <stp>.MTUM201120P151</stp>
        <tr r="V432" s="1"/>
      </tp>
      <tp t="s">
        <v>N/A</v>
        <stp/>
        <stp>PROB_OF_TOUCHING</stp>
        <stp>.MTUM201120C150</stp>
        <tr r="V429" s="1"/>
      </tp>
      <tp t="s">
        <v>N/A</v>
        <stp/>
        <stp>PROB_OF_TOUCHING</stp>
        <stp>.MTUM201120P150</stp>
        <tr r="V430" s="1"/>
      </tp>
      <tp t="s">
        <v>N/A</v>
        <stp/>
        <stp>INTRINSIC</stp>
        <stp>.FEZ201120C40</stp>
        <tr r="R183" s="1"/>
      </tp>
      <tp t="s">
        <v>N/A</v>
        <stp/>
        <stp>INTRINSIC</stp>
        <stp>.DVY201120P91</stp>
        <tr r="R86" s="1"/>
      </tp>
      <tp t="s">
        <v>N/A</v>
        <stp/>
        <stp>INTRINSIC</stp>
        <stp>.DVY201120P92</stp>
        <tr r="R88" s="1"/>
      </tp>
      <tp t="s">
        <v>N/A</v>
        <stp/>
        <stp>INTRINSIC</stp>
        <stp>.DVY201120P93</stp>
        <tr r="R90" s="1"/>
      </tp>
      <tp t="s">
        <v>N/A</v>
        <stp/>
        <stp>INTRINSIC</stp>
        <stp>.VEU201120C55</stp>
        <tr r="R711" s="1"/>
      </tp>
      <tp t="s">
        <v>N/A</v>
        <stp/>
        <stp>EXTRINSIC</stp>
        <stp>.IWM201120P172.5</stp>
        <tr r="S353" s="1"/>
      </tp>
      <tp t="s">
        <v>N/A</v>
        <stp/>
        <stp>IMPL_VOL</stp>
        <stp>.MTUM201120C152</stp>
        <tr r="D433" s="1"/>
      </tp>
      <tp t="s">
        <v>N/A</v>
        <stp/>
        <stp>IMPL_VOL</stp>
        <stp>.MTUM201120P152</stp>
        <tr r="D434" s="1"/>
      </tp>
      <tp t="s">
        <v>N/A</v>
        <stp/>
        <stp>IMPL_VOL</stp>
        <stp>.MTUM201120C150</stp>
        <tr r="D429" s="1"/>
      </tp>
      <tp t="s">
        <v>N/A</v>
        <stp/>
        <stp>IMPL_VOL</stp>
        <stp>.MTUM201120P150</stp>
        <tr r="D430" s="1"/>
      </tp>
      <tp t="s">
        <v>N/A</v>
        <stp/>
        <stp>IMPL_VOL</stp>
        <stp>.MTUM201120C151</stp>
        <tr r="D431" s="1"/>
      </tp>
      <tp t="s">
        <v>N/A</v>
        <stp/>
        <stp>IMPL_VOL</stp>
        <stp>.MTUM201120P151</stp>
        <tr r="D432" s="1"/>
      </tp>
      <tp t="s">
        <v>N/A</v>
        <stp/>
        <stp>IMPL_VOL</stp>
        <stp>.MTUM201120C149</stp>
        <tr r="D427" s="1"/>
      </tp>
      <tp t="s">
        <v>N/A</v>
        <stp/>
        <stp>IMPL_VOL</stp>
        <stp>.MTUM201120P149</stp>
        <tr r="D428" s="1"/>
      </tp>
      <tp t="s">
        <v>N/A</v>
        <stp/>
        <stp>INTRINSIC</stp>
        <stp>.EEM201120C48</stp>
        <tr r="R97" s="1"/>
      </tp>
      <tp t="s">
        <v>N/A</v>
        <stp/>
        <stp>EXTRINSIC</stp>
        <stp>AGG</stp>
        <tr r="S15" s="1"/>
      </tp>
      <tp t="s">
        <v>N/A</v>
        <stp/>
        <stp>INTRINSIC</stp>
        <stp>AGG</stp>
        <tr r="R15" s="1"/>
      </tp>
      <tp t="s">
        <v>N/A</v>
        <stp/>
        <stp>INTRINSIC</stp>
        <stp>.IWM201120C172.5</stp>
        <tr r="R352" s="1"/>
      </tp>
      <tp t="s">
        <v>N/A</v>
        <stp/>
        <stp>GAMMA</stp>
        <stp>.SH201120C19</stp>
        <tr r="N543" s="1"/>
      </tp>
      <tp>
        <v>0</v>
        <stp/>
        <stp>OPEN_INT</stp>
        <stp>EMLC</stp>
        <tr r="G114" s="1"/>
      </tp>
      <tp>
        <v>0</v>
        <stp/>
        <stp>OPEN_INT</stp>
        <stp>AMLP</stp>
        <tr r="G18" s="1"/>
      </tp>
      <tp t="s">
        <v>N/A</v>
        <stp/>
        <stp>PROB_OF_TOUCHING</stp>
        <stp>MTUM</stp>
        <tr r="V426" s="1"/>
      </tp>
      <tp t="s">
        <v>N/A</v>
        <stp/>
        <stp>EXTRINSIC</stp>
        <stp>.EZU201120P42</stp>
        <tr r="S179" s="1"/>
      </tp>
      <tp t="s">
        <v>N/A</v>
        <stp/>
        <stp>INTRINSIC</stp>
        <stp>.FVD201120P35</stp>
        <tr r="R187" s="1"/>
      </tp>
      <tp t="s">
        <v>N/A</v>
        <stp/>
        <stp>EXTRINSIC</stp>
        <stp>.BZQ201120P12</stp>
        <tr r="S53" s="1"/>
      </tp>
      <tp t="s">
        <v>N/A</v>
        <stp/>
        <stp>INTRINSIC</stp>
        <stp>.VEA201120C44</stp>
        <tr r="R708" s="1"/>
      </tp>
      <tp t="s">
        <v>N/A</v>
        <stp/>
        <stp>EXTRINSIC</stp>
        <stp>.IWM201120C172.5</stp>
        <tr r="S352" s="1"/>
      </tp>
      <tp t="s">
        <v>N/A</v>
        <stp/>
        <stp>STRIKE</stp>
        <stp>.DIA201120P297.5</stp>
        <tr r="W80" s="1"/>
      </tp>
      <tp t="s">
        <v>N/A</v>
        <stp/>
        <stp>VEGA</stp>
        <stp>.KRE201120P46</stp>
        <tr r="P390" s="1"/>
      </tp>
      <tp t="s">
        <v>N/A</v>
        <stp/>
        <stp>VEGA</stp>
        <stp>.KRE201120P47</stp>
        <tr r="P394" s="1"/>
      </tp>
      <tp t="s">
        <v>N/A</v>
        <stp/>
        <stp>OPEN</stp>
        <stp>.VNQ201120C85</stp>
        <tr r="L727" s="1"/>
      </tp>
      <tp>
        <v>1.01</v>
        <stp/>
        <stp>OPEN</stp>
        <stp>.VNQ201120C84</stp>
        <tr r="L725" s="1"/>
      </tp>
      <tp t="s">
        <v>N/A</v>
        <stp/>
        <stp>LAST</stp>
        <stp>.PGX201120P15</stp>
        <tr r="E456" s="1"/>
      </tp>
      <tp t="s">
        <v>N/A</v>
        <stp/>
        <stp>VOLUME</stp>
        <stp>.IBB201120C139.5</stp>
        <tr r="F235" s="1"/>
      </tp>
      <tp t="s">
        <v>N/A</v>
        <stp/>
        <stp>GAMMA</stp>
        <stp>.NAIL201120P44</stp>
        <tr r="N440" s="1"/>
      </tp>
      <tp t="s">
        <v>N/A</v>
        <stp/>
        <stp>GAMMA</stp>
        <stp>.NAIL201120P45</stp>
        <tr r="N442" s="1"/>
      </tp>
      <tp t="s">
        <v>N/A</v>
        <stp/>
        <stp>GAMMA</stp>
        <stp>.NAIL201120P46</stp>
        <tr r="N444" s="1"/>
      </tp>
      <tp t="s">
        <v>N/A</v>
        <stp/>
        <stp>GAMMA</stp>
        <stp>.NAIL201120P47</stp>
        <tr r="N446" s="1"/>
      </tp>
      <tp t="s">
        <v>N/A</v>
        <stp/>
        <stp>GAMMA</stp>
        <stp>.NAIL201120P48</stp>
        <tr r="N448" s="1"/>
      </tp>
      <tp t="s">
        <v>N/A</v>
        <stp/>
        <stp>GAMMA</stp>
        <stp>.NAIL201120P49</stp>
        <tr r="N450" s="1"/>
      </tp>
      <tp t="s">
        <v>N/A</v>
        <stp/>
        <stp>VOLUME</stp>
        <stp>.IEF201120C119.5</stp>
        <tr r="F249" s="1"/>
      </tp>
      <tp t="s">
        <v>N/A</v>
        <stp/>
        <stp>DELTA</stp>
        <stp>.IEMG201120P58</stp>
        <tr r="M260" s="1"/>
      </tp>
      <tp t="s">
        <v>N/A</v>
        <stp/>
        <stp>DELTA</stp>
        <stp>.IEMG201120P57</stp>
        <tr r="M258" s="1"/>
      </tp>
      <tp t="s">
        <v>N/A</v>
        <stp/>
        <stp>VEGA</stp>
        <stp>.TAN201120C74</stp>
        <tr r="P666" s="1"/>
      </tp>
      <tp t="s">
        <v>N/A</v>
        <stp/>
        <stp>VEGA</stp>
        <stp>.TAN201120C75</stp>
        <tr r="P670" s="1"/>
      </tp>
      <tp t="s">
        <v>N/A</v>
        <stp/>
        <stp>VEGA</stp>
        <stp>.TAN201120C76</stp>
        <tr r="P674" s="1"/>
      </tp>
      <tp t="s">
        <v>N/A</v>
        <stp/>
        <stp>VEGA</stp>
        <stp>.TAN201120C77</stp>
        <tr r="P678" s="1"/>
      </tp>
      <tp t="s">
        <v>N/A</v>
        <stp/>
        <stp>VEGA</stp>
        <stp>.TAN201120C73</stp>
        <tr r="P662" s="1"/>
      </tp>
      <tp t="s">
        <v>N/A</v>
        <stp/>
        <stp>THETA</stp>
        <stp>.GUSH201120C26</stp>
        <tr r="O214" s="1"/>
      </tp>
      <tp t="s">
        <v>N/A</v>
        <stp/>
        <stp>THETA</stp>
        <stp>.GUSH201120C27</stp>
        <tr r="O216" s="1"/>
      </tp>
      <tp t="s">
        <v>N/A</v>
        <stp/>
        <stp>THETA</stp>
        <stp>.GUSH201120C28</stp>
        <tr r="O218" s="1"/>
      </tp>
      <tp t="s">
        <v>N/A</v>
        <stp/>
        <stp>GAMMA</stp>
        <stp>.IGIB201120P61</stp>
        <tr r="N263" s="1"/>
      </tp>
      <tp>
        <v>40</v>
        <stp/>
        <stp>VOLUME</stp>
        <stp>.IBB201120P139.5</stp>
        <tr r="F236" s="1"/>
      </tp>
      <tp t="s">
        <v>N/A</v>
        <stp/>
        <stp>VEGA</stp>
        <stp>.XRT201120P54</stp>
        <tr r="P904" s="1"/>
      </tp>
      <tp t="s">
        <v>N/A</v>
        <stp/>
        <stp>VEGA</stp>
        <stp>.XRT201120P55</stp>
        <tr r="P908" s="1"/>
      </tp>
      <tp t="s">
        <v>N/A</v>
        <stp/>
        <stp>STRIKE</stp>
        <stp>.DIA201120C297.5</stp>
        <tr r="W79" s="1"/>
      </tp>
      <tp>
        <v>0.9</v>
        <stp/>
        <stp>LAST</stp>
        <stp>.VGK201120P57</stp>
        <tr r="E723" s="1"/>
      </tp>
      <tp t="s">
        <v>N/A</v>
        <stp/>
        <stp>GAMMA</stp>
        <stp>.VCIT201120P96</stp>
        <tr r="N703" s="1"/>
      </tp>
      <tp t="s">
        <v>N/A</v>
        <stp/>
        <stp>VOLUME</stp>
        <stp>.IEF201120P119.5</stp>
        <tr r="F250" s="1"/>
      </tp>
      <tp t="s">
        <v>N/A</v>
        <stp/>
        <stp>GAMMA</stp>
        <stp>.VGIT201120P70</stp>
        <tr r="N720" s="1"/>
      </tp>
      <tp>
        <v>1.56</v>
        <stp/>
        <stp>HIGH</stp>
        <stp>.XHB201120C55</stp>
        <tr r="J781" s="1"/>
      </tp>
      <tp>
        <v>0.95</v>
        <stp/>
        <stp>HIGH</stp>
        <stp>.XHB201120C56</stp>
        <tr r="J785" s="1"/>
      </tp>
      <tp t="s">
        <v>N/A</v>
        <stp/>
        <stp>DELTA</stp>
        <stp>.USMV201120P67</stp>
        <tr r="M700" s="1"/>
      </tp>
      <tp t="s">
        <v>N/A</v>
        <stp/>
        <stp>LAST</stp>
        <stp>.ITB201120C55</stp>
        <tr r="E291" s="1"/>
      </tp>
      <tp t="s">
        <v>N/A</v>
        <stp/>
        <stp>LAST</stp>
        <stp>.ITB201120C56</stp>
        <tr r="E295" s="1"/>
      </tp>
      <tp t="s">
        <v>N/A</v>
        <stp/>
        <stp>GAMMA</stp>
        <stp>.DRIP201120P45</stp>
        <tr r="N83" s="1"/>
      </tp>
      <tp t="s">
        <v>N/A</v>
        <stp/>
        <stp>HIGH</stp>
        <stp>.SPLV201120P55</stp>
        <tr r="J589" s="1"/>
      </tp>
      <tp t="s">
        <v>N/A</v>
        <stp/>
        <stp>HIGH</stp>
        <stp>.AMLP201120P24</stp>
        <tr r="J24" s="1"/>
      </tp>
      <tp t="s">
        <v>N/A</v>
        <stp/>
        <stp>HIGH</stp>
        <stp>.AMLP201120P23</stp>
        <tr r="J20" s="1"/>
      </tp>
      <tp>
        <v>2.16</v>
        <stp/>
        <stp>OPEN</stp>
        <stp>.GDXJ201120C53</stp>
        <tr r="L207" s="1"/>
      </tp>
      <tp>
        <v>0</v>
        <stp/>
        <stp>OPEN</stp>
        <stp>.GDXJ201120C52</stp>
        <tr r="L203" s="1"/>
      </tp>
      <tp>
        <v>1.3</v>
        <stp/>
        <stp>OPEN</stp>
        <stp>.GDXJ201120C54</stp>
        <tr r="L211" s="1"/>
      </tp>
      <tp t="s">
        <v>N/A</v>
        <stp/>
        <stp>LAST</stp>
        <stp>.ASHR201120P38</stp>
        <tr r="E47" s="1"/>
      </tp>
      <tp t="s">
        <v>N/A</v>
        <stp/>
        <stp>THETA</stp>
        <stp>.SSO201120P82.5</stp>
        <tr r="O650" s="1"/>
      </tp>
      <tp>
        <v>2.25</v>
        <stp/>
        <stp>OPEN</stp>
        <stp>.ARKK201120P99</stp>
        <tr r="L31" s="1"/>
      </tp>
      <tp>
        <v>1.5</v>
        <stp/>
        <stp>OPEN</stp>
        <stp>.ARKK201120P98</stp>
        <tr r="L29" s="1"/>
      </tp>
      <tp t="s">
        <v>N/A</v>
        <stp/>
        <stp>OPEN</stp>
        <stp>.AAXJ201120C84</stp>
        <tr r="L5" s="1"/>
      </tp>
      <tp t="s">
        <v>N/A</v>
        <stp/>
        <stp>THETA</stp>
        <stp>.SSO201120C82.5</stp>
        <tr r="O649" s="1"/>
      </tp>
      <tp>
        <v>1.35</v>
        <stp/>
        <stp>OPEN</stp>
        <stp>.ARKK201120P97</stp>
        <tr r="L27" s="1"/>
      </tp>
      <tp t="s">
        <v>N/A</v>
        <stp/>
        <stp>OPEN</stp>
        <stp>.AAXJ201120C83</stp>
        <tr r="L3" s="1"/>
      </tp>
      <tp t="s">
        <v>N/A</v>
        <stp/>
        <stp>THETA</stp>
        <stp>.RSX201120P22.5</stp>
        <tr r="O516" s="1"/>
      </tp>
      <tp t="s">
        <v>N/A</v>
        <stp/>
        <stp>THETA</stp>
        <stp>.RSX201120C22.5</stp>
        <tr r="O515" s="1"/>
      </tp>
      <tp t="s">
        <v>N/A</v>
        <stp/>
        <stp>THETA</stp>
        <stp>.TAN201120C72.5</stp>
        <tr r="O660" s="1"/>
      </tp>
      <tp t="s">
        <v>N/A</v>
        <stp/>
        <stp>THETA</stp>
        <stp>.TAN201120P72.5</stp>
        <tr r="O661" s="1"/>
      </tp>
      <tp>
        <v>0.54</v>
        <stp/>
        <stp>LAST</stp>
        <stp>.SCHP201120P61</stp>
        <tr r="E533" s="1"/>
      </tp>
      <tp t="s">
        <v>N/A</v>
        <stp/>
        <stp>HIGH</stp>
        <stp>.EMLC201120P32</stp>
        <tr r="J116" s="1"/>
      </tp>
      <tp t="s">
        <v>N/A</v>
        <stp/>
        <stp>HIGH</stp>
        <stp>.SPLG201120P42</stp>
        <tr r="J586" s="1"/>
      </tp>
      <tp t="s">
        <v>N/A</v>
        <stp/>
        <stp>VEGA</stp>
        <stp>.DGRO201120P43</stp>
        <tr r="P61" s="1"/>
      </tp>
      <tp t="s">
        <v>N/A</v>
        <stp/>
        <stp>HIGH</stp>
        <stp>.HYLB201120P49</stp>
        <tr r="J227" s="1"/>
      </tp>
      <tp>
        <v>1.3</v>
        <stp/>
        <stp>LAST</stp>
        <stp>.MCHI201120P80</stp>
        <tr r="E413" s="1"/>
      </tp>
      <tp t="s">
        <v>N/A</v>
        <stp/>
        <stp>DESCRIPTION</stp>
        <stp>.VT201120C86</stp>
        <tr r="B735" s="1"/>
      </tp>
      <tp t="s">
        <v>N/A</v>
        <stp/>
        <stp>DESCRIPTION</stp>
        <stp>.VT201120C87</stp>
        <tr r="B737" s="1"/>
      </tp>
      <tp t="s">
        <v>N/A</v>
        <stp/>
        <stp>VEGA</stp>
        <stp>.XLRE201120P37</stp>
        <tr r="P848" s="1"/>
      </tp>
      <tp t="s">
        <v>N/A</v>
        <stp/>
        <stp>LAST</stp>
        <stp>.SCHD201120P61</stp>
        <tr r="E522" s="1"/>
      </tp>
      <tp t="s">
        <v>N/A</v>
        <stp/>
        <stp>LAST</stp>
        <stp>.SCHD201120P62</stp>
        <tr r="E524" s="1"/>
      </tp>
      <tp t="s">
        <v>N/A</v>
        <stp/>
        <stp>THETA</stp>
        <stp>.EWY201120P72.5</stp>
        <tr r="O167" s="1"/>
      </tp>
      <tp t="s">
        <v>N/A</v>
        <stp/>
        <stp>LAST</stp>
        <stp>.SCHF201120P34</stp>
        <tr r="E530" s="1"/>
      </tp>
      <tp t="s">
        <v>N/A</v>
        <stp/>
        <stp>THETA</stp>
        <stp>.EWY201120C72.5</stp>
        <tr r="O166" s="1"/>
      </tp>
      <tp t="s">
        <v>N/A</v>
        <stp/>
        <stp>HIGH</stp>
        <stp>.ICLN201120P22</stp>
        <tr r="J247" s="1"/>
      </tp>
      <tp t="s">
        <v>N/A</v>
        <stp/>
        <stp>HIGH</stp>
        <stp>.BKLN201120P22</stp>
        <tr r="J50" s="1"/>
      </tp>
      <tp t="s">
        <v>N/A</v>
        <stp/>
        <stp>LAST</stp>
        <stp>.SCHE201120P29</stp>
        <tr r="E527" s="1"/>
      </tp>
      <tp t="s">
        <v>N/A</v>
        <stp/>
        <stp>LAST</stp>
        <stp>.SPHD201120P36</stp>
        <tr r="E583" s="1"/>
      </tp>
      <tp t="s">
        <v>N/A</v>
        <stp/>
        <stp>PROB_OF_EXPIRING</stp>
        <stp>INDA</stp>
        <tr r="T280" s="1"/>
      </tp>
      <tp t="s">
        <v>N/A</v>
        <stp/>
        <stp>PROB_OF_EXPIRING</stp>
        <stp>INDY</stp>
        <tr r="T285" s="1"/>
      </tp>
      <tp>
        <v>0</v>
        <stp/>
        <stp>OPEN_INT</stp>
        <stp>SRVR</stp>
        <tr r="G637" s="1"/>
      </tp>
      <tp t="s">
        <v>N/A</v>
        <stp/>
        <stp>PROB_OF_TOUCHING</stp>
        <stp>BKLN</stp>
        <tr r="V48" s="1"/>
      </tp>
      <tp t="s">
        <v>N/A</v>
        <stp/>
        <stp>EXTRINSIC</stp>
        <stp>.EEM201120P48</stp>
        <tr r="S98" s="1"/>
      </tp>
      <tp t="s">
        <v>N/A</v>
        <stp/>
        <stp>EXTRINSIC</stp>
        <stp>.SMH201120C197.5</stp>
        <tr r="S572" s="1"/>
      </tp>
      <tp>
        <v>4</v>
        <stp/>
        <stp>INTRINSIC</stp>
        <stp>.SPY201120P357.5</stp>
        <tr r="R620" s="1"/>
      </tp>
      <tp t="s">
        <v>N/A</v>
        <stp/>
        <stp>EXTRINSIC</stp>
        <stp>.VEA201120P44</stp>
        <tr r="S709" s="1"/>
      </tp>
      <tp t="s">
        <v>N/A</v>
        <stp/>
        <stp>INTRINSIC</stp>
        <stp>.SMH201120C197.5</stp>
        <tr r="R572" s="1"/>
      </tp>
      <tp t="s">
        <v>N/A</v>
        <stp/>
        <stp>INTRINSIC</stp>
        <stp>.EZU201120C42</stp>
        <tr r="R178" s="1"/>
      </tp>
      <tp t="s">
        <v>N/A</v>
        <stp/>
        <stp>EXTRINSIC</stp>
        <stp>.FVD201120C35</stp>
        <tr r="S186" s="1"/>
      </tp>
      <tp t="s">
        <v>N/A</v>
        <stp/>
        <stp>INTRINSIC</stp>
        <stp>.BZQ201120C12</stp>
        <tr r="R52" s="1"/>
      </tp>
      <tp t="s">
        <v>83.33%</v>
        <stp/>
        <stp>IMPL_VOL</stp>
        <stp>DFEN</stp>
        <tr r="D54" s="1"/>
      </tp>
      <tp>
        <v>2.145</v>
        <stp/>
        <stp>EXTRINSIC</stp>
        <stp>.SPY201120P357.5</stp>
        <tr r="S620" s="1"/>
      </tp>
      <tp t="s">
        <v>N/A</v>
        <stp/>
        <stp>EXTRINSIC</stp>
        <stp>.FEZ201120P40</stp>
        <tr r="S184" s="1"/>
      </tp>
      <tp>
        <v>0</v>
        <stp/>
        <stp>INTRINSIC</stp>
        <stp>.SPY201120C357.5</stp>
        <tr r="R619" s="1"/>
      </tp>
      <tp t="s">
        <v>N/A</v>
        <stp/>
        <stp>PROB_OTM</stp>
        <stp>.VCLT201120C107</stp>
        <tr r="U705" s="1"/>
      </tp>
      <tp t="s">
        <v>N/A</v>
        <stp/>
        <stp>PROB_OTM</stp>
        <stp>.VCLT201120P107</stp>
        <tr r="U706" s="1"/>
      </tp>
      <tp t="s">
        <v>N/A</v>
        <stp/>
        <stp>EXTRINSIC</stp>
        <stp>.SMH201120P197.5</stp>
        <tr r="S573" s="1"/>
      </tp>
      <tp>
        <v>2.48</v>
        <stp/>
        <stp>EXTRINSIC</stp>
        <stp>.SPY201120C357.5</stp>
        <tr r="S619" s="1"/>
      </tp>
      <tp t="s">
        <v>N/A</v>
        <stp/>
        <stp>INTRINSIC</stp>
        <stp>.SMH201120P197.5</stp>
        <tr r="R573" s="1"/>
      </tp>
      <tp t="s">
        <v>N/A</v>
        <stp/>
        <stp>EXTRINSIC</stp>
        <stp>.DVY201120C91</stp>
        <tr r="S85" s="1"/>
      </tp>
      <tp t="s">
        <v>N/A</v>
        <stp/>
        <stp>EXTRINSIC</stp>
        <stp>.DVY201120C92</stp>
        <tr r="S87" s="1"/>
      </tp>
      <tp t="s">
        <v>N/A</v>
        <stp/>
        <stp>EXTRINSIC</stp>
        <stp>.DVY201120C93</stp>
        <tr r="S89" s="1"/>
      </tp>
      <tp t="s">
        <v>N/A</v>
        <stp/>
        <stp>EXTRINSIC</stp>
        <stp>.VEU201120P55</stp>
        <tr r="S712" s="1"/>
      </tp>
      <tp>
        <v>0</v>
        <stp/>
        <stp>OPEN_INT</stp>
        <stp>DRIP</stp>
        <tr r="G81" s="1"/>
      </tp>
      <tp>
        <v>0</v>
        <stp/>
        <stp>OPEN_INT</stp>
        <stp>ARKK</stp>
        <tr r="G25" s="1"/>
      </tp>
      <tp>
        <v>0</v>
        <stp/>
        <stp>OPEN_INT</stp>
        <stp>ARKW</stp>
        <tr r="G34" s="1"/>
      </tp>
      <tp t="s">
        <v>N/A</v>
        <stp/>
        <stp>STRIKE</stp>
        <stp>.JETS201120P19.5</stp>
        <tr r="W377" s="1"/>
      </tp>
      <tp t="s">
        <v>N/A</v>
        <stp/>
        <stp>STRIKE</stp>
        <stp>.JETS201120C19.5</stp>
        <tr r="W376" s="1"/>
      </tp>
      <tp t="s">
        <v>N/A</v>
        <stp/>
        <stp>VOLUME</stp>
        <stp>.IBB201120C138.5</stp>
        <tr r="F231" s="1"/>
      </tp>
      <tp t="s">
        <v>N/A</v>
        <stp/>
        <stp>THETA</stp>
        <stp>.XLRE201120C37</stp>
        <tr r="O847" s="1"/>
      </tp>
      <tp t="s">
        <v>N/A</v>
        <stp/>
        <stp>DELTA</stp>
        <stp>.BKLN201120P22</stp>
        <tr r="M50" s="1"/>
      </tp>
      <tp t="s">
        <v>N/A</v>
        <stp/>
        <stp>DELTA</stp>
        <stp>.ICLN201120P22</stp>
        <tr r="M247" s="1"/>
      </tp>
      <tp t="s">
        <v>N/A</v>
        <stp/>
        <stp>VEGA</stp>
        <stp>.SSO201120P84</stp>
        <tr r="P656" s="1"/>
      </tp>
      <tp t="s">
        <v>N/A</v>
        <stp/>
        <stp>VEGA</stp>
        <stp>.SSO201120P81</stp>
        <tr r="P644" s="1"/>
      </tp>
      <tp t="s">
        <v>N/A</v>
        <stp/>
        <stp>VEGA</stp>
        <stp>.SSO201120P82</stp>
        <tr r="P648" s="1"/>
      </tp>
      <tp t="s">
        <v>N/A</v>
        <stp/>
        <stp>VEGA</stp>
        <stp>.SSO201120P83</stp>
        <tr r="P652" s="1"/>
      </tp>
      <tp t="s">
        <v>N/A</v>
        <stp/>
        <stp>THETA</stp>
        <stp>.DGRO201120C43</stp>
        <tr r="O60" s="1"/>
      </tp>
      <tp t="s">
        <v>N/A</v>
        <stp/>
        <stp>GAMMA</stp>
        <stp>.SCHD201120P61</stp>
        <tr r="N522" s="1"/>
      </tp>
      <tp t="s">
        <v>N/A</v>
        <stp/>
        <stp>GAMMA</stp>
        <stp>.SCHD201120P62</stp>
        <tr r="N524" s="1"/>
      </tp>
      <tp t="s">
        <v>N/A</v>
        <stp/>
        <stp>DELTA</stp>
        <stp>.SPLG201120P42</stp>
        <tr r="M586" s="1"/>
      </tp>
      <tp t="s">
        <v>N/A</v>
        <stp/>
        <stp>LAST</stp>
        <stp>.EFV201120P45</stp>
        <tr r="E110" s="1"/>
      </tp>
      <tp t="s">
        <v>N/A</v>
        <stp/>
        <stp>DELTA</stp>
        <stp>.EMLC201120P32</stp>
        <tr r="M116" s="1"/>
      </tp>
      <tp t="s">
        <v>N/A</v>
        <stp/>
        <stp>GAMMA</stp>
        <stp>.MCHI201120P80</stp>
        <tr r="N413" s="1"/>
      </tp>
      <tp t="s">
        <v>N/A</v>
        <stp/>
        <stp>GAMMA</stp>
        <stp>.SCHE201120P29</stp>
        <tr r="N527" s="1"/>
      </tp>
      <tp t="s">
        <v>N/A</v>
        <stp/>
        <stp>DELTA</stp>
        <stp>.HYLB201120P49</stp>
        <tr r="M227" s="1"/>
      </tp>
      <tp t="s">
        <v>N/A</v>
        <stp/>
        <stp>GAMMA</stp>
        <stp>.SPHD201120P36</stp>
        <tr r="N583" s="1"/>
      </tp>
      <tp>
        <v>0.81</v>
        <stp/>
        <stp>OPEN</stp>
        <stp>.XOP201120C49</stp>
        <tr r="L898" s="1"/>
      </tp>
      <tp t="s">
        <v>N/A</v>
        <stp/>
        <stp>OPEN</stp>
        <stp>.XOP201120C48</stp>
        <tr r="L894" s="1"/>
      </tp>
      <tp t="s">
        <v>N/A</v>
        <stp/>
        <stp>OPEN</stp>
        <stp>.XOP201120C47</stp>
        <tr r="L890" s="1"/>
      </tp>
      <tp t="s">
        <v>N/A</v>
        <stp/>
        <stp>GAMMA</stp>
        <stp>.SCHF201120P34</stp>
        <tr r="N530" s="1"/>
      </tp>
      <tp t="s">
        <v>N/A</v>
        <stp/>
        <stp>HIGH</stp>
        <stp>.EZU201120P42</stp>
        <tr r="J179" s="1"/>
      </tp>
      <tp t="s">
        <v>N/A</v>
        <stp/>
        <stp>HIGH</stp>
        <stp>.BZQ201120P12</stp>
        <tr r="J53" s="1"/>
      </tp>
      <tp>
        <v>0</v>
        <stp/>
        <stp>VOLUME</stp>
        <stp>.IBB201120P138.5</stp>
        <tr r="F232" s="1"/>
      </tp>
      <tp t="s">
        <v>N/A</v>
        <stp/>
        <stp>LAST</stp>
        <stp>.VFH201120P66</stp>
        <tr r="E715" s="1"/>
      </tp>
      <tp t="s">
        <v>N/A</v>
        <stp/>
        <stp>LAST</stp>
        <stp>.VFH201120P67</stp>
        <tr r="E717" s="1"/>
      </tp>
      <tp t="s">
        <v>N/A</v>
        <stp/>
        <stp>DELTA</stp>
        <stp>.AMLP201120P24</stp>
        <tr r="M24" s="1"/>
      </tp>
      <tp t="s">
        <v>N/A</v>
        <stp/>
        <stp>DELTA</stp>
        <stp>.AMLP201120P23</stp>
        <tr r="M20" s="1"/>
      </tp>
      <tp t="s">
        <v>N/A</v>
        <stp/>
        <stp>DELTA</stp>
        <stp>.SPLV201120P55</stp>
        <tr r="M589" s="1"/>
      </tp>
      <tp t="s">
        <v>N/A</v>
        <stp/>
        <stp>GAMMA</stp>
        <stp>.ASHR201120P38</stp>
        <tr r="N47" s="1"/>
      </tp>
      <tp t="s">
        <v>N/A</v>
        <stp/>
        <stp>VEGA</stp>
        <stp>.RSX201120P22</stp>
        <tr r="P514" s="1"/>
      </tp>
      <tp>
        <v>1.05</v>
        <stp/>
        <stp>LAST</stp>
        <stp>.EFA201120P69</stp>
        <tr r="E103" s="1"/>
      </tp>
      <tp t="s">
        <v>N/A</v>
        <stp/>
        <stp>GAMMA</stp>
        <stp>.SCHP201120P61</stp>
        <tr r="N533" s="1"/>
      </tp>
      <tp t="s">
        <v>N/A</v>
        <stp/>
        <stp>LAST</stp>
        <stp>.EFA201120P70</stp>
        <tr r="E107" s="1"/>
      </tp>
      <tp t="s">
        <v>N/A</v>
        <stp/>
        <stp>THETA</stp>
        <stp>.XLC201120C63.5</stp>
        <tr r="O799" s="1"/>
      </tp>
      <tp t="s">
        <v>N/A</v>
        <stp/>
        <stp>THETA</stp>
        <stp>.XLE201120C33.5</stp>
        <tr r="O804" s="1"/>
      </tp>
      <tp>
        <v>0</v>
        <stp/>
        <stp>HIGH</stp>
        <stp>.USMV201120P67</stp>
        <tr r="J700" s="1"/>
      </tp>
      <tp t="s">
        <v>N/A</v>
        <stp/>
        <stp>THETA</stp>
        <stp>.XLC201120P63.5</stp>
        <tr r="O800" s="1"/>
      </tp>
      <tp t="s">
        <v>N/A</v>
        <stp/>
        <stp>THETA</stp>
        <stp>.XLE201120P33.5</stp>
        <tr r="O805" s="1"/>
      </tp>
      <tp t="s">
        <v>N/A</v>
        <stp/>
        <stp>LAST</stp>
        <stp>.VCIT201120P96</stp>
        <tr r="E703" s="1"/>
      </tp>
      <tp t="s">
        <v>N/A</v>
        <stp/>
        <stp>THETA</stp>
        <stp>.SSO201120P83.5</stp>
        <tr r="O654" s="1"/>
      </tp>
      <tp t="s">
        <v>N/A</v>
        <stp/>
        <stp>OPEN</stp>
        <stp>.SPYG201120C53</stp>
        <tr r="L632" s="1"/>
      </tp>
      <tp t="s">
        <v>N/A</v>
        <stp/>
        <stp>THETA</stp>
        <stp>.SDS201120C13.5</stp>
        <tr r="O538" s="1"/>
      </tp>
      <tp>
        <v>1.1499999999999999</v>
        <stp/>
        <stp>OPEN</stp>
        <stp>.SPYG201120C52</stp>
        <tr r="L630" s="1"/>
      </tp>
      <tp t="s">
        <v>N/A</v>
        <stp/>
        <stp>THETA</stp>
        <stp>.SSO201120C83.5</stp>
        <tr r="O653" s="1"/>
      </tp>
      <tp t="s">
        <v>N/A</v>
        <stp/>
        <stp>LAST</stp>
        <stp>.VGIT201120P70</stp>
        <tr r="E720" s="1"/>
      </tp>
      <tp t="s">
        <v>N/A</v>
        <stp/>
        <stp>THETA</stp>
        <stp>.SDS201120P13.5</stp>
        <tr r="O539" s="1"/>
      </tp>
      <tp>
        <v>0</v>
        <stp/>
        <stp>OPEN</stp>
        <stp>.SHYG201120C45</stp>
        <tr r="L549" s="1"/>
      </tp>
      <tp t="s">
        <v>N/A</v>
        <stp/>
        <stp>THETA</stp>
        <stp>.TAN201120C73.5</stp>
        <tr r="O664" s="1"/>
      </tp>
      <tp>
        <v>2.2999999999999998</v>
        <stp/>
        <stp>LAST</stp>
        <stp>.DRIP201120P45</stp>
        <tr r="E83" s="1"/>
      </tp>
      <tp t="s">
        <v>N/A</v>
        <stp/>
        <stp>THETA</stp>
        <stp>.TAN201120P73.5</stp>
        <tr r="O665" s="1"/>
      </tp>
      <tp>
        <v>3.2</v>
        <stp/>
        <stp>LAST</stp>
        <stp>.NAIL201120P44</stp>
        <tr r="E440" s="1"/>
      </tp>
      <tp>
        <v>4.0999999999999996</v>
        <stp/>
        <stp>LAST</stp>
        <stp>.NAIL201120P45</stp>
        <tr r="E442" s="1"/>
      </tp>
      <tp>
        <v>2.4</v>
        <stp/>
        <stp>LAST</stp>
        <stp>.NAIL201120P46</stp>
        <tr r="E444" s="1"/>
      </tp>
      <tp>
        <v>5.7</v>
        <stp/>
        <stp>LAST</stp>
        <stp>.NAIL201120P47</stp>
        <tr r="E446" s="1"/>
      </tp>
      <tp>
        <v>6.26</v>
        <stp/>
        <stp>LAST</stp>
        <stp>.NAIL201120P48</stp>
        <tr r="E448" s="1"/>
      </tp>
      <tp>
        <v>6.95</v>
        <stp/>
        <stp>LAST</stp>
        <stp>.NAIL201120P49</stp>
        <tr r="E450" s="1"/>
      </tp>
      <tp>
        <v>0</v>
        <stp/>
        <stp>HIGH</stp>
        <stp>.IEMG201120P57</stp>
        <tr r="J258" s="1"/>
      </tp>
      <tp>
        <v>0</v>
        <stp/>
        <stp>HIGH</stp>
        <stp>.IEMG201120P58</stp>
        <tr r="J260" s="1"/>
      </tp>
      <tp t="s">
        <v>N/A</v>
        <stp/>
        <stp>VEGA</stp>
        <stp>.GUSH201120P28</stp>
        <tr r="P219" s="1"/>
      </tp>
      <tp t="s">
        <v>N/A</v>
        <stp/>
        <stp>VEGA</stp>
        <stp>.GUSH201120P27</stp>
        <tr r="P217" s="1"/>
      </tp>
      <tp t="s">
        <v>N/A</v>
        <stp/>
        <stp>VEGA</stp>
        <stp>.GUSH201120P26</stp>
        <tr r="P215" s="1"/>
      </tp>
      <tp t="s">
        <v>N/A</v>
        <stp/>
        <stp>THETA</stp>
        <stp>.EWY201120P73.5</stp>
        <tr r="O171" s="1"/>
      </tp>
      <tp t="s">
        <v>N/A</v>
        <stp/>
        <stp>THETA</stp>
        <stp>.EWJ201120P63.5</stp>
        <tr r="O139" s="1"/>
      </tp>
      <tp t="s">
        <v>N/A</v>
        <stp/>
        <stp>THETA</stp>
        <stp>.EWY201120C73.5</stp>
        <tr r="O170" s="1"/>
      </tp>
      <tp t="s">
        <v>N/A</v>
        <stp/>
        <stp>THETA</stp>
        <stp>.EWJ201120C63.5</stp>
        <tr r="O138" s="1"/>
      </tp>
      <tp t="s">
        <v>N/A</v>
        <stp/>
        <stp>LAST</stp>
        <stp>.IGIB201120P61</stp>
        <tr r="E263" s="1"/>
      </tp>
      <tp t="s">
        <v>N/A</v>
        <stp/>
        <stp>OPEN</stp>
        <stp>.SPYV201120C33</stp>
        <tr r="L635" s="1"/>
      </tp>
      <tp t="s">
        <v>N/A</v>
        <stp/>
        <stp>EXTRINSIC</stp>
        <stp>.EWJ201120C63</stp>
        <tr r="S136" s="1"/>
      </tp>
      <tp t="s">
        <v>N/A</v>
        <stp/>
        <stp>EXTRINSIC</stp>
        <stp>.EWJ201120C64</stp>
        <tr r="S140" s="1"/>
      </tp>
      <tp t="s">
        <v>N/A</v>
        <stp/>
        <stp>EXTRINSIC</stp>
        <stp>.RWM201120C29</stp>
        <tr r="S518" s="1"/>
      </tp>
      <tp t="s">
        <v>N/A</v>
        <stp/>
        <stp>EXTRINSIC</stp>
        <stp>.EWL201120C43</stp>
        <tr r="S143" s="1"/>
      </tp>
      <tp t="s">
        <v>N/A</v>
        <stp/>
        <stp>EXTRINSIC</stp>
        <stp>.SMH201120C196.5</stp>
        <tr r="S568" s="1"/>
      </tp>
      <tp t="s">
        <v>N/A</v>
        <stp/>
        <stp>EXTRINSIC</stp>
        <stp>.VWO201120C47</stp>
        <tr r="S751" s="1"/>
      </tp>
      <tp t="s">
        <v>N/A</v>
        <stp/>
        <stp>EXTRINSIC</stp>
        <stp>.EWI201120C27</stp>
        <tr r="S133" s="1"/>
      </tp>
      <tp t="s">
        <v>N/A</v>
        <stp/>
        <stp>EXTRINSIC</stp>
        <stp>.EWH201120C24</stp>
        <tr r="S130" s="1"/>
      </tp>
      <tp t="s">
        <v>6.55%</v>
        <stp/>
        <stp>IMPL_VOL</stp>
        <stp>IGIB</stp>
        <tr r="D261" s="1"/>
      </tp>
      <tp t="s">
        <v>19.03%</v>
        <stp/>
        <stp>IMPL_VOL</stp>
        <stp>VGIT</stp>
        <tr r="D718" s="1"/>
      </tp>
      <tp t="s">
        <v>N/A</v>
        <stp/>
        <stp>PROB_OTM</stp>
        <stp>VCIT</stp>
        <tr r="U701" s="1"/>
      </tp>
      <tp t="s">
        <v>N/A</v>
        <stp/>
        <stp>EXTRINSIC</stp>
        <stp>.EWG201120C30</stp>
        <tr r="S127" s="1"/>
      </tp>
      <tp t="s">
        <v>N/A</v>
        <stp/>
        <stp>PROB_OTM</stp>
        <stp>SCHP</stp>
        <tr r="U531" s="1"/>
      </tp>
      <tp t="s">
        <v>N/A</v>
        <stp/>
        <stp>PROB_OTM</stp>
        <stp>SCHD</stp>
        <tr r="U520" s="1"/>
      </tp>
      <tp t="s">
        <v>N/A</v>
        <stp/>
        <stp>PROB_OTM</stp>
        <stp>SCHE</stp>
        <tr r="U525" s="1"/>
      </tp>
      <tp t="s">
        <v>N/A</v>
        <stp/>
        <stp>PROB_OTM</stp>
        <stp>SCHF</stp>
        <tr r="U528" s="1"/>
      </tp>
      <tp t="s">
        <v>N/A</v>
        <stp/>
        <stp>PROB_OTM</stp>
        <stp>MCHI</stp>
        <tr r="U411" s="1"/>
      </tp>
      <tp t="s">
        <v>N/A</v>
        <stp/>
        <stp>INTRINSIC</stp>
        <stp>.SMH201120C196.5</stp>
        <tr r="R568" s="1"/>
      </tp>
      <tp t="s">
        <v>N/A</v>
        <stp/>
        <stp>EXTRINSIC</stp>
        <stp>.EWC201120C29</stp>
        <tr r="S124" s="1"/>
      </tp>
      <tp t="s">
        <v>N/A</v>
        <stp/>
        <stp>PROB_OTM</stp>
        <stp>VCLT</stp>
        <tr r="U704" s="1"/>
      </tp>
      <tp t="s">
        <v>N/A</v>
        <stp/>
        <stp>PROB_OTM</stp>
        <stp>ICLN</stp>
        <tr r="U245" s="1"/>
      </tp>
      <tp t="s">
        <v>N/A</v>
        <stp/>
        <stp>EXTRINSIC</stp>
        <stp>.EWA201120C22</stp>
        <tr r="S121" s="1"/>
      </tp>
      <tp t="s">
        <v>N/A</v>
        <stp/>
        <stp>EXTRINSIC</stp>
        <stp>.EWY201120C72</stp>
        <tr r="S164" s="1"/>
      </tp>
      <tp t="s">
        <v>N/A</v>
        <stp/>
        <stp>EXTRINSIC</stp>
        <stp>.EWY201120C73</stp>
        <tr r="S168" s="1"/>
      </tp>
      <tp t="s">
        <v>N/A</v>
        <stp/>
        <stp>EXTRINSIC</stp>
        <stp>.EWZ201120C32</stp>
        <tr r="S175" s="1"/>
      </tp>
      <tp t="s">
        <v>N/A</v>
        <stp/>
        <stp>EXTRINSIC</stp>
        <stp>.GDX201120P37</stp>
        <tr r="S199" s="1"/>
      </tp>
      <tp t="s">
        <v>N/A</v>
        <stp/>
        <stp>PROB_OTM</stp>
        <stp>ACWX</stp>
        <tr r="U12" s="1"/>
      </tp>
      <tp t="s">
        <v>N/A</v>
        <stp/>
        <stp>PROB_OTM</stp>
        <stp>ACWI</stp>
        <tr r="U7" s="1"/>
      </tp>
      <tp t="s">
        <v>N/A</v>
        <stp/>
        <stp>EXTRINSIC</stp>
        <stp>.SMH201120P196.5</stp>
        <tr r="S569" s="1"/>
      </tp>
      <tp t="s">
        <v>N/A</v>
        <stp/>
        <stp>GAMMA</stp>
        <stp>.MJ201120C13</stp>
        <tr r="N424" s="1"/>
      </tp>
      <tp t="s">
        <v>N/A</v>
        <stp/>
        <stp>EXTRINSIC</stp>
        <stp>.EWW201120C39</stp>
        <tr r="S157" s="1"/>
      </tp>
      <tp>
        <v>0</v>
        <stp/>
        <stp>OPEN_INT</stp>
        <stp>USMV</stp>
        <tr r="G698" s="1"/>
      </tp>
      <tp t="s">
        <v>N/A</v>
        <stp/>
        <stp>INTRINSIC</stp>
        <stp>.SMH201120P196.5</stp>
        <tr r="R569" s="1"/>
      </tp>
      <tp t="s">
        <v>N/A</v>
        <stp/>
        <stp>INTRINSIC</stp>
        <stp>.XHB201120P55</stp>
        <tr r="R782" s="1"/>
      </tp>
      <tp t="s">
        <v>N/A</v>
        <stp/>
        <stp>INTRINSIC</stp>
        <stp>.XHB201120P56</stp>
        <tr r="R786" s="1"/>
      </tp>
      <tp t="s">
        <v>22.63%</v>
        <stp/>
        <stp>IMPL_VOL</stp>
        <stp>DGRO</stp>
        <tr r="D59" s="1"/>
      </tp>
      <tp>
        <v>0</v>
        <stp/>
        <stp>OPEN_INT</stp>
        <stp>ASHR</stp>
        <tr r="G43" s="1"/>
      </tp>
      <tp t="s">
        <v>N/A</v>
        <stp/>
        <stp>EXTRINSIC</stp>
        <stp>.EWT201120C48</stp>
        <tr r="S149" s="1"/>
      </tp>
      <tp t="s">
        <v>N/A</v>
        <stp/>
        <stp>EXTRINSIC</stp>
        <stp>.SDS201120P14</stp>
        <tr r="S541" s="1"/>
      </tp>
      <tp t="s">
        <v>N/A</v>
        <stp/>
        <stp>EXTRINSIC</stp>
        <stp>.EWP201120C26</stp>
        <tr r="S146" s="1"/>
      </tp>
      <tp t="s">
        <v>N/A</v>
        <stp/>
        <stp>STRIKE</stp>
        <stp>.AMLP201120C23.5</stp>
        <tr r="W21" s="1"/>
      </tp>
      <tp t="s">
        <v>N/A</v>
        <stp/>
        <stp>STRIKE</stp>
        <stp>.AMLP201120P23.5</stp>
        <tr r="W22" s="1"/>
      </tp>
      <tp t="s">
        <v>N/A</v>
        <stp/>
        <stp>PUT_CALL_RATIO</stp>
        <stp>.XBI201120C124.5</stp>
        <tr r="C774" s="1"/>
      </tp>
      <tp t="s">
        <v>N/A</v>
        <stp/>
        <stp>THETA</stp>
        <stp>.PDBC201120P14</stp>
        <tr r="O453" s="1"/>
      </tp>
      <tp>
        <v>0.16600000000000001</v>
        <stp/>
        <stp>PUT_CALL_RATIO</stp>
        <stp>MJ</stp>
        <tr r="C423" s="1"/>
      </tp>
      <tp t="s">
        <v>N/A</v>
        <stp/>
        <stp>GAMMA</stp>
        <stp>.GDXJ201120C53</stp>
        <tr r="N207" s="1"/>
      </tp>
      <tp t="s">
        <v>N/A</v>
        <stp/>
        <stp>GAMMA</stp>
        <stp>.GDXJ201120C52</stp>
        <tr r="N203" s="1"/>
      </tp>
      <tp t="s">
        <v>N/A</v>
        <stp/>
        <stp>GAMMA</stp>
        <stp>.GDXJ201120C54</stp>
        <tr r="N211" s="1"/>
      </tp>
      <tp t="s">
        <v>N/A</v>
        <stp/>
        <stp>HIGH</stp>
        <stp>.IJR201120C80</stp>
        <tr r="J275" s="1"/>
      </tp>
      <tp t="s">
        <v>N/A</v>
        <stp/>
        <stp>HIGH</stp>
        <stp>.IYR201120P84</stp>
        <tr r="J368" s="1"/>
      </tp>
      <tp>
        <v>1.23</v>
        <stp/>
        <stp>HIGH</stp>
        <stp>.IYR201120P85</stp>
        <tr r="J372" s="1"/>
      </tp>
      <tp>
        <v>1</v>
        <stp/>
        <stp>LAST</stp>
        <stp>.FEZ201120P40</stp>
        <tr r="E184" s="1"/>
      </tp>
      <tp t="s">
        <v>N/A</v>
        <stp/>
        <stp>GAMMA</stp>
        <stp>.ARKK201120P99</stp>
        <tr r="N31" s="1"/>
      </tp>
      <tp t="s">
        <v>N/A</v>
        <stp/>
        <stp>GAMMA</stp>
        <stp>.ARKK201120P98</stp>
        <tr r="N29" s="1"/>
      </tp>
      <tp t="s">
        <v>N/A</v>
        <stp/>
        <stp>GAMMA</stp>
        <stp>.ARKK201120P97</stp>
        <tr r="N27" s="1"/>
      </tp>
      <tp t="s">
        <v>N/A</v>
        <stp/>
        <stp>GAMMA</stp>
        <stp>.AAXJ201120C84</stp>
        <tr r="N5" s="1"/>
      </tp>
      <tp t="s">
        <v>N/A</v>
        <stp/>
        <stp>GAMMA</stp>
        <stp>.AAXJ201120C83</stp>
        <tr r="N3" s="1"/>
      </tp>
      <tp t="s">
        <v>N/A</v>
        <stp/>
        <stp>STRIKE</stp>
        <stp>.IBB201120P138.5</stp>
        <tr r="W232" s="1"/>
      </tp>
      <tp t="s">
        <v>N/A</v>
        <stp/>
        <stp>LAST</stp>
        <stp>.DVY201120C91</stp>
        <tr r="E85" s="1"/>
      </tp>
      <tp t="s">
        <v>N/A</v>
        <stp/>
        <stp>LAST</stp>
        <stp>.DVY201120C92</stp>
        <tr r="E87" s="1"/>
      </tp>
      <tp t="s">
        <v>N/A</v>
        <stp/>
        <stp>LAST</stp>
        <stp>.DVY201120C93</stp>
        <tr r="E89" s="1"/>
      </tp>
      <tp t="s">
        <v>N/A</v>
        <stp/>
        <stp>LAST</stp>
        <stp>.VEU201120P55</stp>
        <tr r="E712" s="1"/>
      </tp>
      <tp>
        <v>0.28999999999999998</v>
        <stp/>
        <stp>OPEN</stp>
        <stp>.XLU201120C67</stp>
        <tr r="L854" s="1"/>
      </tp>
      <tp>
        <v>0.79</v>
        <stp/>
        <stp>OPEN</stp>
        <stp>.XLU201120C66</stp>
        <tr r="L850" s="1"/>
      </tp>
      <tp t="s">
        <v>N/A</v>
        <stp/>
        <stp>PUT_CALL_RATIO</stp>
        <stp>.XLY201120C154.5</stp>
        <tr r="C880" s="1"/>
      </tp>
      <tp>
        <v>0.46</v>
        <stp/>
        <stp>OPEN</stp>
        <stp>.XLP201120C67</stp>
        <tr r="L844" s="1"/>
      </tp>
      <tp>
        <v>0.98</v>
        <stp/>
        <stp>HIGH</stp>
        <stp>.HYG201120P86</stp>
        <tr r="J224" s="1"/>
      </tp>
      <tp>
        <v>0.78</v>
        <stp/>
        <stp>LAST</stp>
        <stp>.EEM201120P48</stp>
        <tr r="E98" s="1"/>
      </tp>
      <tp t="s">
        <v>N/A</v>
        <stp/>
        <stp>PUT_CALL_RATIO</stp>
        <stp>.XBI201120P124.5</stp>
        <tr r="C775" s="1"/>
      </tp>
      <tp>
        <v>0</v>
        <stp/>
        <stp>OPEN</stp>
        <stp>.QLD201120C99</stp>
        <tr r="L469" s="1"/>
      </tp>
      <tp>
        <v>3.4</v>
        <stp/>
        <stp>OPEN</stp>
        <stp>.QLD201120C98</stp>
        <tr r="L467" s="1"/>
      </tp>
      <tp>
        <v>4.3</v>
        <stp/>
        <stp>OPEN</stp>
        <stp>.QLD201120C97</stp>
        <tr r="L465" s="1"/>
      </tp>
      <tp>
        <v>0</v>
        <stp/>
        <stp>OPEN</stp>
        <stp>.QLD201120C96</stp>
        <tr r="L463" s="1"/>
      </tp>
      <tp t="s">
        <v>N/A</v>
        <stp/>
        <stp>DELTA</stp>
        <stp>.ITOT201120P80</stp>
        <tr r="M299" s="1"/>
      </tp>
      <tp t="s">
        <v>N/A</v>
        <stp/>
        <stp>DELTA</stp>
        <stp>.ITOT201120P81</stp>
        <tr r="M301" s="1"/>
      </tp>
      <tp t="s">
        <v>N/A</v>
        <stp/>
        <stp>STRIKE</stp>
        <stp>.IBB201120C138.5</stp>
        <tr r="W231" s="1"/>
      </tp>
      <tp>
        <v>7.9000000000000001E-2</v>
        <stp/>
        <stp>PUT_CALL_RATIO</stp>
        <stp>VT</stp>
        <tr r="C734" s="1"/>
      </tp>
      <tp>
        <v>0.87</v>
        <stp/>
        <stp>OPEN</stp>
        <stp>.XLI201120C85</stp>
        <tr r="L818" s="1"/>
      </tp>
      <tp t="s">
        <v>N/A</v>
        <stp/>
        <stp>OPEN</stp>
        <stp>.XLI201120C84</stp>
        <tr r="L814" s="1"/>
      </tp>
      <tp t="s">
        <v>N/A</v>
        <stp/>
        <stp>OPEN</stp>
        <stp>.XLI201120C86</stp>
        <tr r="L822" s="1"/>
      </tp>
      <tp t="s">
        <v>N/A</v>
        <stp/>
        <stp>HIGH</stp>
        <stp>.VYM201120P87</stp>
        <tr r="J760" s="1"/>
      </tp>
      <tp t="s">
        <v>N/A</v>
        <stp/>
        <stp>HIGH</stp>
        <stp>.VYM201120P88</stp>
        <tr r="J762" s="1"/>
      </tp>
      <tp t="s">
        <v>N/A</v>
        <stp/>
        <stp>HIGH</stp>
        <stp>.IYE201120P18</stp>
        <tr r="J365" s="1"/>
      </tp>
      <tp t="s">
        <v>N/A</v>
        <stp/>
        <stp>LAST</stp>
        <stp>.FVD201120C35</stp>
        <tr r="E186" s="1"/>
      </tp>
      <tp>
        <v>0.96</v>
        <stp/>
        <stp>OPEN</stp>
        <stp>.XLB201120C69</stp>
        <tr r="L790" s="1"/>
      </tp>
      <tp>
        <v>0.33900000000000002</v>
        <stp/>
        <stp>PUT_CALL_RATIO</stp>
        <stp>SH</stp>
        <tr r="C542" s="1"/>
      </tp>
      <tp t="s">
        <v>N/A</v>
        <stp/>
        <stp>OPEN</stp>
        <stp>.ILF201120C25</stp>
        <tr r="L278" s="1"/>
      </tp>
      <tp>
        <v>0.28999999999999998</v>
        <stp/>
        <stp>OPEN</stp>
        <stp>.XLF201120C27</stp>
        <tr r="L811" s="1"/>
      </tp>
      <tp t="s">
        <v>N/A</v>
        <stp/>
        <stp>PUT_CALL_RATIO</stp>
        <stp>.XLY201120P154.5</stp>
        <tr r="C881" s="1"/>
      </tp>
      <tp t="s">
        <v>N/A</v>
        <stp/>
        <stp>VEGA</stp>
        <stp>.SCZ201120C63</stp>
        <tr r="P535" s="1"/>
      </tp>
      <tp>
        <v>0.43</v>
        <stp/>
        <stp>OPEN</stp>
        <stp>.XLB201120C70</stp>
        <tr r="L794" s="1"/>
      </tp>
      <tp>
        <v>1.35</v>
        <stp/>
        <stp>OPEN</stp>
        <stp>.XLC201120C63</stp>
        <tr r="L797" s="1"/>
      </tp>
      <tp>
        <v>0.75</v>
        <stp/>
        <stp>OPEN</stp>
        <stp>.XLC201120C64</stp>
        <tr r="L801" s="1"/>
      </tp>
      <tp t="s">
        <v>N/A</v>
        <stp/>
        <stp>LAST</stp>
        <stp>.VEA201120P44</stp>
        <tr r="E709" s="1"/>
      </tp>
      <tp>
        <v>0.49</v>
        <stp/>
        <stp>OPEN</stp>
        <stp>.XLE201120C34</stp>
        <tr r="L806" s="1"/>
      </tp>
      <tp>
        <v>3.21</v>
        <stp/>
        <stp>OPEN</stp>
        <stp>.NAIL201120P46</stp>
        <tr r="L444" s="1"/>
      </tp>
      <tp>
        <v>0</v>
        <stp/>
        <stp>OPEN</stp>
        <stp>.NAIL201120P47</stp>
        <tr r="L446" s="1"/>
      </tp>
      <tp>
        <v>1.89</v>
        <stp/>
        <stp>OPEN</stp>
        <stp>.NAIL201120P44</stp>
        <tr r="L440" s="1"/>
      </tp>
      <tp>
        <v>2.2000000000000002</v>
        <stp/>
        <stp>OPEN</stp>
        <stp>.NAIL201120P45</stp>
        <tr r="L442" s="1"/>
      </tp>
      <tp>
        <v>0</v>
        <stp/>
        <stp>OPEN</stp>
        <stp>.NAIL201120P48</stp>
        <tr r="L448" s="1"/>
      </tp>
      <tp>
        <v>0</v>
        <stp/>
        <stp>OPEN</stp>
        <stp>.NAIL201120P49</stp>
        <tr r="L450" s="1"/>
      </tp>
      <tp t="s">
        <v>N/A</v>
        <stp/>
        <stp>DELTA</stp>
        <stp>.XOP201120P49.5</stp>
        <tr r="M901" s="1"/>
      </tp>
      <tp t="s">
        <v>N/A</v>
        <stp/>
        <stp>DELTA</stp>
        <stp>.XLB201120P69.5</stp>
        <tr r="M793" s="1"/>
      </tp>
      <tp t="s">
        <v>N/A</v>
        <stp/>
        <stp>DELTA</stp>
        <stp>.XLB201120C69.5</stp>
        <tr r="M792" s="1"/>
      </tp>
      <tp t="s">
        <v>N/A</v>
        <stp/>
        <stp>DELTA</stp>
        <stp>.XOP201120C49.5</stp>
        <tr r="M900" s="1"/>
      </tp>
      <tp t="s">
        <v>N/A</v>
        <stp/>
        <stp>GAMMA</stp>
        <stp>.EEM201120P48.5</stp>
        <tr r="N100" s="1"/>
      </tp>
      <tp t="s">
        <v>N/A</v>
        <stp/>
        <stp>GAMMA</stp>
        <stp>.EWW201120C38.5</stp>
        <tr r="N155" s="1"/>
      </tp>
      <tp t="s">
        <v>N/A</v>
        <stp/>
        <stp>GAMMA</stp>
        <stp>.EWU201120C28.5</stp>
        <tr r="N152" s="1"/>
      </tp>
      <tp t="s">
        <v>N/A</v>
        <stp/>
        <stp>GAMMA</stp>
        <stp>.EWW201120P38.5</stp>
        <tr r="N156" s="1"/>
      </tp>
      <tp t="s">
        <v>N/A</v>
        <stp/>
        <stp>GAMMA</stp>
        <stp>.EWU201120P28.5</stp>
        <tr r="N153" s="1"/>
      </tp>
      <tp t="s">
        <v>N/A</v>
        <stp/>
        <stp>GAMMA</stp>
        <stp>.EEM201120C48.5</stp>
        <tr r="N99" s="1"/>
      </tp>
      <tp>
        <v>0.6</v>
        <stp/>
        <stp>BID</stp>
        <stp>.MJ201120P13</stp>
        <tr r="H425" s="1"/>
      </tp>
      <tp t="s">
        <v>N/A</v>
        <stp/>
        <stp>OPEN</stp>
        <stp>.IGIB201120P61</stp>
        <tr r="L263" s="1"/>
      </tp>
      <tp t="s">
        <v>N/A</v>
        <stp/>
        <stp>LAST</stp>
        <stp>.SPYV201120C33</stp>
        <tr r="E635" s="1"/>
      </tp>
      <tp t="s">
        <v>N/A</v>
        <stp/>
        <stp>OPEN</stp>
        <stp>.VCIT201120P96</stp>
        <tr r="L703" s="1"/>
      </tp>
      <tp t="s">
        <v>N/A</v>
        <stp/>
        <stp>GAMMA</stp>
        <stp>.XLB201120P68.5</stp>
        <tr r="N789" s="1"/>
      </tp>
      <tp t="s">
        <v>N/A</v>
        <stp/>
        <stp>GAMMA</stp>
        <stp>.XOP201120P48.5</stp>
        <tr r="N897" s="1"/>
      </tp>
      <tp t="s">
        <v>N/A</v>
        <stp/>
        <stp>GAMMA</stp>
        <stp>.XOP201120C48.5</stp>
        <tr r="N896" s="1"/>
      </tp>
      <tp t="s">
        <v>N/A</v>
        <stp/>
        <stp>GAMMA</stp>
        <stp>.XLB201120C68.5</stp>
        <tr r="N788" s="1"/>
      </tp>
      <tp>
        <v>0</v>
        <stp/>
        <stp>LAST</stp>
        <stp>.SHYG201120C45</stp>
        <tr r="E549" s="1"/>
      </tp>
      <tp t="s">
        <v>N/A</v>
        <stp/>
        <stp>OPEN</stp>
        <stp>.VGIT201120P70</stp>
        <tr r="L720" s="1"/>
      </tp>
      <tp t="s">
        <v>N/A</v>
        <stp/>
        <stp>LAST</stp>
        <stp>.SPYG201120C53</stp>
        <tr r="E632" s="1"/>
      </tp>
      <tp>
        <v>1.1499999999999999</v>
        <stp/>
        <stp>LAST</stp>
        <stp>.SPYG201120C52</stp>
        <tr r="E630" s="1"/>
      </tp>
      <tp t="s">
        <v>N/A</v>
        <stp/>
        <stp>DELTA</stp>
        <stp>.EFA201120P69.5</stp>
        <tr r="M105" s="1"/>
      </tp>
      <tp t="s">
        <v>N/A</v>
        <stp/>
        <stp>DELTA</stp>
        <stp>.EWW201120C39.5</stp>
        <tr r="M159" s="1"/>
      </tp>
      <tp t="s">
        <v>N/A</v>
        <stp/>
        <stp>DELTA</stp>
        <stp>.EWW201120P39.5</stp>
        <tr r="M160" s="1"/>
      </tp>
      <tp>
        <v>2.2999999999999998</v>
        <stp/>
        <stp>OPEN</stp>
        <stp>.DRIP201120P45</stp>
        <tr r="L83" s="1"/>
      </tp>
      <tp t="s">
        <v>N/A</v>
        <stp/>
        <stp>DELTA</stp>
        <stp>.EFA201120C69.5</stp>
        <tr r="M104" s="1"/>
      </tp>
      <tp t="s">
        <v>N/A</v>
        <stp/>
        <stp>DELTA</stp>
        <stp>.FEZ201120P39.5</stp>
        <tr r="M182" s="1"/>
      </tp>
      <tp t="s">
        <v>N/A</v>
        <stp/>
        <stp>DELTA</stp>
        <stp>.FEZ201120C39.5</stp>
        <tr r="M181" s="1"/>
      </tp>
      <tp t="s">
        <v>N/A</v>
        <stp/>
        <stp>EXTRINSIC</stp>
        <stp>.VGK201120P57</stp>
        <tr r="S723" s="1"/>
      </tp>
      <tp t="s">
        <v>N/A</v>
        <stp/>
        <stp>EXTRINSIC</stp>
        <stp>.SMH201120C195.5</stp>
        <tr r="S564" s="1"/>
      </tp>
      <tp t="s">
        <v>N/A</v>
        <stp/>
        <stp>INTRINSIC</stp>
        <stp>.QQQ201120P287.5</stp>
        <tr r="R481" s="1"/>
      </tp>
      <tp t="s">
        <v>N/A</v>
        <stp/>
        <stp>INTRINSIC</stp>
        <stp>.SMH201120C195.5</stp>
        <tr r="R564" s="1"/>
      </tp>
      <tp t="s">
        <v>N/A</v>
        <stp/>
        <stp>EXTRINSIC</stp>
        <stp>.ITB201120C55</stp>
        <tr r="S291" s="1"/>
      </tp>
      <tp t="s">
        <v>N/A</v>
        <stp/>
        <stp>EXTRINSIC</stp>
        <stp>.ITB201120C56</stp>
        <tr r="S295" s="1"/>
      </tp>
      <tp t="s">
        <v>N/A</v>
        <stp/>
        <stp>EXTRINSIC</stp>
        <stp>.QQQ201120P287.5</stp>
        <tr r="S481" s="1"/>
      </tp>
      <tp t="s">
        <v>9.13%</v>
        <stp/>
        <stp>IMPL_VOL</stp>
        <stp>PDBC</stp>
        <tr r="D451" s="1"/>
      </tp>
      <tp>
        <v>0</v>
        <stp/>
        <stp>OPEN_INT</stp>
        <stp>SPYG</stp>
        <tr r="G629" s="1"/>
      </tp>
      <tp>
        <v>0</v>
        <stp/>
        <stp>OPEN_INT</stp>
        <stp>SPYV</stp>
        <tr r="G634" s="1"/>
      </tp>
      <tp>
        <v>0</v>
        <stp/>
        <stp>OPEN_INT</stp>
        <stp>SPDW</stp>
        <tr r="G578" s="1"/>
      </tp>
      <tp t="s">
        <v>N/A</v>
        <stp/>
        <stp>INTRINSIC</stp>
        <stp>.PXH201120C20</stp>
        <tr r="R460" s="1"/>
      </tp>
      <tp t="s">
        <v>N/A</v>
        <stp/>
        <stp>INTRINSIC</stp>
        <stp>.PXH201120C19</stp>
        <tr r="R458" s="1"/>
      </tp>
      <tp t="s">
        <v>N/A</v>
        <stp/>
        <stp>EXTRINSIC</stp>
        <stp>.PGX201120P15</stp>
        <tr r="S456" s="1"/>
      </tp>
      <tp t="s">
        <v>N/A</v>
        <stp/>
        <stp>INTRINSIC</stp>
        <stp>.QQQ201120C287.5</stp>
        <tr r="R480" s="1"/>
      </tp>
      <tp t="s">
        <v>N/A</v>
        <stp/>
        <stp>INTRINSIC</stp>
        <stp>.FXI201120C47</stp>
        <tr r="R189" s="1"/>
      </tp>
      <tp t="s">
        <v>N/A</v>
        <stp/>
        <stp>INTRINSIC</stp>
        <stp>.FXI201120C48</stp>
        <tr r="R193" s="1"/>
      </tp>
      <tp t="s">
        <v>47.66%</v>
        <stp/>
        <stp>IMPL_VOL</stp>
        <stp>GDXJ</stp>
        <tr r="D202" s="1"/>
      </tp>
      <tp t="s">
        <v>N/A</v>
        <stp/>
        <stp>EXTRINSIC</stp>
        <stp>.SMH201120P195.5</stp>
        <tr r="S565" s="1"/>
      </tp>
      <tp t="s">
        <v>N/A</v>
        <stp/>
        <stp>PROB_OF_EXPIRING</stp>
        <stp>XLRE</stp>
        <tr r="T846" s="1"/>
      </tp>
      <tp>
        <v>0</v>
        <stp/>
        <stp>OPEN_INT</stp>
        <stp>SPLG</stp>
        <tr r="G584" s="1"/>
      </tp>
      <tp>
        <v>0</v>
        <stp/>
        <stp>OPEN_INT</stp>
        <stp>SPLV</stp>
        <tr r="G587" s="1"/>
      </tp>
      <tp t="s">
        <v>N/A</v>
        <stp/>
        <stp>EXTRINSIC</stp>
        <stp>.QQQ201120C287.5</stp>
        <tr r="S480" s="1"/>
      </tp>
      <tp t="s">
        <v>N/A</v>
        <stp/>
        <stp>INTRINSIC</stp>
        <stp>.SMH201120P195.5</stp>
        <tr r="R565" s="1"/>
      </tp>
      <tp>
        <v>0</v>
        <stp/>
        <stp>OPEN_INT</stp>
        <stp>SPHD</stp>
        <tr r="G581" s="1"/>
      </tp>
      <tp t="s">
        <v>N/A</v>
        <stp/>
        <stp>INTRINSIC</stp>
        <stp>.DXD201120C14</stp>
        <tr r="R92" s="1"/>
      </tp>
      <tp>
        <v>0</v>
        <stp/>
        <stp>VOLUME</stp>
        <stp>.AMLP201120P23.5</stp>
        <tr r="F22" s="1"/>
      </tp>
      <tp t="s">
        <v>N/A</v>
        <stp/>
        <stp>VOLUME</stp>
        <stp>.AMLP201120C23.5</stp>
        <tr r="F21" s="1"/>
      </tp>
      <tp t="s">
        <v>N/A</v>
        <stp/>
        <stp>PUT_CALL_RATIO</stp>
        <stp>.XBI201120C125.5</stp>
        <tr r="C778" s="1"/>
      </tp>
      <tp>
        <v>0.66</v>
        <stp/>
        <stp>LAST</stp>
        <stp>.GDX201120P37</stp>
        <tr r="E199" s="1"/>
      </tp>
      <tp>
        <v>0.25</v>
        <stp/>
        <stp>LAST</stp>
        <stp>.EWZ201120C32</stp>
        <tr r="E175" s="1"/>
      </tp>
      <tp t="s">
        <v>N/A</v>
        <stp/>
        <stp>LAST</stp>
        <stp>.EWY201120C72</stp>
        <tr r="E164" s="1"/>
      </tp>
      <tp t="s">
        <v>N/A</v>
        <stp/>
        <stp>LAST</stp>
        <stp>.EWY201120C73</stp>
        <tr r="E168" s="1"/>
      </tp>
      <tp t="s">
        <v>N/A</v>
        <stp/>
        <stp>VEGA</stp>
        <stp>.TBF201120C16</stp>
        <tr r="P681" s="1"/>
      </tp>
      <tp t="s">
        <v>N/A</v>
        <stp/>
        <stp>VEGA</stp>
        <stp>.KBE201120C38</stp>
        <tr r="P386" s="1"/>
      </tp>
      <tp>
        <v>106</v>
        <stp/>
        <stp>VOLUME</stp>
        <stp>.DIA201120C297.5</stp>
        <tr r="F79" s="1"/>
      </tp>
      <tp t="s">
        <v>N/A</v>
        <stp/>
        <stp>GAMMA</stp>
        <stp>.SHYG201120C45</stp>
        <tr r="N549" s="1"/>
      </tp>
      <tp t="s">
        <v>N/A</v>
        <stp/>
        <stp>GAMMA</stp>
        <stp>.SPYG201120C53</stp>
        <tr r="N632" s="1"/>
      </tp>
      <tp t="s">
        <v>N/A</v>
        <stp/>
        <stp>GAMMA</stp>
        <stp>.SPYG201120C52</stp>
        <tr r="N630" s="1"/>
      </tp>
      <tp t="s">
        <v>N/A</v>
        <stp/>
        <stp>LAST</stp>
        <stp>.SDS201120P14</stp>
        <tr r="E541" s="1"/>
      </tp>
      <tp t="s">
        <v>N/A</v>
        <stp/>
        <stp>LAST</stp>
        <stp>.EWP201120C26</stp>
        <tr r="E146" s="1"/>
      </tp>
      <tp t="s">
        <v>N/A</v>
        <stp/>
        <stp>STRIKE</stp>
        <stp>.IBB201120P139.5</stp>
        <tr r="W236" s="1"/>
      </tp>
      <tp t="s">
        <v>N/A</v>
        <stp/>
        <stp>LAST</stp>
        <stp>.EWT201120C48</stp>
        <tr r="E149" s="1"/>
      </tp>
      <tp t="s">
        <v>N/A</v>
        <stp/>
        <stp>STRIKE</stp>
        <stp>.IEF201120P119.5</stp>
        <tr r="W250" s="1"/>
      </tp>
      <tp>
        <v>0.35</v>
        <stp/>
        <stp>LAST</stp>
        <stp>.EWW201120C39</stp>
        <tr r="E157" s="1"/>
      </tp>
      <tp t="s">
        <v>N/A</v>
        <stp/>
        <stp>LAST</stp>
        <stp>.VWO201120C47</stp>
        <tr r="E751" s="1"/>
      </tp>
      <tp>
        <v>0.18</v>
        <stp/>
        <stp>LAST</stp>
        <stp>.EWI201120C27</stp>
        <tr r="E133" s="1"/>
      </tp>
      <tp t="s">
        <v>N/A</v>
        <stp/>
        <stp>LAST</stp>
        <stp>.EWH201120C24</stp>
        <tr r="E130" s="1"/>
      </tp>
      <tp>
        <v>0.71</v>
        <stp/>
        <stp>HIGH</stp>
        <stp>.FXI201120P47</stp>
        <tr r="J190" s="1"/>
      </tp>
      <tp>
        <v>0.9</v>
        <stp/>
        <stp>HIGH</stp>
        <stp>.FXI201120P48</stp>
        <tr r="J194" s="1"/>
      </tp>
      <tp t="s">
        <v>N/A</v>
        <stp/>
        <stp>PUT_CALL_RATIO</stp>
        <stp>.XBI201120P125.5</stp>
        <tr r="C779" s="1"/>
      </tp>
      <tp t="s">
        <v>N/A</v>
        <stp/>
        <stp>LAST</stp>
        <stp>.EWL201120C43</stp>
        <tr r="E143" s="1"/>
      </tp>
      <tp>
        <v>0.8</v>
        <stp/>
        <stp>LAST</stp>
        <stp>.RWM201120C29</stp>
        <tr r="E518" s="1"/>
      </tp>
      <tp t="s">
        <v>N/A</v>
        <stp/>
        <stp>VEGA</stp>
        <stp>.TBT201120C17</stp>
        <tr r="P684" s="1"/>
      </tp>
      <tp t="s">
        <v>N/A</v>
        <stp/>
        <stp>HIGH</stp>
        <stp>.PXH201120P20</stp>
        <tr r="J461" s="1"/>
      </tp>
      <tp>
        <v>0</v>
        <stp/>
        <stp>HIGH</stp>
        <stp>.PXH201120P19</stp>
        <tr r="J459" s="1"/>
      </tp>
      <tp>
        <v>0.48</v>
        <stp/>
        <stp>LAST</stp>
        <stp>.EWJ201120C63</stp>
        <tr r="E136" s="1"/>
      </tp>
      <tp>
        <v>0.19</v>
        <stp/>
        <stp>LAST</stp>
        <stp>.EWJ201120C64</stp>
        <tr r="E140" s="1"/>
      </tp>
      <tp t="s">
        <v>N/A</v>
        <stp/>
        <stp>STRIKE</stp>
        <stp>.IBB201120C139.5</stp>
        <tr r="W235" s="1"/>
      </tp>
      <tp t="s">
        <v>N/A</v>
        <stp/>
        <stp>LAST</stp>
        <stp>.EWA201120C22</stp>
        <tr r="E121" s="1"/>
      </tp>
      <tp t="s">
        <v>N/A</v>
        <stp/>
        <stp>LAST</stp>
        <stp>.EWC201120C29</stp>
        <tr r="E124" s="1"/>
      </tp>
      <tp>
        <v>0.6</v>
        <stp/>
        <stp>HIGH</stp>
        <stp>.DXD201120P14</stp>
        <tr r="J93" s="1"/>
      </tp>
      <tp>
        <v>11</v>
        <stp/>
        <stp>VOLUME</stp>
        <stp>.DIA201120P297.5</stp>
        <tr r="F80" s="1"/>
      </tp>
      <tp t="s">
        <v>N/A</v>
        <stp/>
        <stp>GAMMA</stp>
        <stp>.SPYV201120C33</stp>
        <tr r="N635" s="1"/>
      </tp>
      <tp t="s">
        <v>N/A</v>
        <stp/>
        <stp>STRIKE</stp>
        <stp>.IEF201120C119.5</stp>
        <tr r="W249" s="1"/>
      </tp>
      <tp>
        <v>0</v>
        <stp/>
        <stp>LAST</stp>
        <stp>.EWG201120C30</stp>
        <tr r="E127" s="1"/>
      </tp>
      <tp>
        <v>0.54</v>
        <stp/>
        <stp>OPEN</stp>
        <stp>.XME201120C27</stp>
        <tr r="L887" s="1"/>
      </tp>
      <tp t="s">
        <v>N/A</v>
        <stp/>
        <stp>DELTA</stp>
        <stp>.XOP201120P48.5</stp>
        <tr r="M897" s="1"/>
      </tp>
      <tp t="s">
        <v>N/A</v>
        <stp/>
        <stp>DELTA</stp>
        <stp>.XLB201120P68.5</stp>
        <tr r="M789" s="1"/>
      </tp>
      <tp t="s">
        <v>N/A</v>
        <stp/>
        <stp>DELTA</stp>
        <stp>.XLB201120C68.5</stp>
        <tr r="M788" s="1"/>
      </tp>
      <tp t="s">
        <v>N/A</v>
        <stp/>
        <stp>DELTA</stp>
        <stp>.XOP201120C48.5</stp>
        <tr r="M896" s="1"/>
      </tp>
      <tp t="s">
        <v>N/A</v>
        <stp/>
        <stp>GAMMA</stp>
        <stp>.EWW201120C39.5</stp>
        <tr r="N159" s="1"/>
      </tp>
      <tp t="s">
        <v>N/A</v>
        <stp/>
        <stp>GAMMA</stp>
        <stp>.EFA201120P69.5</stp>
        <tr r="N105" s="1"/>
      </tp>
      <tp t="s">
        <v>N/A</v>
        <stp/>
        <stp>GAMMA</stp>
        <stp>.EFA201120C69.5</stp>
        <tr r="N104" s="1"/>
      </tp>
      <tp t="s">
        <v>N/A</v>
        <stp/>
        <stp>GAMMA</stp>
        <stp>.EWW201120P39.5</stp>
        <tr r="N160" s="1"/>
      </tp>
      <tp t="s">
        <v>N/A</v>
        <stp/>
        <stp>GAMMA</stp>
        <stp>.FEZ201120P39.5</stp>
        <tr r="N182" s="1"/>
      </tp>
      <tp t="s">
        <v>N/A</v>
        <stp/>
        <stp>GAMMA</stp>
        <stp>.FEZ201120C39.5</stp>
        <tr r="N181" s="1"/>
      </tp>
      <tp>
        <v>0.95</v>
        <stp/>
        <stp>OPEN</stp>
        <stp>.MCHI201120P80</stp>
        <tr r="L413" s="1"/>
      </tp>
      <tp t="s">
        <v>N/A</v>
        <stp/>
        <stp>THETA</stp>
        <stp>.SSO201120P81.5</stp>
        <tr r="O646" s="1"/>
      </tp>
      <tp t="s">
        <v>N/A</v>
        <stp/>
        <stp>OPEN</stp>
        <stp>.SCHD201120P62</stp>
        <tr r="L524" s="1"/>
      </tp>
      <tp t="s">
        <v>N/A</v>
        <stp/>
        <stp>OPEN</stp>
        <stp>.SCHD201120P61</stp>
        <tr r="L522" s="1"/>
      </tp>
      <tp t="s">
        <v>N/A</v>
        <stp/>
        <stp>THETA</stp>
        <stp>.SSO201120C81.5</stp>
        <tr r="O645" s="1"/>
      </tp>
      <tp t="s">
        <v>N/A</v>
        <stp/>
        <stp>RHO</stp>
        <stp>.MJ201120P13</stp>
        <tr r="Q425" s="1"/>
      </tp>
      <tp t="s">
        <v>N/A</v>
        <stp/>
        <stp>OPEN</stp>
        <stp>.SCHF201120P34</stp>
        <tr r="L530" s="1"/>
      </tp>
      <tp>
        <v>0</v>
        <stp/>
        <stp>HIGH</stp>
        <stp>.ITOT201120P81</stp>
        <tr r="J301" s="1"/>
      </tp>
      <tp t="s">
        <v>N/A</v>
        <stp/>
        <stp>HIGH</stp>
        <stp>.ITOT201120P80</stp>
        <tr r="J299" s="1"/>
      </tp>
      <tp t="s">
        <v>N/A</v>
        <stp/>
        <stp>OPEN</stp>
        <stp>.SCHE201120P29</stp>
        <tr r="L527" s="1"/>
      </tp>
      <tp t="s">
        <v>N/A</v>
        <stp/>
        <stp>OPEN</stp>
        <stp>.SPHD201120P36</stp>
        <tr r="L583" s="1"/>
      </tp>
      <tp>
        <v>1.22</v>
        <stp/>
        <stp>LAST</stp>
        <stp>.GDXJ201120C54</stp>
        <tr r="E211" s="1"/>
      </tp>
      <tp>
        <v>1.78</v>
        <stp/>
        <stp>LAST</stp>
        <stp>.GDXJ201120C53</stp>
        <tr r="E207" s="1"/>
      </tp>
      <tp>
        <v>2.11</v>
        <stp/>
        <stp>LAST</stp>
        <stp>.GDXJ201120C52</stp>
        <tr r="E203" s="1"/>
      </tp>
      <tp t="s">
        <v>N/A</v>
        <stp/>
        <stp>GAMMA</stp>
        <stp>.XLB201120P69.5</stp>
        <tr r="N793" s="1"/>
      </tp>
      <tp t="s">
        <v>N/A</v>
        <stp/>
        <stp>GAMMA</stp>
        <stp>.XOP201120P49.5</stp>
        <tr r="N901" s="1"/>
      </tp>
      <tp t="s">
        <v>N/A</v>
        <stp/>
        <stp>GAMMA</stp>
        <stp>.XOP201120C49.5</stp>
        <tr r="N900" s="1"/>
      </tp>
      <tp t="s">
        <v>N/A</v>
        <stp/>
        <stp>GAMMA</stp>
        <stp>.XLB201120C69.5</stp>
        <tr r="N792" s="1"/>
      </tp>
      <tp t="s">
        <v>N/A</v>
        <stp/>
        <stp>OPEN</stp>
        <stp>.ASHR201120P38</stp>
        <tr r="L47" s="1"/>
      </tp>
      <tp>
        <v>2.2999999999999998</v>
        <stp/>
        <stp>LAST</stp>
        <stp>.ARKK201120P99</stp>
        <tr r="E31" s="1"/>
      </tp>
      <tp>
        <v>2.0499999999999998</v>
        <stp/>
        <stp>LAST</stp>
        <stp>.ARKK201120P98</stp>
        <tr r="E29" s="1"/>
      </tp>
      <tp t="s">
        <v>N/A</v>
        <stp/>
        <stp>LAST</stp>
        <stp>.AAXJ201120C83</stp>
        <tr r="E3" s="1"/>
      </tp>
      <tp>
        <v>1.75</v>
        <stp/>
        <stp>LAST</stp>
        <stp>.ARKK201120P97</stp>
        <tr r="E27" s="1"/>
      </tp>
      <tp t="s">
        <v>N/A</v>
        <stp/>
        <stp>LAST</stp>
        <stp>.AAXJ201120C84</stp>
        <tr r="E5" s="1"/>
      </tp>
      <tp t="s">
        <v>N/A</v>
        <stp/>
        <stp>THETA</stp>
        <stp>.EWZ201120P31.5</stp>
        <tr r="O174" s="1"/>
      </tp>
      <tp t="s">
        <v>N/A</v>
        <stp/>
        <stp>THETA</stp>
        <stp>.EWY201120P71.5</stp>
        <tr r="O163" s="1"/>
      </tp>
      <tp t="s">
        <v>N/A</v>
        <stp/>
        <stp>DELTA</stp>
        <stp>.EWW201120C38.5</stp>
        <tr r="M155" s="1"/>
      </tp>
      <tp t="s">
        <v>N/A</v>
        <stp/>
        <stp>DELTA</stp>
        <stp>.EWU201120C28.5</stp>
        <tr r="M152" s="1"/>
      </tp>
      <tp t="s">
        <v>N/A</v>
        <stp/>
        <stp>DELTA</stp>
        <stp>.EEM201120P48.5</stp>
        <tr r="M100" s="1"/>
      </tp>
      <tp t="s">
        <v>N/A</v>
        <stp/>
        <stp>DELTA</stp>
        <stp>.EEM201120C48.5</stp>
        <tr r="M99" s="1"/>
      </tp>
      <tp t="s">
        <v>N/A</v>
        <stp/>
        <stp>DELTA</stp>
        <stp>.EWW201120P38.5</stp>
        <tr r="M156" s="1"/>
      </tp>
      <tp t="s">
        <v>N/A</v>
        <stp/>
        <stp>DELTA</stp>
        <stp>.EWU201120P28.5</stp>
        <tr r="M153" s="1"/>
      </tp>
      <tp t="s">
        <v>N/A</v>
        <stp/>
        <stp>THETA</stp>
        <stp>.EWZ201120C31.5</stp>
        <tr r="O173" s="1"/>
      </tp>
      <tp t="s">
        <v>N/A</v>
        <stp/>
        <stp>THETA</stp>
        <stp>.EWY201120C71.5</stp>
        <tr r="O162" s="1"/>
      </tp>
      <tp>
        <v>0</v>
        <stp/>
        <stp>OPEN</stp>
        <stp>.SCHP201120P61</stp>
        <tr r="L533" s="1"/>
      </tp>
      <tp t="s">
        <v>N/A</v>
        <stp/>
        <stp>VEGA</stp>
        <stp>.PDBC201120C14</stp>
        <tr r="P452" s="1"/>
      </tp>
      <tp>
        <v>1.8</v>
        <stp/>
        <stp>ASK</stp>
        <stp>.VT201120P87</stp>
        <tr r="I738" s="1"/>
      </tp>
      <tp>
        <v>1.3</v>
        <stp/>
        <stp>ASK</stp>
        <stp>.VT201120P86</stp>
        <tr r="I736" s="1"/>
      </tp>
      <tp t="s">
        <v>N/A</v>
        <stp/>
        <stp>INTRINSIC</stp>
        <stp>.IJR201120P80</stp>
        <tr r="R276" s="1"/>
      </tp>
      <tp t="s">
        <v>N/A</v>
        <stp/>
        <stp>INTRINSIC</stp>
        <stp>.IYR201120C84</stp>
        <tr r="R367" s="1"/>
      </tp>
      <tp t="s">
        <v>N/A</v>
        <stp/>
        <stp>INTRINSIC</stp>
        <stp>.IYR201120C85</stp>
        <tr r="R371" s="1"/>
      </tp>
      <tp t="s">
        <v>N/A</v>
        <stp/>
        <stp>PROB_OTM</stp>
        <stp>.ARKW201120C117</stp>
        <tr r="U37" s="1"/>
      </tp>
      <tp t="s">
        <v>N/A</v>
        <stp/>
        <stp>PROB_OTM</stp>
        <stp>.ARKW201120P117</stp>
        <tr r="U38" s="1"/>
      </tp>
      <tp t="s">
        <v>N/A</v>
        <stp/>
        <stp>PROB_OTM</stp>
        <stp>.ARKW201120C116</stp>
        <tr r="U35" s="1"/>
      </tp>
      <tp t="s">
        <v>N/A</v>
        <stp/>
        <stp>PROB_OTM</stp>
        <stp>.ARKW201120P116</stp>
        <tr r="U36" s="1"/>
      </tp>
      <tp t="s">
        <v>N/A</v>
        <stp/>
        <stp>PROB_OTM</stp>
        <stp>.ARKW201120C119</stp>
        <tr r="U41" s="1"/>
      </tp>
      <tp t="s">
        <v>N/A</v>
        <stp/>
        <stp>PROB_OTM</stp>
        <stp>.ARKW201120P119</stp>
        <tr r="U42" s="1"/>
      </tp>
      <tp t="s">
        <v>N/A</v>
        <stp/>
        <stp>PROB_OTM</stp>
        <stp>.ARKW201120C118</stp>
        <tr r="U39" s="1"/>
      </tp>
      <tp t="s">
        <v>N/A</v>
        <stp/>
        <stp>PROB_OTM</stp>
        <stp>.ARKW201120P118</stp>
        <tr r="U40" s="1"/>
      </tp>
      <tp t="s">
        <v>N/A</v>
        <stp/>
        <stp>EXTRINSIC</stp>
        <stp>.IVW201120C61.25</stp>
        <tr r="S331" s="1"/>
      </tp>
      <tp t="s">
        <v>N/A</v>
        <stp/>
        <stp>EXTRINSIC</stp>
        <stp>.VFH201120P66</stp>
        <tr r="S715" s="1"/>
      </tp>
      <tp t="s">
        <v>N/A</v>
        <stp/>
        <stp>EXTRINSIC</stp>
        <stp>.VFH201120P67</stp>
        <tr r="S717" s="1"/>
      </tp>
      <tp t="s">
        <v>20.84%</v>
        <stp/>
        <stp>IMPL_VOL</stp>
        <stp>IEMG</stp>
        <tr r="D256" s="1"/>
      </tp>
      <tp t="s">
        <v>N/A</v>
        <stp/>
        <stp>DELTA</stp>
        <stp>.VT201120C86</stp>
        <tr r="M735" s="1"/>
      </tp>
      <tp t="s">
        <v>N/A</v>
        <stp/>
        <stp>DELTA</stp>
        <stp>.VT201120C87</stp>
        <tr r="M737" s="1"/>
      </tp>
      <tp t="s">
        <v>N/A</v>
        <stp/>
        <stp>EXTRINSIC</stp>
        <stp>.SMH201120C194.5</stp>
        <tr r="S560" s="1"/>
      </tp>
      <tp t="s">
        <v>30.66%</v>
        <stp/>
        <stp>IMPL_VOL</stp>
        <stp>IEFA</stp>
        <tr r="D251" s="1"/>
      </tp>
      <tp t="s">
        <v>N/A</v>
        <stp/>
        <stp>PROB_OTM</stp>
        <stp>NAIL</stp>
        <tr r="U438" s="1"/>
      </tp>
      <tp t="s">
        <v>N/A</v>
        <stp/>
        <stp>PROB_OF_EXPIRING</stp>
        <stp>EMLC</stp>
        <tr r="T114" s="1"/>
      </tp>
      <tp t="s">
        <v>N/A</v>
        <stp/>
        <stp>PROB_OF_EXPIRING</stp>
        <stp>AMLP</stp>
        <tr r="T18" s="1"/>
      </tp>
      <tp t="s">
        <v>N/A</v>
        <stp/>
        <stp>INTRINSIC</stp>
        <stp>.SMH201120C194.5</stp>
        <tr r="R560" s="1"/>
      </tp>
      <tp t="s">
        <v>N/A</v>
        <stp/>
        <stp>EXTRINSIC</stp>
        <stp>.EFA201120P69</stp>
        <tr r="S103" s="1"/>
      </tp>
      <tp t="s">
        <v>N/A</v>
        <stp/>
        <stp>EXTRINSIC</stp>
        <stp>.EFA201120P70</stp>
        <tr r="S107" s="1"/>
      </tp>
      <tp t="s">
        <v>N/A</v>
        <stp/>
        <stp>INTRINSIC</stp>
        <stp>.IVW201120C61.25</stp>
        <tr r="R331" s="1"/>
      </tp>
      <tp t="s">
        <v>N/A</v>
        <stp/>
        <stp>EXTRINSIC</stp>
        <stp>.IVW201120P61.25</stp>
        <tr r="S332" s="1"/>
      </tp>
      <tp t="s">
        <v>N/A</v>
        <stp/>
        <stp>THETA</stp>
        <stp>.VT201120C87</stp>
        <tr r="O737" s="1"/>
      </tp>
      <tp t="s">
        <v>N/A</v>
        <stp/>
        <stp>THETA</stp>
        <stp>.VT201120C86</stp>
        <tr r="O735" s="1"/>
      </tp>
      <tp t="s">
        <v>N/A</v>
        <stp/>
        <stp>INTRINSIC</stp>
        <stp>.HYG201120C86</stp>
        <tr r="R223" s="1"/>
      </tp>
      <tp t="s">
        <v>N/A</v>
        <stp/>
        <stp>PROB_OF_TOUCHING</stp>
        <stp>SHYG</stp>
        <tr r="V548" s="1"/>
      </tp>
      <tp t="s">
        <v>N/A</v>
        <stp/>
        <stp>EXTRINSIC</stp>
        <stp>.SMH201120P194.5</stp>
        <tr r="S561" s="1"/>
      </tp>
      <tp t="s">
        <v>N/A</v>
        <stp/>
        <stp>PROB_OTM</stp>
        <stp>AAXJ</stp>
        <tr r="U2" s="1"/>
      </tp>
      <tp t="s">
        <v>54.19%</v>
        <stp/>
        <stp>IMPL_VOL</stp>
        <stp>JETS</stp>
        <tr r="D375" s="1"/>
      </tp>
      <tp t="s">
        <v>N/A</v>
        <stp/>
        <stp>INTRINSIC</stp>
        <stp>.SMH201120P194.5</stp>
        <tr r="R561" s="1"/>
      </tp>
      <tp t="s">
        <v>N/A</v>
        <stp/>
        <stp>INTRINSIC</stp>
        <stp>.IVW201120P61.25</stp>
        <tr r="R332" s="1"/>
      </tp>
      <tp t="s">
        <v>N/A</v>
        <stp/>
        <stp>INTRINSIC</stp>
        <stp>.VYM201120C87</stp>
        <tr r="R759" s="1"/>
      </tp>
      <tp t="s">
        <v>N/A</v>
        <stp/>
        <stp>INTRINSIC</stp>
        <stp>.VYM201120C88</stp>
        <tr r="R761" s="1"/>
      </tp>
      <tp t="s">
        <v>N/A</v>
        <stp/>
        <stp>EXTRINSIC</stp>
        <stp>.EFV201120P45</stp>
        <tr r="S110" s="1"/>
      </tp>
      <tp t="s">
        <v>N/A</v>
        <stp/>
        <stp>INTRINSIC</stp>
        <stp>.IYE201120C18</stp>
        <tr r="R364" s="1"/>
      </tp>
      <tp>
        <v>103</v>
        <stp/>
        <stp>VOLUME</stp>
        <stp>.JETS201120C19.5</stp>
        <tr r="F376" s="1"/>
      </tp>
      <tp>
        <v>256</v>
        <stp/>
        <stp>VOLUME</stp>
        <stp>.JETS201120P19.5</stp>
        <tr r="F377" s="1"/>
      </tp>
      <tp t="s">
        <v>N/A</v>
        <stp/>
        <stp>PUT_CALL_RATIO</stp>
        <stp>.XBI201120C122.5</stp>
        <tr r="C766" s="1"/>
      </tp>
      <tp t="s">
        <v>N/A</v>
        <stp/>
        <stp>THETA</stp>
        <stp>.INDA201120P36</stp>
        <tr r="O282" s="1"/>
      </tp>
      <tp t="s">
        <v>N/A</v>
        <stp/>
        <stp>THETA</stp>
        <stp>.ACWI201120C86</stp>
        <tr r="O10" s="1"/>
      </tp>
      <tp t="s">
        <v>N/A</v>
        <stp/>
        <stp>DELTA</stp>
        <stp>.NAIL201120P49</stp>
        <tr r="M450" s="1"/>
      </tp>
      <tp t="s">
        <v>N/A</v>
        <stp/>
        <stp>DELTA</stp>
        <stp>.NAIL201120P48</stp>
        <tr r="M448" s="1"/>
      </tp>
      <tp t="s">
        <v>N/A</v>
        <stp/>
        <stp>THETA</stp>
        <stp>.ACWI201120C85</stp>
        <tr r="O8" s="1"/>
      </tp>
      <tp t="s">
        <v>N/A</v>
        <stp/>
        <stp>DELTA</stp>
        <stp>.NAIL201120P45</stp>
        <tr r="M442" s="1"/>
      </tp>
      <tp t="s">
        <v>N/A</v>
        <stp/>
        <stp>DELTA</stp>
        <stp>.NAIL201120P44</stp>
        <tr r="M440" s="1"/>
      </tp>
      <tp t="s">
        <v>N/A</v>
        <stp/>
        <stp>DELTA</stp>
        <stp>.NAIL201120P47</stp>
        <tr r="M446" s="1"/>
      </tp>
      <tp t="s">
        <v>N/A</v>
        <stp/>
        <stp>DELTA</stp>
        <stp>.NAIL201120P46</stp>
        <tr r="M444" s="1"/>
      </tp>
      <tp t="s">
        <v>N/A</v>
        <stp/>
        <stp>OPEN</stp>
        <stp>.IJR201120C80</stp>
        <tr r="L275" s="1"/>
      </tp>
      <tp>
        <v>1.23</v>
        <stp/>
        <stp>OPEN</stp>
        <stp>.IYR201120P85</stp>
        <tr r="L372" s="1"/>
      </tp>
      <tp t="s">
        <v>N/A</v>
        <stp/>
        <stp>OPEN</stp>
        <stp>.IYR201120P84</stp>
        <tr r="L368" s="1"/>
      </tp>
      <tp t="s">
        <v>N/A</v>
        <stp/>
        <stp>VEGA</stp>
        <stp>.VEA201120C44</stp>
        <tr r="P708" s="1"/>
      </tp>
      <tp t="s">
        <v>N/A</v>
        <stp/>
        <stp>VEGA</stp>
        <stp>.FVD201120P35</stp>
        <tr r="P187" s="1"/>
      </tp>
      <tp>
        <v>0</v>
        <stp/>
        <stp>LAST</stp>
        <stp>.SCZ201120P63</stp>
        <tr r="E536" s="1"/>
      </tp>
      <tp t="s">
        <v>N/A</v>
        <stp/>
        <stp>VEGA</stp>
        <stp>.EEM201120C48</stp>
        <tr r="P97" s="1"/>
      </tp>
      <tp t="s">
        <v>N/A</v>
        <stp/>
        <stp>GAMMA</stp>
        <stp>.IEMG201120P57</stp>
        <tr r="N258" s="1"/>
      </tp>
      <tp t="s">
        <v>N/A</v>
        <stp/>
        <stp>GAMMA</stp>
        <stp>.IEMG201120P58</stp>
        <tr r="N260" s="1"/>
      </tp>
      <tp>
        <v>0.46</v>
        <stp/>
        <stp>HIGH</stp>
        <stp>.XLP201120C67</stp>
        <tr r="J844" s="1"/>
      </tp>
      <tp>
        <v>0.83</v>
        <stp/>
        <stp>HIGH</stp>
        <stp>.XLU201120C66</stp>
        <tr r="J850" s="1"/>
      </tp>
      <tp>
        <v>0.37</v>
        <stp/>
        <stp>HIGH</stp>
        <stp>.XLU201120C67</stp>
        <tr r="J854" s="1"/>
      </tp>
      <tp t="s">
        <v>N/A</v>
        <stp/>
        <stp>PUT_CALL_RATIO</stp>
        <stp>.XLY201120C152.5</stp>
        <tr r="C872" s="1"/>
      </tp>
      <tp t="s">
        <v>N/A</v>
        <stp/>
        <stp>PUT_CALL_RATIO</stp>
        <stp>.XLK201120C122.5</stp>
        <tr r="C837" s="1"/>
      </tp>
      <tp t="s">
        <v>N/A</v>
        <stp/>
        <stp>DELTA</stp>
        <stp>.IGIB201120P61</stp>
        <tr r="M263" s="1"/>
      </tp>
      <tp t="s">
        <v>N/A</v>
        <stp/>
        <stp>VEGA</stp>
        <stp>.VEU201120C55</stp>
        <tr r="P711" s="1"/>
      </tp>
      <tp t="s">
        <v>N/A</v>
        <stp/>
        <stp>VEGA</stp>
        <stp>.DVY201120P91</stp>
        <tr r="P86" s="1"/>
      </tp>
      <tp t="s">
        <v>N/A</v>
        <stp/>
        <stp>VEGA</stp>
        <stp>.DVY201120P92</stp>
        <tr r="P88" s="1"/>
      </tp>
      <tp t="s">
        <v>N/A</v>
        <stp/>
        <stp>VEGA</stp>
        <stp>.DVY201120P93</stp>
        <tr r="P90" s="1"/>
      </tp>
      <tp>
        <v>0</v>
        <stp/>
        <stp>HIGH</stp>
        <stp>.QLD201120C96</stp>
        <tr r="J463" s="1"/>
      </tp>
      <tp>
        <v>4.3</v>
        <stp/>
        <stp>HIGH</stp>
        <stp>.QLD201120C97</stp>
        <tr r="J465" s="1"/>
      </tp>
      <tp>
        <v>3.4</v>
        <stp/>
        <stp>HIGH</stp>
        <stp>.QLD201120C98</stp>
        <tr r="J467" s="1"/>
      </tp>
      <tp>
        <v>0</v>
        <stp/>
        <stp>HIGH</stp>
        <stp>.QLD201120C99</stp>
        <tr r="J469" s="1"/>
      </tp>
      <tp t="s">
        <v>N/A</v>
        <stp/>
        <stp>PUT_CALL_RATIO</stp>
        <stp>.XBI201120P122.5</stp>
        <tr r="C767" s="1"/>
      </tp>
      <tp t="s">
        <v>N/A</v>
        <stp/>
        <stp>THETA</stp>
        <stp>.SPDW201120P32</stp>
        <tr r="O580" s="1"/>
      </tp>
      <tp t="s">
        <v>N/A</v>
        <stp/>
        <stp>DELTA</stp>
        <stp>.VCIT201120P96</stp>
        <tr r="M703" s="1"/>
      </tp>
      <tp>
        <v>0.69</v>
        <stp/>
        <stp>OPEN</stp>
        <stp>.HYG201120P86</stp>
        <tr r="L224" s="1"/>
      </tp>
      <tp t="s">
        <v>N/A</v>
        <stp/>
        <stp>THETA</stp>
        <stp>.INDY201120P38</stp>
        <tr r="O287" s="1"/>
      </tp>
      <tp t="s">
        <v>N/A</v>
        <stp/>
        <stp>DELTA</stp>
        <stp>.VGIT201120P70</stp>
        <tr r="M720" s="1"/>
      </tp>
      <tp>
        <v>0.6</v>
        <stp/>
        <stp>HIGH</stp>
        <stp>.XLE201120C34</stp>
        <tr r="J806" s="1"/>
      </tp>
      <tp>
        <v>0.43</v>
        <stp/>
        <stp>HIGH</stp>
        <stp>.XLB201120C70</stp>
        <tr r="J794" s="1"/>
      </tp>
      <tp>
        <v>1.35</v>
        <stp/>
        <stp>HIGH</stp>
        <stp>.XLC201120C63</stp>
        <tr r="J797" s="1"/>
      </tp>
      <tp>
        <v>0.75</v>
        <stp/>
        <stp>HIGH</stp>
        <stp>.XLC201120C64</stp>
        <tr r="J801" s="1"/>
      </tp>
      <tp t="s">
        <v>N/A</v>
        <stp/>
        <stp>GAMMA</stp>
        <stp>.USMV201120P67</stp>
        <tr r="N700" s="1"/>
      </tp>
      <tp t="s">
        <v>N/A</v>
        <stp/>
        <stp>HIGH</stp>
        <stp>.ILF201120C25</stp>
        <tr r="J278" s="1"/>
      </tp>
      <tp>
        <v>0.32</v>
        <stp/>
        <stp>HIGH</stp>
        <stp>.XLF201120C27</stp>
        <tr r="J811" s="1"/>
      </tp>
      <tp>
        <v>0.96</v>
        <stp/>
        <stp>HIGH</stp>
        <stp>.XLB201120C69</stp>
        <tr r="J790" s="1"/>
      </tp>
      <tp t="s">
        <v>N/A</v>
        <stp/>
        <stp>OPEN</stp>
        <stp>.IYE201120P18</stp>
        <tr r="L365" s="1"/>
      </tp>
      <tp t="s">
        <v>N/A</v>
        <stp/>
        <stp>PUT_CALL_RATIO</stp>
        <stp>.XLY201120P152.5</stp>
        <tr r="C873" s="1"/>
      </tp>
      <tp t="s">
        <v>N/A</v>
        <stp/>
        <stp>PUT_CALL_RATIO</stp>
        <stp>.XLK201120P122.5</stp>
        <tr r="C838" s="1"/>
      </tp>
      <tp t="s">
        <v>N/A</v>
        <stp/>
        <stp>OPEN</stp>
        <stp>.VYM201120P88</stp>
        <tr r="L762" s="1"/>
      </tp>
      <tp t="s">
        <v>N/A</v>
        <stp/>
        <stp>OPEN</stp>
        <stp>.VYM201120P87</stp>
        <tr r="L760" s="1"/>
      </tp>
      <tp t="s">
        <v>N/A</v>
        <stp/>
        <stp>DELTA</stp>
        <stp>.DRIP201120P45</stp>
        <tr r="M83" s="1"/>
      </tp>
      <tp t="s">
        <v>N/A</v>
        <stp/>
        <stp>THETA</stp>
        <stp>.ACWX201120C50</stp>
        <tr r="O13" s="1"/>
      </tp>
      <tp t="s">
        <v>N/A</v>
        <stp/>
        <stp>HIGH</stp>
        <stp>.XLI201120C84</stp>
        <tr r="J814" s="1"/>
      </tp>
      <tp>
        <v>1.05</v>
        <stp/>
        <stp>HIGH</stp>
        <stp>.XLI201120C85</stp>
        <tr r="J818" s="1"/>
      </tp>
      <tp t="s">
        <v>N/A</v>
        <stp/>
        <stp>HIGH</stp>
        <stp>.XLI201120C86</stp>
        <tr r="J822" s="1"/>
      </tp>
      <tp t="s">
        <v>N/A</v>
        <stp/>
        <stp>VEGA</stp>
        <stp>.FEZ201120C40</stp>
        <tr r="P183" s="1"/>
      </tp>
      <tp t="s">
        <v>N/A</v>
        <stp/>
        <stp>HIGH</stp>
        <stp>.ASHR201120P38</stp>
        <tr r="J47" s="1"/>
      </tp>
      <tp t="s">
        <v>N/A</v>
        <stp/>
        <stp>THETA</stp>
        <stp>.XME201120C26.5</stp>
        <tr r="O885" s="1"/>
      </tp>
      <tp t="s">
        <v>N/A</v>
        <stp/>
        <stp>THETA</stp>
        <stp>.XLU201120C66.5</stp>
        <tr r="O852" s="1"/>
      </tp>
      <tp t="s">
        <v>N/A</v>
        <stp/>
        <stp>THETA</stp>
        <stp>.XLP201120C66.5</stp>
        <tr r="O842" s="1"/>
      </tp>
      <tp t="s">
        <v>N/A</v>
        <stp/>
        <stp>THETA</stp>
        <stp>.XLU201120P66.5</stp>
        <tr r="O853" s="1"/>
      </tp>
      <tp t="s">
        <v>N/A</v>
        <stp/>
        <stp>THETA</stp>
        <stp>.XLP201120P66.5</stp>
        <tr r="O843" s="1"/>
      </tp>
      <tp t="s">
        <v>N/A</v>
        <stp/>
        <stp>THETA</stp>
        <stp>.XME201120P26.5</stp>
        <tr r="O886" s="1"/>
      </tp>
      <tp>
        <v>0</v>
        <stp/>
        <stp>HIGH</stp>
        <stp>.SCHP201120P61</stp>
        <tr r="J533" s="1"/>
      </tp>
      <tp t="s">
        <v>N/A</v>
        <stp/>
        <stp>THETA</stp>
        <stp>.SHY201120C86.5</stp>
        <tr r="O546" s="1"/>
      </tp>
      <tp t="s">
        <v>N/A</v>
        <stp/>
        <stp>THETA</stp>
        <stp>.SHY201120P86.5</stp>
        <tr r="O547" s="1"/>
      </tp>
      <tp t="s">
        <v>N/A</v>
        <stp/>
        <stp>LAST</stp>
        <stp>.SPLV201120P55</stp>
        <tr r="E589" s="1"/>
      </tp>
      <tp t="s">
        <v>N/A</v>
        <stp/>
        <stp>LAST</stp>
        <stp>.AMLP201120P23</stp>
        <tr r="E20" s="1"/>
      </tp>
      <tp t="s">
        <v>N/A</v>
        <stp/>
        <stp>LAST</stp>
        <stp>.AMLP201120P24</stp>
        <tr r="E24" s="1"/>
      </tp>
      <tp t="s">
        <v>N/A</v>
        <stp/>
        <stp>VEGA</stp>
        <stp>.SRVR201120P35</stp>
        <tr r="P639" s="1"/>
      </tp>
      <tp t="s">
        <v>N/A</v>
        <stp/>
        <stp>VEGA</stp>
        <stp>.SRVR201120P36</stp>
        <tr r="P641" s="1"/>
      </tp>
      <tp t="s">
        <v>N/A</v>
        <stp/>
        <stp>THETA</stp>
        <stp>.TAN201120C76.5</stp>
        <tr r="O676" s="1"/>
      </tp>
      <tp t="s">
        <v>N/A</v>
        <stp/>
        <stp>THETA</stp>
        <stp>.TAN201120P76.5</stp>
        <tr r="O677" s="1"/>
      </tp>
      <tp t="s">
        <v>N/A</v>
        <stp/>
        <stp>THETA</stp>
        <stp>.VWO201120P46.5</stp>
        <tr r="O750" s="1"/>
      </tp>
      <tp t="s">
        <v>N/A</v>
        <stp/>
        <stp>THETA</stp>
        <stp>.VWO201120C46.5</stp>
        <tr r="O749" s="1"/>
      </tp>
      <tp>
        <v>1.33</v>
        <stp/>
        <stp>HIGH</stp>
        <stp>.MCHI201120P80</stp>
        <tr r="J413" s="1"/>
      </tp>
      <tp t="s">
        <v>N/A</v>
        <stp/>
        <stp>THETA</stp>
        <stp>.KRE201120P46.5</stp>
        <tr r="O392" s="1"/>
      </tp>
      <tp t="s">
        <v>N/A</v>
        <stp/>
        <stp>VEGA</stp>
        <stp>.DFEN201120C13</stp>
        <tr r="P55" s="1"/>
      </tp>
      <tp t="s">
        <v>N/A</v>
        <stp/>
        <stp>THETA</stp>
        <stp>.KRE201120C46.5</stp>
        <tr r="O391" s="1"/>
      </tp>
      <tp t="s">
        <v>N/A</v>
        <stp/>
        <stp>VEGA</stp>
        <stp>.DFEN201120C14</stp>
        <tr r="P57" s="1"/>
      </tp>
      <tp t="s">
        <v>N/A</v>
        <stp/>
        <stp>HIGH</stp>
        <stp>.SCHD201120P61</stp>
        <tr r="J522" s="1"/>
      </tp>
      <tp t="s">
        <v>N/A</v>
        <stp/>
        <stp>HIGH</stp>
        <stp>.SCHD201120P62</stp>
        <tr r="J524" s="1"/>
      </tp>
      <tp t="s">
        <v>N/A</v>
        <stp/>
        <stp>HIGH</stp>
        <stp>.SCHF201120P34</stp>
        <tr r="J530" s="1"/>
      </tp>
      <tp>
        <v>0</v>
        <stp/>
        <stp>OPEN</stp>
        <stp>.ITOT201120P81</stp>
        <tr r="L301" s="1"/>
      </tp>
      <tp t="s">
        <v>N/A</v>
        <stp/>
        <stp>OPEN</stp>
        <stp>.ITOT201120P80</stp>
        <tr r="L299" s="1"/>
      </tp>
      <tp>
        <v>0.43</v>
        <stp/>
        <stp>LOW</stp>
        <stp>.MJ201120P13</stp>
        <tr r="K425" s="1"/>
      </tp>
      <tp t="s">
        <v>N/A</v>
        <stp/>
        <stp>LAST</stp>
        <stp>.ICLN201120P22</stp>
        <tr r="E247" s="1"/>
      </tp>
      <tp t="s">
        <v>N/A</v>
        <stp/>
        <stp>LAST</stp>
        <stp>.BKLN201120P22</stp>
        <tr r="E50" s="1"/>
      </tp>
      <tp t="s">
        <v>N/A</v>
        <stp/>
        <stp>HIGH</stp>
        <stp>.SCHE201120P29</stp>
        <tr r="J527" s="1"/>
      </tp>
      <tp t="s">
        <v>N/A</v>
        <stp/>
        <stp>HIGH</stp>
        <stp>.SPHD201120P36</stp>
        <tr r="J583" s="1"/>
      </tp>
      <tp t="s">
        <v>N/A</v>
        <stp/>
        <stp>VEGA</stp>
        <stp>.KWEB201120C74</stp>
        <tr r="P402" s="1"/>
      </tp>
      <tp t="s">
        <v>N/A</v>
        <stp/>
        <stp>VEGA</stp>
        <stp>.KWEB201120C73</stp>
        <tr r="P400" s="1"/>
      </tp>
      <tp t="s">
        <v>N/A</v>
        <stp/>
        <stp>VEGA</stp>
        <stp>.KWEB201120C72</stp>
        <tr r="P398" s="1"/>
      </tp>
      <tp t="s">
        <v>N/A</v>
        <stp/>
        <stp>LAST</stp>
        <stp>.EMLC201120P32</stp>
        <tr r="E116" s="1"/>
      </tp>
      <tp t="s">
        <v>N/A</v>
        <stp/>
        <stp>LAST</stp>
        <stp>.SPLG201120P42</stp>
        <tr r="E586" s="1"/>
      </tp>
      <tp t="s">
        <v>N/A</v>
        <stp/>
        <stp>THETA</stp>
        <stp>.GDX201120C36.5</stp>
        <tr r="O196" s="1"/>
      </tp>
      <tp t="s">
        <v>N/A</v>
        <stp/>
        <stp>THETA</stp>
        <stp>.GDX201120P36.5</stp>
        <tr r="O197" s="1"/>
      </tp>
      <tp t="s">
        <v>N/A</v>
        <stp/>
        <stp>LAST</stp>
        <stp>.HYLB201120P49</stp>
        <tr r="E227" s="1"/>
      </tp>
      <tp t="s">
        <v>N/A</v>
        <stp/>
        <stp>EXTRINSIC</stp>
        <stp>.TAN201120P73</stp>
        <tr r="S663" s="1"/>
      </tp>
      <tp t="s">
        <v>N/A</v>
        <stp/>
        <stp>EXTRINSIC</stp>
        <stp>.TAN201120P74</stp>
        <tr r="S667" s="1"/>
      </tp>
      <tp t="s">
        <v>N/A</v>
        <stp/>
        <stp>EXTRINSIC</stp>
        <stp>.TAN201120P75</stp>
        <tr r="S671" s="1"/>
      </tp>
      <tp t="s">
        <v>N/A</v>
        <stp/>
        <stp>EXTRINSIC</stp>
        <stp>.TAN201120P76</stp>
        <tr r="S675" s="1"/>
      </tp>
      <tp t="s">
        <v>N/A</v>
        <stp/>
        <stp>EXTRINSIC</stp>
        <stp>.TAN201120P77</stp>
        <tr r="S679" s="1"/>
      </tp>
      <tp t="s">
        <v>N/A</v>
        <stp/>
        <stp>PROB_OTM</stp>
        <stp>DFEN</stp>
        <tr r="U54" s="1"/>
      </tp>
      <tp t="s">
        <v>N/A</v>
        <stp/>
        <stp>OPEN_INT</stp>
        <stp>.VCLT201120P107</stp>
        <tr r="G706" s="1"/>
      </tp>
      <tp t="s">
        <v>N/A</v>
        <stp/>
        <stp>OPEN_INT</stp>
        <stp>.VCLT201120C107</stp>
        <tr r="G705" s="1"/>
      </tp>
      <tp t="s">
        <v>N/A</v>
        <stp/>
        <stp>EXTRINSIC</stp>
        <stp>.SMH201120C193.5</stp>
        <tr r="S556" s="1"/>
      </tp>
      <tp t="s">
        <v>N/A</v>
        <stp/>
        <stp>INTRINSIC</stp>
        <stp>.SMH201120C193.5</stp>
        <tr r="R556" s="1"/>
      </tp>
      <tp t="s">
        <v>N/A</v>
        <stp/>
        <stp>EXTRINSIC</stp>
        <stp>.KRE201120C46</stp>
        <tr r="S389" s="1"/>
      </tp>
      <tp t="s">
        <v>N/A</v>
        <stp/>
        <stp>EXTRINSIC</stp>
        <stp>.KRE201120C47</stp>
        <tr r="S393" s="1"/>
      </tp>
      <tp t="s">
        <v>N/A</v>
        <stp/>
        <stp>EXTRINSIC</stp>
        <stp>.SMH201120P193.5</stp>
        <tr r="S557" s="1"/>
      </tp>
      <tp t="s">
        <v>N/A</v>
        <stp/>
        <stp>INTRINSIC</stp>
        <stp>.SMH201120P193.5</stp>
        <tr r="R557" s="1"/>
      </tp>
      <tp t="s">
        <v>N/A</v>
        <stp/>
        <stp>EXTRINSIC</stp>
        <stp>.XRT201120C54</stp>
        <tr r="S903" s="1"/>
      </tp>
      <tp t="s">
        <v>N/A</v>
        <stp/>
        <stp>EXTRINSIC</stp>
        <stp>.XRT201120C55</stp>
        <tr r="S907" s="1"/>
      </tp>
      <tp t="s">
        <v>N/A</v>
        <stp/>
        <stp>INTRINSIC</stp>
        <stp>.XME201120P27</stp>
        <tr r="R888" s="1"/>
      </tp>
      <tp>
        <v>61</v>
        <stp/>
        <stp>VOLUME</stp>
        <stp>.GDXJ201120C53.5</stp>
        <tr r="F209" s="1"/>
      </tp>
      <tp>
        <v>31</v>
        <stp/>
        <stp>VOLUME</stp>
        <stp>.GDXJ201120P53.5</stp>
        <tr r="F210" s="1"/>
      </tp>
      <tp t="s">
        <v>N/A</v>
        <stp/>
        <stp>PUT_CALL_RATIO</stp>
        <stp>.XBI201120C123.5</stp>
        <tr r="C770" s="1"/>
      </tp>
      <tp t="s">
        <v>N/A</v>
        <stp/>
        <stp>STRIKE</stp>
        <stp>.DIA201120P292.5</stp>
        <tr r="W68" s="1"/>
      </tp>
      <tp t="s">
        <v>N/A</v>
        <stp/>
        <stp>VEGA</stp>
        <stp>.EWC201120P29</stp>
        <tr r="P125" s="1"/>
      </tp>
      <tp t="s">
        <v>N/A</v>
        <stp/>
        <stp>VEGA</stp>
        <stp>.EWA201120P22</stp>
        <tr r="P122" s="1"/>
      </tp>
      <tp t="s">
        <v>N/A</v>
        <stp/>
        <stp>VEGA</stp>
        <stp>.EWG201120P30</stp>
        <tr r="P128" s="1"/>
      </tp>
      <tp t="s">
        <v>N/A</v>
        <stp/>
        <stp>THETA</stp>
        <stp>.KWEB201120P74</stp>
        <tr r="O403" s="1"/>
      </tp>
      <tp t="s">
        <v>N/A</v>
        <stp/>
        <stp>THETA</stp>
        <stp>.KWEB201120P72</stp>
        <tr r="O399" s="1"/>
      </tp>
      <tp t="s">
        <v>N/A</v>
        <stp/>
        <stp>THETA</stp>
        <stp>.KWEB201120P73</stp>
        <tr r="O401" s="1"/>
      </tp>
      <tp t="s">
        <v>N/A</v>
        <stp/>
        <stp>GAMMA</stp>
        <stp>.ICLN201120P22</stp>
        <tr r="N247" s="1"/>
      </tp>
      <tp t="s">
        <v>N/A</v>
        <stp/>
        <stp>GAMMA</stp>
        <stp>.BKLN201120P22</stp>
        <tr r="N50" s="1"/>
      </tp>
      <tp t="s">
        <v>N/A</v>
        <stp/>
        <stp>GAMMA</stp>
        <stp>.SPLG201120P42</stp>
        <tr r="N586" s="1"/>
      </tp>
      <tp t="s">
        <v>N/A</v>
        <stp/>
        <stp>DELTA</stp>
        <stp>.SCHD201120P61</stp>
        <tr r="M522" s="1"/>
      </tp>
      <tp t="s">
        <v>N/A</v>
        <stp/>
        <stp>DELTA</stp>
        <stp>.SCHD201120P62</stp>
        <tr r="M524" s="1"/>
      </tp>
      <tp t="s">
        <v>N/A</v>
        <stp/>
        <stp>VEGA</stp>
        <stp>.EWL201120P43</stp>
        <tr r="P144" s="1"/>
      </tp>
      <tp t="s">
        <v>N/A</v>
        <stp/>
        <stp>VEGA</stp>
        <stp>.EWI201120P27</stp>
        <tr r="P134" s="1"/>
      </tp>
      <tp t="s">
        <v>N/A</v>
        <stp/>
        <stp>VEGA</stp>
        <stp>.VWO201120P47</stp>
        <tr r="P752" s="1"/>
      </tp>
      <tp t="s">
        <v>N/A</v>
        <stp/>
        <stp>DELTA</stp>
        <stp>.MCHI201120P80</stp>
        <tr r="M413" s="1"/>
      </tp>
      <tp t="s">
        <v>N/A</v>
        <stp/>
        <stp>GAMMA</stp>
        <stp>.EMLC201120P32</stp>
        <tr r="N116" s="1"/>
      </tp>
      <tp t="s">
        <v>N/A</v>
        <stp/>
        <stp>VEGA</stp>
        <stp>.EWH201120P24</stp>
        <tr r="P131" s="1"/>
      </tp>
      <tp t="s">
        <v>N/A</v>
        <stp/>
        <stp>THETA</stp>
        <stp>.DFEN201120P13</stp>
        <tr r="O56" s="1"/>
      </tp>
      <tp t="s">
        <v>N/A</v>
        <stp/>
        <stp>THETA</stp>
        <stp>.DFEN201120P14</stp>
        <tr r="O58" s="1"/>
      </tp>
      <tp t="s">
        <v>N/A</v>
        <stp/>
        <stp>DELTA</stp>
        <stp>.SPHD201120P36</stp>
        <tr r="M583" s="1"/>
      </tp>
      <tp t="s">
        <v>N/A</v>
        <stp/>
        <stp>DELTA</stp>
        <stp>.SCHE201120P29</stp>
        <tr r="M527" s="1"/>
      </tp>
      <tp t="s">
        <v>N/A</v>
        <stp/>
        <stp>GAMMA</stp>
        <stp>.HYLB201120P49</stp>
        <tr r="N227" s="1"/>
      </tp>
      <tp t="s">
        <v>N/A</v>
        <stp/>
        <stp>VEGA</stp>
        <stp>.EWJ201120P64</stp>
        <tr r="P141" s="1"/>
      </tp>
      <tp t="s">
        <v>N/A</v>
        <stp/>
        <stp>VEGA</stp>
        <stp>.EWJ201120P63</stp>
        <tr r="P137" s="1"/>
      </tp>
      <tp t="s">
        <v>N/A</v>
        <stp/>
        <stp>PUT_CALL_RATIO</stp>
        <stp>.XLY201120C153.5</stp>
        <tr r="C876" s="1"/>
      </tp>
      <tp t="s">
        <v>N/A</v>
        <stp/>
        <stp>VEGA</stp>
        <stp>.RWM201120P29</stp>
        <tr r="P519" s="1"/>
      </tp>
      <tp t="s">
        <v>N/A</v>
        <stp/>
        <stp>LAST</stp>
        <stp>.TBT201120P17</stp>
        <tr r="E685" s="1"/>
      </tp>
      <tp t="s">
        <v>N/A</v>
        <stp/>
        <stp>PUT_CALL_RATIO</stp>
        <stp>.SMH201120C198.5</stp>
        <tr r="C576" s="1"/>
      </tp>
      <tp t="s">
        <v>N/A</v>
        <stp/>
        <stp>DELTA</stp>
        <stp>.SCHF201120P34</stp>
        <tr r="M530" s="1"/>
      </tp>
      <tp t="s">
        <v>N/A</v>
        <stp/>
        <stp>VEGA</stp>
        <stp>.EWT201120P48</stp>
        <tr r="P150" s="1"/>
      </tp>
      <tp>
        <v>0</v>
        <stp/>
        <stp>OPEN</stp>
        <stp>.PXH201120P19</stp>
        <tr r="L459" s="1"/>
      </tp>
      <tp t="s">
        <v>N/A</v>
        <stp/>
        <stp>THETA</stp>
        <stp>.SRVR201120C35</stp>
        <tr r="O638" s="1"/>
      </tp>
      <tp t="s">
        <v>N/A</v>
        <stp/>
        <stp>THETA</stp>
        <stp>.SRVR201120C36</stp>
        <tr r="O640" s="1"/>
      </tp>
      <tp t="s">
        <v>N/A</v>
        <stp/>
        <stp>OPEN</stp>
        <stp>.PXH201120P20</stp>
        <tr r="L461" s="1"/>
      </tp>
      <tp t="s">
        <v>N/A</v>
        <stp/>
        <stp>PUT_CALL_RATIO</stp>
        <stp>.XBI201120P123.5</stp>
        <tr r="C771" s="1"/>
      </tp>
      <tp t="s">
        <v>N/A</v>
        <stp/>
        <stp>STRIKE</stp>
        <stp>.DIA201120C292.5</stp>
        <tr r="W67" s="1"/>
      </tp>
      <tp t="s">
        <v>N/A</v>
        <stp/>
        <stp>VEGA</stp>
        <stp>.SDS201120C14</stp>
        <tr r="P540" s="1"/>
      </tp>
      <tp t="s">
        <v>N/A</v>
        <stp/>
        <stp>VEGA</stp>
        <stp>.EWP201120P26</stp>
        <tr r="P147" s="1"/>
      </tp>
      <tp t="s">
        <v>N/A</v>
        <stp/>
        <stp>VEGA</stp>
        <stp>.EWW201120P39</stp>
        <tr r="P158" s="1"/>
      </tp>
      <tp>
        <v>0.85</v>
        <stp/>
        <stp>OPEN</stp>
        <stp>.FXI201120P48</stp>
        <tr r="L194" s="1"/>
      </tp>
      <tp>
        <v>0.47</v>
        <stp/>
        <stp>OPEN</stp>
        <stp>.FXI201120P47</stp>
        <tr r="L190" s="1"/>
      </tp>
      <tp t="s">
        <v>N/A</v>
        <stp/>
        <stp>GAMMA</stp>
        <stp>.SPLV201120P55</stp>
        <tr r="N589" s="1"/>
      </tp>
      <tp>
        <v>0.54</v>
        <stp/>
        <stp>HIGH</stp>
        <stp>.XME201120C27</stp>
        <tr r="J887" s="1"/>
      </tp>
      <tp t="s">
        <v>N/A</v>
        <stp/>
        <stp>VEGA</stp>
        <stp>.EWZ201120P32</stp>
        <tr r="P176" s="1"/>
      </tp>
      <tp t="s">
        <v>N/A</v>
        <stp/>
        <stp>GAMMA</stp>
        <stp>.AMLP201120P24</stp>
        <tr r="N24" s="1"/>
      </tp>
      <tp t="s">
        <v>N/A</v>
        <stp/>
        <stp>GAMMA</stp>
        <stp>.AMLP201120P23</stp>
        <tr r="N20" s="1"/>
      </tp>
      <tp t="s">
        <v>N/A</v>
        <stp/>
        <stp>VEGA</stp>
        <stp>.GDX201120C37</stp>
        <tr r="P198" s="1"/>
      </tp>
      <tp t="s">
        <v>N/A</v>
        <stp/>
        <stp>DELTA</stp>
        <stp>.ASHR201120P38</stp>
        <tr r="M47" s="1"/>
      </tp>
      <tp t="s">
        <v>N/A</v>
        <stp/>
        <stp>PUT_CALL_RATIO</stp>
        <stp>.SMH201120P198.5</stp>
        <tr r="C577" s="1"/>
      </tp>
      <tp t="s">
        <v>N/A</v>
        <stp/>
        <stp>DELTA</stp>
        <stp>.SCHP201120P61</stp>
        <tr r="M533" s="1"/>
      </tp>
      <tp>
        <v>0.55000000000000004</v>
        <stp/>
        <stp>LAST</stp>
        <stp>.TBF201120P16</stp>
        <tr r="E682" s="1"/>
      </tp>
      <tp t="s">
        <v>N/A</v>
        <stp/>
        <stp>PUT_CALL_RATIO</stp>
        <stp>.XLY201120P153.5</stp>
        <tr r="C877" s="1"/>
      </tp>
      <tp t="s">
        <v>N/A</v>
        <stp/>
        <stp>LAST</stp>
        <stp>.KBE201120P38</stp>
        <tr r="E387" s="1"/>
      </tp>
      <tp>
        <v>0.6</v>
        <stp/>
        <stp>OPEN</stp>
        <stp>.DXD201120P14</stp>
        <tr r="L93" s="1"/>
      </tp>
      <tp t="s">
        <v>N/A</v>
        <stp/>
        <stp>VEGA</stp>
        <stp>.EWY201120P72</stp>
        <tr r="P165" s="1"/>
      </tp>
      <tp t="s">
        <v>N/A</v>
        <stp/>
        <stp>VEGA</stp>
        <stp>.EWY201120P73</stp>
        <tr r="P169" s="1"/>
      </tp>
      <tp t="s">
        <v>N/A</v>
        <stp/>
        <stp>VEGA</stp>
        <stp>.ACWX201120P50</stp>
        <tr r="P14" s="1"/>
      </tp>
      <tp t="s">
        <v>N/A</v>
        <stp/>
        <stp>THETA</stp>
        <stp>.XOP201120C47.5</stp>
        <tr r="O892" s="1"/>
      </tp>
      <tp t="s">
        <v>N/A</v>
        <stp/>
        <stp>THETA</stp>
        <stp>.XOP201120P47.5</stp>
        <tr r="O893" s="1"/>
      </tp>
      <tp t="s">
        <v>N/A</v>
        <stp/>
        <stp>HIGH</stp>
        <stp>.VGIT201120P70</stp>
        <tr r="J720" s="1"/>
      </tp>
      <tp>
        <v>2.2999999999999998</v>
        <stp/>
        <stp>HIGH</stp>
        <stp>.DRIP201120P45</stp>
        <tr r="J83" s="1"/>
      </tp>
      <tp t="s">
        <v>N/A</v>
        <stp/>
        <stp>VEGA</stp>
        <stp>.INDY201120C38</stp>
        <tr r="P286" s="1"/>
      </tp>
      <tp t="s">
        <v>N/A</v>
        <stp/>
        <stp>VEGA</stp>
        <stp>.SPDW201120C32</stp>
        <tr r="P579" s="1"/>
      </tp>
      <tp>
        <v>0</v>
        <stp/>
        <stp>LAST</stp>
        <stp>.USMV201120P67</stp>
        <tr r="E700" s="1"/>
      </tp>
      <tp t="s">
        <v>N/A</v>
        <stp/>
        <stp>HIGH</stp>
        <stp>.VCIT201120P96</stp>
        <tr r="J703" s="1"/>
      </tp>
      <tp t="s">
        <v>N/A</v>
        <stp/>
        <stp>DESCRIPTION</stp>
        <stp>.SH201120C19</stp>
        <tr r="B543" s="1"/>
      </tp>
      <tp t="s">
        <v>N/A</v>
        <stp/>
        <stp>THETA</stp>
        <stp>.KRE201120P47.5</stp>
        <tr r="O396" s="1"/>
      </tp>
      <tp t="s">
        <v>N/A</v>
        <stp/>
        <stp>THETA</stp>
        <stp>.KRE201120C47.5</stp>
        <tr r="O395" s="1"/>
      </tp>
      <tp t="s">
        <v>N/A</v>
        <stp/>
        <stp>HIGH</stp>
        <stp>.IGIB201120P61</stp>
        <tr r="J263" s="1"/>
      </tp>
      <tp>
        <v>3.3</v>
        <stp/>
        <stp>HIGH</stp>
        <stp>.NAIL201120P44</stp>
        <tr r="J440" s="1"/>
      </tp>
      <tp>
        <v>4.0999999999999996</v>
        <stp/>
        <stp>HIGH</stp>
        <stp>.NAIL201120P45</stp>
        <tr r="J442" s="1"/>
      </tp>
      <tp>
        <v>3.21</v>
        <stp/>
        <stp>HIGH</stp>
        <stp>.NAIL201120P46</stp>
        <tr r="J444" s="1"/>
      </tp>
      <tp>
        <v>0</v>
        <stp/>
        <stp>HIGH</stp>
        <stp>.NAIL201120P47</stp>
        <tr r="J446" s="1"/>
      </tp>
      <tp>
        <v>0</v>
        <stp/>
        <stp>HIGH</stp>
        <stp>.NAIL201120P48</stp>
        <tr r="J448" s="1"/>
      </tp>
      <tp>
        <v>0</v>
        <stp/>
        <stp>HIGH</stp>
        <stp>.NAIL201120P49</stp>
        <tr r="J450" s="1"/>
      </tp>
      <tp>
        <v>0.46</v>
        <stp/>
        <stp>LAST</stp>
        <stp>.IEMG201120P57</stp>
        <tr r="E258" s="1"/>
      </tp>
      <tp>
        <v>0</v>
        <stp/>
        <stp>LAST</stp>
        <stp>.IEMG201120P58</stp>
        <tr r="E260" s="1"/>
      </tp>
      <tp t="s">
        <v>N/A</v>
        <stp/>
        <stp>THETA</stp>
        <stp>.EEM201120C47.5</stp>
        <tr r="O95" s="1"/>
      </tp>
      <tp t="s">
        <v>N/A</v>
        <stp/>
        <stp>VEGA</stp>
        <stp>.ACWI201120P86</stp>
        <tr r="P11" s="1"/>
      </tp>
      <tp t="s">
        <v>N/A</v>
        <stp/>
        <stp>VEGA</stp>
        <stp>.ACWI201120P85</stp>
        <tr r="P9" s="1"/>
      </tp>
      <tp t="s">
        <v>N/A</v>
        <stp/>
        <stp>THETA</stp>
        <stp>.EEM201120P47.5</stp>
        <tr r="O96" s="1"/>
      </tp>
      <tp t="s">
        <v>N/A</v>
        <stp/>
        <stp>THETA</stp>
        <stp>.GDX201120C37.5</stp>
        <tr r="O200" s="1"/>
      </tp>
      <tp t="s">
        <v>N/A</v>
        <stp/>
        <stp>THETA</stp>
        <stp>.GDX201120P37.5</stp>
        <tr r="O201" s="1"/>
      </tp>
      <tp t="s">
        <v>N/A</v>
        <stp/>
        <stp>THETA</stp>
        <stp>.FXI201120P47.5</stp>
        <tr r="O192" s="1"/>
      </tp>
      <tp t="s">
        <v>N/A</v>
        <stp/>
        <stp>VEGA</stp>
        <stp>.INDA201120C36</stp>
        <tr r="P281" s="1"/>
      </tp>
      <tp t="s">
        <v>N/A</v>
        <stp/>
        <stp>THETA</stp>
        <stp>.FXI201120C47.5</stp>
        <tr r="O191" s="1"/>
      </tp>
      <tp t="s">
        <v>38.70%</v>
        <stp/>
        <stp>IMPL_VOL</stp>
        <stp>ICLN</stp>
        <tr r="D245" s="1"/>
      </tp>
      <tp t="s">
        <v>12.80%</v>
        <stp/>
        <stp>IMPL_VOL</stp>
        <stp>VCLT</stp>
        <tr r="D704" s="1"/>
      </tp>
      <tp t="s">
        <v>N/A</v>
        <stp/>
        <stp>EXTRINSIC</stp>
        <stp>.XLK201120C119.5</stp>
        <tr r="S825" s="1"/>
      </tp>
      <tp t="s">
        <v>N/A</v>
        <stp/>
        <stp>EXTRINSIC</stp>
        <stp>.TLT201120C155.5</stp>
        <tr r="S692" s="1"/>
      </tp>
      <tp t="s">
        <v>N/A</v>
        <stp/>
        <stp>EXTRINSIC</stp>
        <stp>.SMH201120C192.5</stp>
        <tr r="S552" s="1"/>
      </tp>
      <tp t="s">
        <v>29.06%</v>
        <stp/>
        <stp>IMPL_VOL</stp>
        <stp>MCHI</stp>
        <tr r="D411" s="1"/>
      </tp>
      <tp t="s">
        <v>20.46%</v>
        <stp/>
        <stp>IMPL_VOL</stp>
        <stp>SCHE</stp>
        <tr r="D525" s="1"/>
      </tp>
      <tp t="s">
        <v>23.80%</v>
        <stp/>
        <stp>IMPL_VOL</stp>
        <stp>SCHD</stp>
        <tr r="D520" s="1"/>
      </tp>
      <tp t="s">
        <v>41.44%</v>
        <stp/>
        <stp>IMPL_VOL</stp>
        <stp>SCHF</stp>
        <tr r="D528" s="1"/>
      </tp>
      <tp t="s">
        <v>3.15%</v>
        <stp/>
        <stp>IMPL_VOL</stp>
        <stp>SCHP</stp>
        <tr r="D531" s="1"/>
      </tp>
      <tp t="s">
        <v>N/A</v>
        <stp/>
        <stp>IMPL_VOL</stp>
        <stp>.ARKW201120P118</stp>
        <tr r="D40" s="1"/>
      </tp>
      <tp t="s">
        <v>N/A</v>
        <stp/>
        <stp>IMPL_VOL</stp>
        <stp>.ARKW201120C118</stp>
        <tr r="D39" s="1"/>
      </tp>
      <tp t="s">
        <v>N/A</v>
        <stp/>
        <stp>IMPL_VOL</stp>
        <stp>.ARKW201120P119</stp>
        <tr r="D42" s="1"/>
      </tp>
      <tp t="s">
        <v>N/A</v>
        <stp/>
        <stp>IMPL_VOL</stp>
        <stp>.ARKW201120C119</stp>
        <tr r="D41" s="1"/>
      </tp>
      <tp t="s">
        <v>N/A</v>
        <stp/>
        <stp>IMPL_VOL</stp>
        <stp>.ARKW201120P116</stp>
        <tr r="D36" s="1"/>
      </tp>
      <tp t="s">
        <v>N/A</v>
        <stp/>
        <stp>IMPL_VOL</stp>
        <stp>.ARKW201120C116</stp>
        <tr r="D35" s="1"/>
      </tp>
      <tp t="s">
        <v>N/A</v>
        <stp/>
        <stp>IMPL_VOL</stp>
        <stp>.ARKW201120P117</stp>
        <tr r="D38" s="1"/>
      </tp>
      <tp t="s">
        <v>N/A</v>
        <stp/>
        <stp>IMPL_VOL</stp>
        <stp>.ARKW201120C117</stp>
        <tr r="D37" s="1"/>
      </tp>
      <tp t="s">
        <v>6.67%</v>
        <stp/>
        <stp>IMPL_VOL</stp>
        <stp>VCIT</stp>
        <tr r="D701" s="1"/>
      </tp>
      <tp>
        <v>0</v>
        <stp/>
        <stp>INTRINSIC</stp>
        <stp>.SPY201120P352.5</stp>
        <tr r="R608" s="1"/>
      </tp>
      <tp t="s">
        <v>N/A</v>
        <stp/>
        <stp>INTRINSIC</stp>
        <stp>.XLU201120P66</stp>
        <tr r="R851" s="1"/>
      </tp>
      <tp t="s">
        <v>N/A</v>
        <stp/>
        <stp>INTRINSIC</stp>
        <stp>.XLU201120P67</stp>
        <tr r="R855" s="1"/>
      </tp>
      <tp t="s">
        <v>N/A</v>
        <stp/>
        <stp>PROB_OTM</stp>
        <stp>VGIT</stp>
        <tr r="U718" s="1"/>
      </tp>
      <tp t="s">
        <v>N/A</v>
        <stp/>
        <stp>PROB_OTM</stp>
        <stp>IGIB</stp>
        <tr r="U261" s="1"/>
      </tp>
      <tp t="s">
        <v>N/A</v>
        <stp/>
        <stp>INTRINSIC</stp>
        <stp>.TLT201120C155.5</stp>
        <tr r="R692" s="1"/>
      </tp>
      <tp t="s">
        <v>N/A</v>
        <stp/>
        <stp>INTRINSIC</stp>
        <stp>.XLK201120C119.5</stp>
        <tr r="R825" s="1"/>
      </tp>
      <tp t="s">
        <v>N/A</v>
        <stp/>
        <stp>PROB_OF_EXPIRING</stp>
        <stp>BKLN</stp>
        <tr r="T48" s="1"/>
      </tp>
      <tp t="s">
        <v>N/A</v>
        <stp/>
        <stp>INTRINSIC</stp>
        <stp>.SMH201120C192.5</stp>
        <tr r="R552" s="1"/>
      </tp>
      <tp t="s">
        <v>N/A</v>
        <stp/>
        <stp>EXTRINSIC</stp>
        <stp>.SSO201120C81</stp>
        <tr r="S643" s="1"/>
      </tp>
      <tp t="s">
        <v>N/A</v>
        <stp/>
        <stp>EXTRINSIC</stp>
        <stp>.SSO201120C82</stp>
        <tr r="S647" s="1"/>
      </tp>
      <tp t="s">
        <v>N/A</v>
        <stp/>
        <stp>EXTRINSIC</stp>
        <stp>.SSO201120C83</stp>
        <tr r="S651" s="1"/>
      </tp>
      <tp t="s">
        <v>N/A</v>
        <stp/>
        <stp>EXTRINSIC</stp>
        <stp>.SSO201120C84</stp>
        <tr r="S655" s="1"/>
      </tp>
      <tp t="s">
        <v>N/A</v>
        <stp/>
        <stp>PROB_OF_TOUCHING</stp>
        <stp>INDA</stp>
        <tr r="V280" s="1"/>
      </tp>
      <tp t="s">
        <v>N/A</v>
        <stp/>
        <stp>PROB_OF_TOUCHING</stp>
        <stp>INDY</stp>
        <tr r="V285" s="1"/>
      </tp>
      <tp t="s">
        <v>N/A</v>
        <stp/>
        <stp>PROB_OF_TOUCHING</stp>
        <stp>.ARKW201120P119</stp>
        <tr r="V42" s="1"/>
      </tp>
      <tp t="s">
        <v>N/A</v>
        <stp/>
        <stp>PROB_OF_TOUCHING</stp>
        <stp>.ARKW201120C119</stp>
        <tr r="V41" s="1"/>
      </tp>
      <tp t="s">
        <v>N/A</v>
        <stp/>
        <stp>PROB_OF_TOUCHING</stp>
        <stp>.ARKW201120P118</stp>
        <tr r="V40" s="1"/>
      </tp>
      <tp t="s">
        <v>N/A</v>
        <stp/>
        <stp>PROB_OF_TOUCHING</stp>
        <stp>.ARKW201120C118</stp>
        <tr r="V39" s="1"/>
      </tp>
      <tp t="s">
        <v>N/A</v>
        <stp/>
        <stp>PROB_OF_TOUCHING</stp>
        <stp>.ARKW201120P117</stp>
        <tr r="V38" s="1"/>
      </tp>
      <tp t="s">
        <v>N/A</v>
        <stp/>
        <stp>PROB_OF_TOUCHING</stp>
        <stp>.ARKW201120C117</stp>
        <tr r="V37" s="1"/>
      </tp>
      <tp t="s">
        <v>N/A</v>
        <stp/>
        <stp>PROB_OF_TOUCHING</stp>
        <stp>.ARKW201120P116</stp>
        <tr r="V36" s="1"/>
      </tp>
      <tp t="s">
        <v>N/A</v>
        <stp/>
        <stp>PROB_OF_TOUCHING</stp>
        <stp>.ARKW201120C116</stp>
        <tr r="V35" s="1"/>
      </tp>
      <tp>
        <v>3.875</v>
        <stp/>
        <stp>EXTRINSIC</stp>
        <stp>.SPY201120P352.5</stp>
        <tr r="S608" s="1"/>
      </tp>
      <tp t="s">
        <v>N/A</v>
        <stp/>
        <stp>INTRINSIC</stp>
        <stp>.XLP201120P67</stp>
        <tr r="R845" s="1"/>
      </tp>
      <tp>
        <v>0</v>
        <stp/>
        <stp>OPEN_INT</stp>
        <stp>KWEB</stp>
        <tr r="G397" s="1"/>
      </tp>
      <tp t="s">
        <v>N/A</v>
        <stp/>
        <stp>PROB_OTM</stp>
        <stp>DGRO</stp>
        <tr r="U59" s="1"/>
      </tp>
      <tp>
        <v>1</v>
        <stp/>
        <stp>INTRINSIC</stp>
        <stp>.SPY201120C352.5</stp>
        <tr r="R607" s="1"/>
      </tp>
      <tp t="s">
        <v>N/A</v>
        <stp/>
        <stp>INTRINSIC</stp>
        <stp>.QLD201120P96</stp>
        <tr r="R464" s="1"/>
      </tp>
      <tp t="s">
        <v>N/A</v>
        <stp/>
        <stp>INTRINSIC</stp>
        <stp>.QLD201120P97</stp>
        <tr r="R466" s="1"/>
      </tp>
      <tp t="s">
        <v>N/A</v>
        <stp/>
        <stp>INTRINSIC</stp>
        <stp>.QLD201120P98</stp>
        <tr r="R468" s="1"/>
      </tp>
      <tp t="s">
        <v>N/A</v>
        <stp/>
        <stp>INTRINSIC</stp>
        <stp>.QLD201120P99</stp>
        <tr r="R470" s="1"/>
      </tp>
      <tp t="s">
        <v>N/A</v>
        <stp/>
        <stp>EXTRINSIC</stp>
        <stp>.SMH201120P192.5</stp>
        <tr r="S553" s="1"/>
      </tp>
      <tp t="s">
        <v>N/A</v>
        <stp/>
        <stp>EXTRINSIC</stp>
        <stp>.RSX201120C22</stp>
        <tr r="S513" s="1"/>
      </tp>
      <tp t="s">
        <v>N/A</v>
        <stp/>
        <stp>EXTRINSIC</stp>
        <stp>.XLK201120P119.5</stp>
        <tr r="S826" s="1"/>
      </tp>
      <tp t="s">
        <v>N/A</v>
        <stp/>
        <stp>EXTRINSIC</stp>
        <stp>.TLT201120P155.5</stp>
        <tr r="S693" s="1"/>
      </tp>
      <tp>
        <v>4.2</v>
        <stp/>
        <stp>EXTRINSIC</stp>
        <stp>.SPY201120C352.5</stp>
        <tr r="S607" s="1"/>
      </tp>
      <tp t="s">
        <v>21.56%</v>
        <stp/>
        <stp>IMPL_VOL</stp>
        <stp>ACWI</stp>
        <tr r="D7" s="1"/>
      </tp>
      <tp t="s">
        <v>19.91%</v>
        <stp/>
        <stp>IMPL_VOL</stp>
        <stp>ACWX</stp>
        <tr r="D12" s="1"/>
      </tp>
      <tp t="s">
        <v>N/A</v>
        <stp/>
        <stp>INTRINSIC</stp>
        <stp>.XLI201120P84</stp>
        <tr r="R815" s="1"/>
      </tp>
      <tp t="s">
        <v>N/A</v>
        <stp/>
        <stp>INTRINSIC</stp>
        <stp>.XLI201120P85</stp>
        <tr r="R819" s="1"/>
      </tp>
      <tp t="s">
        <v>N/A</v>
        <stp/>
        <stp>INTRINSIC</stp>
        <stp>.XLI201120P86</stp>
        <tr r="R823" s="1"/>
      </tp>
      <tp t="s">
        <v>N/A</v>
        <stp/>
        <stp>INTRINSIC</stp>
        <stp>.SMH201120P192.5</stp>
        <tr r="R553" s="1"/>
      </tp>
      <tp t="s">
        <v>N/A</v>
        <stp/>
        <stp>INTRINSIC</stp>
        <stp>.TLT201120P155.5</stp>
        <tr r="R693" s="1"/>
      </tp>
      <tp t="s">
        <v>N/A</v>
        <stp/>
        <stp>INTRINSIC</stp>
        <stp>.XLK201120P119.5</stp>
        <tr r="R826" s="1"/>
      </tp>
      <tp t="s">
        <v>N/A</v>
        <stp/>
        <stp>INTRINSIC</stp>
        <stp>.XLE201120P34</stp>
        <tr r="R807" s="1"/>
      </tp>
      <tp t="s">
        <v>N/A</v>
        <stp/>
        <stp>INTRINSIC</stp>
        <stp>.XLB201120P70</stp>
        <tr r="R795" s="1"/>
      </tp>
      <tp t="s">
        <v>N/A</v>
        <stp/>
        <stp>INTRINSIC</stp>
        <stp>.XLC201120P63</stp>
        <tr r="R798" s="1"/>
      </tp>
      <tp t="s">
        <v>N/A</v>
        <stp/>
        <stp>INTRINSIC</stp>
        <stp>.XLC201120P64</stp>
        <tr r="R802" s="1"/>
      </tp>
      <tp t="s">
        <v>N/A</v>
        <stp/>
        <stp>INTRINSIC</stp>
        <stp>.ILF201120P25</stp>
        <tr r="R279" s="1"/>
      </tp>
      <tp t="s">
        <v>N/A</v>
        <stp/>
        <stp>INTRINSIC</stp>
        <stp>.XLF201120P27</stp>
        <tr r="R812" s="1"/>
      </tp>
      <tp t="s">
        <v>N/A</v>
        <stp/>
        <stp>INTRINSIC</stp>
        <stp>.XLB201120P69</stp>
        <tr r="R791" s="1"/>
      </tp>
      <tp>
        <v>11</v>
        <stp/>
        <stp>VOLUME</stp>
        <stp>.GDXJ201120C52.5</stp>
        <tr r="F205" s="1"/>
      </tp>
      <tp>
        <v>98</v>
        <stp/>
        <stp>VOLUME</stp>
        <stp>.GDXJ201120P52.5</stp>
        <tr r="F206" s="1"/>
      </tp>
      <tp t="s">
        <v>N/A</v>
        <stp/>
        <stp>STRIKE</stp>
        <stp>.ASHR201120C37.5</stp>
        <tr r="W44" s="1"/>
      </tp>
      <tp t="s">
        <v>N/A</v>
        <stp/>
        <stp>STRIKE</stp>
        <stp>.ASHR201120P37.5</stp>
        <tr r="W45" s="1"/>
      </tp>
      <tp t="s">
        <v>N/A</v>
        <stp/>
        <stp>THETA</stp>
        <stp>.IEFA201120P66</stp>
        <tr r="O255" s="1"/>
      </tp>
      <tp t="s">
        <v>N/A</v>
        <stp/>
        <stp>THETA</stp>
        <stp>.IEFA201120P65</stp>
        <tr r="O253" s="1"/>
      </tp>
      <tp t="s">
        <v>N/A</v>
        <stp/>
        <stp>DELTA</stp>
        <stp>.GDXJ201120C52</stp>
        <tr r="M203" s="1"/>
      </tp>
      <tp t="s">
        <v>N/A</v>
        <stp/>
        <stp>DELTA</stp>
        <stp>.GDXJ201120C53</stp>
        <tr r="M207" s="1"/>
      </tp>
      <tp t="s">
        <v>N/A</v>
        <stp/>
        <stp>DELTA</stp>
        <stp>.GDXJ201120C54</stp>
        <tr r="M211" s="1"/>
      </tp>
      <tp>
        <v>1.05</v>
        <stp/>
        <stp>HIGH</stp>
        <stp>.VNQ201120C84</stp>
        <tr r="J725" s="1"/>
      </tp>
      <tp t="s">
        <v>N/A</v>
        <stp/>
        <stp>HIGH</stp>
        <stp>.VNQ201120C85</stp>
        <tr r="J727" s="1"/>
      </tp>
      <tp t="s">
        <v>N/A</v>
        <stp/>
        <stp>VEGA</stp>
        <stp>.ITB201120P55</stp>
        <tr r="P292" s="1"/>
      </tp>
      <tp t="s">
        <v>N/A</v>
        <stp/>
        <stp>VEGA</stp>
        <stp>.ITB201120P56</stp>
        <tr r="P296" s="1"/>
      </tp>
      <tp>
        <v>343</v>
        <stp/>
        <stp>VOLUME</stp>
        <stp>.DIA201120C292.5</stp>
        <tr r="F67" s="1"/>
      </tp>
      <tp t="s">
        <v>N/A</v>
        <stp/>
        <stp>DELTA</stp>
        <stp>.ARKK201120P97</stp>
        <tr r="M27" s="1"/>
      </tp>
      <tp t="s">
        <v>N/A</v>
        <stp/>
        <stp>DELTA</stp>
        <stp>.AAXJ201120C84</stp>
        <tr r="M5" s="1"/>
      </tp>
      <tp t="s">
        <v>N/A</v>
        <stp/>
        <stp>DELTA</stp>
        <stp>.AAXJ201120C83</stp>
        <tr r="M3" s="1"/>
      </tp>
      <tp t="s">
        <v>N/A</v>
        <stp/>
        <stp>DELTA</stp>
        <stp>.ARKK201120P98</stp>
        <tr r="M29" s="1"/>
      </tp>
      <tp t="s">
        <v>N/A</v>
        <stp/>
        <stp>DELTA</stp>
        <stp>.ARKK201120P99</stp>
        <tr r="M31" s="1"/>
      </tp>
      <tp t="s">
        <v>N/A</v>
        <stp/>
        <stp>LAST</stp>
        <stp>.XRT201120C54</stp>
        <tr r="E903" s="1"/>
      </tp>
      <tp t="s">
        <v>N/A</v>
        <stp/>
        <stp>LAST</stp>
        <stp>.XRT201120C55</stp>
        <tr r="E907" s="1"/>
      </tp>
      <tp t="s">
        <v>N/A</v>
        <stp/>
        <stp>THETA</stp>
        <stp>.EUFN201120P16</stp>
        <tr r="O119" s="1"/>
      </tp>
      <tp t="s">
        <v>N/A</v>
        <stp/>
        <stp>PUT_CALL_RATIO</stp>
        <stp>.XLV201120C110.5</stp>
        <tr r="C859" s="1"/>
      </tp>
      <tp t="s">
        <v>N/A</v>
        <stp/>
        <stp>PUT_CALL_RATIO</stp>
        <stp>.XLK201120C120.5</stp>
        <tr r="C829" s="1"/>
      </tp>
      <tp t="s">
        <v>N/A</v>
        <stp/>
        <stp>VEGA</stp>
        <stp>.VGK201120C57</stp>
        <tr r="P722" s="1"/>
      </tp>
      <tp>
        <v>2.2599999999999998</v>
        <stp/>
        <stp>LAST</stp>
        <stp>.TAN201120P73</stp>
        <tr r="E663" s="1"/>
      </tp>
      <tp>
        <v>1.82</v>
        <stp/>
        <stp>LAST</stp>
        <stp>.TAN201120P74</stp>
        <tr r="E667" s="1"/>
      </tp>
      <tp>
        <v>3.4</v>
        <stp/>
        <stp>LAST</stp>
        <stp>.TAN201120P75</stp>
        <tr r="E671" s="1"/>
      </tp>
      <tp>
        <v>3.2</v>
        <stp/>
        <stp>LAST</stp>
        <stp>.TAN201120P76</stp>
        <tr r="E675" s="1"/>
      </tp>
      <tp>
        <v>3.5</v>
        <stp/>
        <stp>LAST</stp>
        <stp>.TAN201120P77</stp>
        <tr r="E679" s="1"/>
      </tp>
      <tp t="s">
        <v>N/A</v>
        <stp/>
        <stp>THETA</stp>
        <stp>.VXUS201120C57</stp>
        <tr r="O756" s="1"/>
      </tp>
      <tp t="s">
        <v>N/A</v>
        <stp/>
        <stp>THETA</stp>
        <stp>.VXUS201120C56</stp>
        <tr r="O754" s="1"/>
      </tp>
      <tp t="s">
        <v>N/A</v>
        <stp/>
        <stp>THETA</stp>
        <stp>.IXUS201120C63</stp>
        <tr r="O361" s="1"/>
      </tp>
      <tp t="s">
        <v>N/A</v>
        <stp/>
        <stp>GAMMA</stp>
        <stp>.ITOT201120P81</stp>
        <tr r="N301" s="1"/>
      </tp>
      <tp t="s">
        <v>N/A</v>
        <stp/>
        <stp>GAMMA</stp>
        <stp>.ITOT201120P80</stp>
        <tr r="N299" s="1"/>
      </tp>
      <tp t="s">
        <v>N/A</v>
        <stp/>
        <stp>VEGA</stp>
        <stp>.PGX201120C15</stp>
        <tr r="P455" s="1"/>
      </tp>
      <tp>
        <v>1.0900000000000001</v>
        <stp/>
        <stp>LAST</stp>
        <stp>.KRE201120C46</stp>
        <tr r="E389" s="1"/>
      </tp>
      <tp>
        <v>0.56000000000000005</v>
        <stp/>
        <stp>LAST</stp>
        <stp>.KRE201120C47</stp>
        <tr r="E393" s="1"/>
      </tp>
      <tp>
        <v>240</v>
        <stp/>
        <stp>VOLUME</stp>
        <stp>.DIA201120P292.5</stp>
        <tr r="F68" s="1"/>
      </tp>
      <tp t="s">
        <v>N/A</v>
        <stp/>
        <stp>PUT_CALL_RATIO</stp>
        <stp>.XLV201120P110.5</stp>
        <tr r="C860" s="1"/>
      </tp>
      <tp t="s">
        <v>N/A</v>
        <stp/>
        <stp>PUT_CALL_RATIO</stp>
        <stp>.XLK201120P120.5</stp>
        <tr r="C830" s="1"/>
      </tp>
      <tp>
        <v>1.56</v>
        <stp/>
        <stp>OPEN</stp>
        <stp>.XHB201120C55</stp>
        <tr r="L781" s="1"/>
      </tp>
      <tp>
        <v>0.95</v>
        <stp/>
        <stp>OPEN</stp>
        <stp>.XHB201120C56</stp>
        <tr r="L785" s="1"/>
      </tp>
      <tp t="s">
        <v>N/A</v>
        <stp/>
        <stp>THETA</stp>
        <stp>.XLI201120C84.5</stp>
        <tr r="O816" s="1"/>
      </tp>
      <tp t="s">
        <v>N/A</v>
        <stp/>
        <stp>THETA</stp>
        <stp>.XLE201120C34.5</stp>
        <tr r="O808" s="1"/>
      </tp>
      <tp t="s">
        <v>N/A</v>
        <stp/>
        <stp>THETA</stp>
        <stp>.XRT201120P54.5</stp>
        <tr r="O906" s="1"/>
      </tp>
      <tp t="s">
        <v>N/A</v>
        <stp/>
        <stp>THETA</stp>
        <stp>.XLI201120P84.5</stp>
        <tr r="O817" s="1"/>
      </tp>
      <tp t="s">
        <v>N/A</v>
        <stp/>
        <stp>THETA</stp>
        <stp>.XLE201120P34.5</stp>
        <tr r="O809" s="1"/>
      </tp>
      <tp t="s">
        <v>N/A</v>
        <stp/>
        <stp>THETA</stp>
        <stp>.XRT201120C54.5</stp>
        <tr r="O905" s="1"/>
      </tp>
      <tp t="s">
        <v>N/A</v>
        <stp/>
        <stp>HIGH</stp>
        <stp>.SPYV201120C33</stp>
        <tr r="J635" s="1"/>
      </tp>
      <tp t="s">
        <v>N/A</v>
        <stp/>
        <stp>THETA</stp>
        <stp>.SSO201120P84.5</stp>
        <tr r="O658" s="1"/>
      </tp>
      <tp>
        <v>0</v>
        <stp/>
        <stp>OPEN</stp>
        <stp>.IEMG201120P57</stp>
        <tr r="L258" s="1"/>
      </tp>
      <tp t="s">
        <v>N/A</v>
        <stp/>
        <stp>THETA</stp>
        <stp>.SSO201120C84.5</stp>
        <tr r="O657" s="1"/>
      </tp>
      <tp>
        <v>0</v>
        <stp/>
        <stp>OPEN</stp>
        <stp>.IEMG201120P58</stp>
        <tr r="L260" s="1"/>
      </tp>
      <tp t="s">
        <v>N/A</v>
        <stp/>
        <stp>ASK</stp>
        <stp>.SH201120P19</stp>
        <tr r="I544" s="1"/>
      </tp>
      <tp t="s">
        <v>N/A</v>
        <stp/>
        <stp>VEGA</stp>
        <stp>.JETS201120P20</stp>
        <tr r="P379" s="1"/>
      </tp>
      <tp t="s">
        <v>N/A</v>
        <stp/>
        <stp>THETA</stp>
        <stp>.TAN201120C74.5</stp>
        <tr r="O668" s="1"/>
      </tp>
      <tp t="s">
        <v>N/A</v>
        <stp/>
        <stp>THETA</stp>
        <stp>.TAN201120P74.5</stp>
        <tr r="O669" s="1"/>
      </tp>
      <tp t="s">
        <v>N/A</v>
        <stp/>
        <stp>THETA</stp>
        <stp>.IYR201120P84.5</stp>
        <tr r="O370" s="1"/>
      </tp>
      <tp t="s">
        <v>N/A</v>
        <stp/>
        <stp>THETA</stp>
        <stp>.ITB201120P54.5</stp>
        <tr r="O290" s="1"/>
      </tp>
      <tp t="s">
        <v>N/A</v>
        <stp/>
        <stp>THETA</stp>
        <stp>.IYR201120C84.5</stp>
        <tr r="O369" s="1"/>
      </tp>
      <tp t="s">
        <v>N/A</v>
        <stp/>
        <stp>THETA</stp>
        <stp>.ITB201120C54.5</stp>
        <tr r="O289" s="1"/>
      </tp>
      <tp>
        <v>0</v>
        <stp/>
        <stp>HIGH</stp>
        <stp>.SHYG201120C45</stp>
        <tr r="J549" s="1"/>
      </tp>
      <tp t="s">
        <v>N/A</v>
        <stp/>
        <stp>HIGH</stp>
        <stp>.SPYG201120C53</stp>
        <tr r="J632" s="1"/>
      </tp>
      <tp>
        <v>1.1499999999999999</v>
        <stp/>
        <stp>HIGH</stp>
        <stp>.SPYG201120C52</stp>
        <tr r="J630" s="1"/>
      </tp>
      <tp>
        <v>0</v>
        <stp/>
        <stp>OPEN</stp>
        <stp>.USMV201120P67</stp>
        <tr r="L700" s="1"/>
      </tp>
      <tp>
        <v>0</v>
        <stp/>
        <stp>OPEN_INT</stp>
        <stp>MTUM</stp>
        <tr r="G426" s="1"/>
      </tp>
      <tp t="s">
        <v>N/A</v>
        <stp/>
        <stp>PROB_OF_TOUCHING</stp>
        <stp>EMLC</stp>
        <tr r="V114" s="1"/>
      </tp>
      <tp t="s">
        <v>N/A</v>
        <stp/>
        <stp>PROB_OTM</stp>
        <stp>PDBC</stp>
        <tr r="U451" s="1"/>
      </tp>
      <tp t="s">
        <v>N/A</v>
        <stp/>
        <stp>PROB_OF_TOUCHING</stp>
        <stp>AMLP</stp>
        <tr r="V18" s="1"/>
      </tp>
      <tp t="s">
        <v>N/A</v>
        <stp/>
        <stp>EXTRINSIC</stp>
        <stp>.TLT201120C156.5</stp>
        <tr r="S696" s="1"/>
      </tp>
      <tp t="s">
        <v>N/A</v>
        <stp/>
        <stp>EXTRINSIC</stp>
        <stp>XRT</stp>
        <tr r="S902" s="1"/>
      </tp>
      <tp t="s">
        <v>N/A</v>
        <stp/>
        <stp>INTRINSIC</stp>
        <stp>XRT</stp>
        <tr r="R902" s="1"/>
      </tp>
      <tp t="s">
        <v>N/A</v>
        <stp/>
        <stp>THETA</stp>
        <stp>.SH201120C19</stp>
        <tr r="O543" s="1"/>
      </tp>
      <tp t="s">
        <v>N/A</v>
        <stp/>
        <stp>INTRINSIC</stp>
        <stp>.TLT201120C156.5</stp>
        <tr r="R696" s="1"/>
      </tp>
      <tp t="s">
        <v>N/A</v>
        <stp/>
        <stp>INTRINSIC</stp>
        <stp>.XOP201120P47</stp>
        <tr r="R891" s="1"/>
      </tp>
      <tp t="s">
        <v>N/A</v>
        <stp/>
        <stp>INTRINSIC</stp>
        <stp>.XOP201120P48</stp>
        <tr r="R895" s="1"/>
      </tp>
      <tp t="s">
        <v>N/A</v>
        <stp/>
        <stp>INTRINSIC</stp>
        <stp>.XOP201120P49</stp>
        <tr r="R899" s="1"/>
      </tp>
      <tp t="s">
        <v>N/A</v>
        <stp/>
        <stp>IMPL_VOL</stp>
        <stp>.VCLT201120P107</stp>
        <tr r="D706" s="1"/>
      </tp>
      <tp t="s">
        <v>N/A</v>
        <stp/>
        <stp>IMPL_VOL</stp>
        <stp>.VCLT201120C107</stp>
        <tr r="D705" s="1"/>
      </tp>
      <tp t="s">
        <v>N/A</v>
        <stp/>
        <stp>EXTRINSIC</stp>
        <stp>.SCZ201120P63</stp>
        <tr r="S536" s="1"/>
      </tp>
      <tp t="s">
        <v>N/A</v>
        <stp/>
        <stp>INTRINSIC</stp>
        <stp>XBI</stp>
        <tr r="R763" s="1"/>
      </tp>
      <tp t="s">
        <v>N/A</v>
        <stp/>
        <stp>EXTRINSIC</stp>
        <stp>XBI</stp>
        <tr r="S763" s="1"/>
      </tp>
      <tp t="s">
        <v>N/A</v>
        <stp/>
        <stp>DELTA</stp>
        <stp>.SH201120C19</stp>
        <tr r="M543" s="1"/>
      </tp>
      <tp t="s">
        <v>N/A</v>
        <stp/>
        <stp>EXTRINSIC</stp>
        <stp>.TLT201120P156.5</stp>
        <tr r="S697" s="1"/>
      </tp>
      <tp t="s">
        <v>N/A</v>
        <stp/>
        <stp>EXTRINSIC</stp>
        <stp>XLU</stp>
        <tr r="S849" s="1"/>
      </tp>
      <tp t="s">
        <v>N/A</v>
        <stp/>
        <stp>INTRINSIC</stp>
        <stp>XLY</stp>
        <tr r="R867" s="1"/>
      </tp>
      <tp t="s">
        <v>N/A</v>
        <stp/>
        <stp>EXTRINSIC</stp>
        <stp>XLV</stp>
        <tr r="S856" s="1"/>
      </tp>
      <tp t="s">
        <v>N/A</v>
        <stp/>
        <stp>EXTRINSIC</stp>
        <stp>XLP</stp>
        <tr r="S841" s="1"/>
      </tp>
      <tp t="s">
        <v>N/A</v>
        <stp/>
        <stp>INTRINSIC</stp>
        <stp>XLP</stp>
        <tr r="R841" s="1"/>
      </tp>
      <tp t="s">
        <v>N/A</v>
        <stp/>
        <stp>EXTRINSIC</stp>
        <stp>XLY</stp>
        <tr r="S867" s="1"/>
      </tp>
      <tp t="s">
        <v>N/A</v>
        <stp/>
        <stp>INTRINSIC</stp>
        <stp>XLU</stp>
        <tr r="R849" s="1"/>
      </tp>
      <tp t="s">
        <v>N/A</v>
        <stp/>
        <stp>INTRINSIC</stp>
        <stp>XLV</stp>
        <tr r="R856" s="1"/>
      </tp>
      <tp t="s">
        <v>N/A</v>
        <stp/>
        <stp>EXTRINSIC</stp>
        <stp>XLE</stp>
        <tr r="S803" s="1"/>
      </tp>
      <tp t="s">
        <v>N/A</v>
        <stp/>
        <stp>INTRINSIC</stp>
        <stp>XLI</stp>
        <tr r="R813" s="1"/>
      </tp>
      <tp t="s">
        <v>N/A</v>
        <stp/>
        <stp>EXTRINSIC</stp>
        <stp>XLF</stp>
        <tr r="S810" s="1"/>
      </tp>
      <tp t="s">
        <v>N/A</v>
        <stp/>
        <stp>INTRINSIC</stp>
        <stp>XLK</stp>
        <tr r="R824" s="1"/>
      </tp>
      <tp t="s">
        <v>N/A</v>
        <stp/>
        <stp>EXTRINSIC</stp>
        <stp>XLB</stp>
        <tr r="S787" s="1"/>
      </tp>
      <tp t="s">
        <v>N/A</v>
        <stp/>
        <stp>EXTRINSIC</stp>
        <stp>XLC</stp>
        <tr r="S796" s="1"/>
      </tp>
      <tp t="s">
        <v>N/A</v>
        <stp/>
        <stp>INTRINSIC</stp>
        <stp>XLB</stp>
        <tr r="R787" s="1"/>
      </tp>
      <tp t="s">
        <v>N/A</v>
        <stp/>
        <stp>INTRINSIC</stp>
        <stp>XLC</stp>
        <tr r="R796" s="1"/>
      </tp>
      <tp t="s">
        <v>N/A</v>
        <stp/>
        <stp>EXTRINSIC</stp>
        <stp>XLI</stp>
        <tr r="S813" s="1"/>
      </tp>
      <tp t="s">
        <v>N/A</v>
        <stp/>
        <stp>INTRINSIC</stp>
        <stp>XLE</stp>
        <tr r="R803" s="1"/>
      </tp>
      <tp t="s">
        <v>N/A</v>
        <stp/>
        <stp>INTRINSIC</stp>
        <stp>XLF</stp>
        <tr r="R810" s="1"/>
      </tp>
      <tp t="s">
        <v>N/A</v>
        <stp/>
        <stp>EXTRINSIC</stp>
        <stp>XLK</stp>
        <tr r="S824" s="1"/>
      </tp>
      <tp t="s">
        <v>N/A</v>
        <stp/>
        <stp>EXTRINSIC</stp>
        <stp>XME</stp>
        <tr r="S884" s="1"/>
      </tp>
      <tp t="s">
        <v>N/A</v>
        <stp/>
        <stp>INTRINSIC</stp>
        <stp>XME</stp>
        <tr r="R884" s="1"/>
      </tp>
      <tp t="s">
        <v>N/A</v>
        <stp/>
        <stp>PROB_OTM</stp>
        <stp>GDXJ</stp>
        <tr r="U202" s="1"/>
      </tp>
      <tp t="s">
        <v>N/A</v>
        <stp/>
        <stp>EXTRINSIC</stp>
        <stp>XOP</stp>
        <tr r="S889" s="1"/>
      </tp>
      <tp t="s">
        <v>N/A</v>
        <stp/>
        <stp>INTRINSIC</stp>
        <stp>XOP</stp>
        <tr r="R889" s="1"/>
      </tp>
      <tp>
        <v>0</v>
        <stp/>
        <stp>OPEN_INT</stp>
        <stp>ITOT</stp>
        <tr r="G297" s="1"/>
      </tp>
      <tp t="s">
        <v>N/A</v>
        <stp/>
        <stp>INTRINSIC</stp>
        <stp>.TLT201120P156.5</stp>
        <tr r="R697" s="1"/>
      </tp>
      <tp t="s">
        <v>N/A</v>
        <stp/>
        <stp>EXTRINSIC</stp>
        <stp>XHB</stp>
        <tr r="S780" s="1"/>
      </tp>
      <tp t="s">
        <v>N/A</v>
        <stp/>
        <stp>INTRINSIC</stp>
        <stp>XHB</stp>
        <tr r="R780" s="1"/>
      </tp>
      <tp t="s">
        <v>N/A</v>
        <stp/>
        <stp>PROB_OF_EXPIRING</stp>
        <stp>SHYG</stp>
        <tr r="T548" s="1"/>
      </tp>
      <tp t="s">
        <v>N/A</v>
        <stp/>
        <stp>PROB_OF_TOUCHING</stp>
        <stp>.VCLT201120P107</stp>
        <tr r="V706" s="1"/>
      </tp>
      <tp t="s">
        <v>N/A</v>
        <stp/>
        <stp>PROB_OF_TOUCHING</stp>
        <stp>.VCLT201120C107</stp>
        <tr r="V705" s="1"/>
      </tp>
      <tp t="s">
        <v>N/A</v>
        <stp/>
        <stp>VOLUME</stp>
        <stp>.ASHR201120P37.5</stp>
        <tr r="F45" s="1"/>
      </tp>
      <tp t="s">
        <v>N/A</v>
        <stp/>
        <stp>VOLUME</stp>
        <stp>.ASHR201120C37.5</stp>
        <tr r="F44" s="1"/>
      </tp>
      <tp t="s">
        <v>N/A</v>
        <stp/>
        <stp>STRIKE</stp>
        <stp>.GDXJ201120P52.5</stp>
        <tr r="W206" s="1"/>
      </tp>
      <tp t="s">
        <v>N/A</v>
        <stp/>
        <stp>STRIKE</stp>
        <stp>.GDXJ201120C52.5</stp>
        <tr r="W205" s="1"/>
      </tp>
      <tp t="s">
        <v>N/A</v>
        <stp/>
        <stp>LAST</stp>
        <stp>.RSX201120C22</stp>
        <tr r="E513" s="1"/>
      </tp>
      <tp t="s">
        <v>N/A</v>
        <stp/>
        <stp>VEGA</stp>
        <stp>.EFA201120C69</stp>
        <tr r="P102" s="1"/>
      </tp>
      <tp t="s">
        <v>N/A</v>
        <stp/>
        <stp>VEGA</stp>
        <stp>.EFA201120C70</stp>
        <tr r="P106" s="1"/>
      </tp>
      <tp t="s">
        <v>N/A</v>
        <stp/>
        <stp>DELTA</stp>
        <stp>.SPYG201120C52</stp>
        <tr r="M630" s="1"/>
      </tp>
      <tp t="s">
        <v>N/A</v>
        <stp/>
        <stp>DELTA</stp>
        <stp>.SPYG201120C53</stp>
        <tr r="M632" s="1"/>
      </tp>
      <tp t="s">
        <v>N/A</v>
        <stp/>
        <stp>OPEN</stp>
        <stp>.BZQ201120P12</stp>
        <tr r="L53" s="1"/>
      </tp>
      <tp t="s">
        <v>N/A</v>
        <stp/>
        <stp>DELTA</stp>
        <stp>.SHYG201120C45</stp>
        <tr r="M549" s="1"/>
      </tp>
      <tp t="s">
        <v>N/A</v>
        <stp/>
        <stp>OPEN</stp>
        <stp>.EZU201120P42</stp>
        <tr r="L179" s="1"/>
      </tp>
      <tp t="s">
        <v>N/A</v>
        <stp/>
        <stp>HIGH</stp>
        <stp>.XOP201120C47</stp>
        <tr r="J890" s="1"/>
      </tp>
      <tp t="s">
        <v>N/A</v>
        <stp/>
        <stp>HIGH</stp>
        <stp>.XOP201120C48</stp>
        <tr r="J894" s="1"/>
      </tp>
      <tp>
        <v>1.1399999999999999</v>
        <stp/>
        <stp>HIGH</stp>
        <stp>.XOP201120C49</stp>
        <tr r="J898" s="1"/>
      </tp>
      <tp t="s">
        <v>N/A</v>
        <stp/>
        <stp>PUT_CALL_RATIO</stp>
        <stp>.XLV201120C111.5</stp>
        <tr r="C863" s="1"/>
      </tp>
      <tp t="s">
        <v>N/A</v>
        <stp/>
        <stp>PUT_CALL_RATIO</stp>
        <stp>.XLY201120C151.5</stp>
        <tr r="C868" s="1"/>
      </tp>
      <tp t="s">
        <v>N/A</v>
        <stp/>
        <stp>PUT_CALL_RATIO</stp>
        <stp>.XLK201120C121.5</stp>
        <tr r="C833" s="1"/>
      </tp>
      <tp t="s">
        <v>N/A</v>
        <stp/>
        <stp>VEGA</stp>
        <stp>.VFH201120C66</stp>
        <tr r="P714" s="1"/>
      </tp>
      <tp t="s">
        <v>N/A</v>
        <stp/>
        <stp>VEGA</stp>
        <stp>.VFH201120C67</stp>
        <tr r="P716" s="1"/>
      </tp>
      <tp t="s">
        <v>N/A</v>
        <stp/>
        <stp>THETA</stp>
        <stp>.JETS201120C20</stp>
        <tr r="O378" s="1"/>
      </tp>
      <tp t="s">
        <v>N/A</v>
        <stp/>
        <stp>VEGA</stp>
        <stp>.EFV201120C45</stp>
        <tr r="P109" s="1"/>
      </tp>
      <tp t="s">
        <v>N/A</v>
        <stp/>
        <stp>LAST</stp>
        <stp>.SSO201120C81</stp>
        <tr r="E643" s="1"/>
      </tp>
      <tp t="s">
        <v>N/A</v>
        <stp/>
        <stp>LAST</stp>
        <stp>.SSO201120C82</stp>
        <tr r="E647" s="1"/>
      </tp>
      <tp t="s">
        <v>N/A</v>
        <stp/>
        <stp>LAST</stp>
        <stp>.SSO201120C83</stp>
        <tr r="E651" s="1"/>
      </tp>
      <tp t="s">
        <v>N/A</v>
        <stp/>
        <stp>LAST</stp>
        <stp>.SSO201120C84</stp>
        <tr r="E655" s="1"/>
      </tp>
      <tp t="s">
        <v>N/A</v>
        <stp/>
        <stp>PUT_CALL_RATIO</stp>
        <stp>.XLV201120P111.5</stp>
        <tr r="C864" s="1"/>
      </tp>
      <tp t="s">
        <v>N/A</v>
        <stp/>
        <stp>PUT_CALL_RATIO</stp>
        <stp>.XLY201120P151.5</stp>
        <tr r="C869" s="1"/>
      </tp>
      <tp t="s">
        <v>N/A</v>
        <stp/>
        <stp>PUT_CALL_RATIO</stp>
        <stp>.XLK201120P121.5</stp>
        <tr r="C834" s="1"/>
      </tp>
      <tp t="s">
        <v>N/A</v>
        <stp/>
        <stp>DELTA</stp>
        <stp>.SPYV201120C33</stp>
        <tr r="M635" s="1"/>
      </tp>
      <tp t="s">
        <v>N/A</v>
        <stp/>
        <stp>THETA</stp>
        <stp>.XHB201120C55.5</stp>
        <tr r="O783" s="1"/>
      </tp>
      <tp t="s">
        <v>N/A</v>
        <stp/>
        <stp>THETA</stp>
        <stp>.XLI201120C85.5</stp>
        <tr r="O820" s="1"/>
      </tp>
      <tp t="s">
        <v>N/A</v>
        <stp/>
        <stp>THETA</stp>
        <stp>.XRT201120P55.5</stp>
        <tr r="O910" s="1"/>
      </tp>
      <tp t="s">
        <v>N/A</v>
        <stp/>
        <stp>THETA</stp>
        <stp>.XHB201120P55.5</stp>
        <tr r="O784" s="1"/>
      </tp>
      <tp t="s">
        <v>N/A</v>
        <stp/>
        <stp>THETA</stp>
        <stp>.XLI201120P85.5</stp>
        <tr r="O821" s="1"/>
      </tp>
      <tp t="s">
        <v>N/A</v>
        <stp/>
        <stp>THETA</stp>
        <stp>.XRT201120C55.5</stp>
        <tr r="O909" s="1"/>
      </tp>
      <tp t="s">
        <v>N/A</v>
        <stp/>
        <stp>OPEN</stp>
        <stp>.ICLN201120P22</stp>
        <tr r="L247" s="1"/>
      </tp>
      <tp t="s">
        <v>N/A</v>
        <stp/>
        <stp>OPEN</stp>
        <stp>.BKLN201120P22</stp>
        <tr r="L50" s="1"/>
      </tp>
      <tp>
        <v>2.4</v>
        <stp/>
        <stp>LAST</stp>
        <stp>.ITOT201120P81</stp>
        <tr r="E301" s="1"/>
      </tp>
      <tp t="s">
        <v>N/A</v>
        <stp/>
        <stp>LAST</stp>
        <stp>.ITOT201120P80</stp>
        <tr r="E299" s="1"/>
      </tp>
      <tp t="s">
        <v>N/A</v>
        <stp/>
        <stp>VEGA</stp>
        <stp>.IXUS201120P63</stp>
        <tr r="P362" s="1"/>
      </tp>
      <tp t="s">
        <v>N/A</v>
        <stp/>
        <stp>OPEN</stp>
        <stp>.EMLC201120P32</stp>
        <tr r="L116" s="1"/>
      </tp>
      <tp t="s">
        <v>N/A</v>
        <stp/>
        <stp>OPEN</stp>
        <stp>.SPLG201120P42</stp>
        <tr r="L586" s="1"/>
      </tp>
      <tp t="s">
        <v>N/A</v>
        <stp/>
        <stp>VEGA</stp>
        <stp>.VXUS201120P56</stp>
        <tr r="P755" s="1"/>
      </tp>
      <tp t="s">
        <v>N/A</v>
        <stp/>
        <stp>VEGA</stp>
        <stp>.VXUS201120P57</stp>
        <tr r="P757" s="1"/>
      </tp>
      <tp t="s">
        <v>N/A</v>
        <stp/>
        <stp>THETA</stp>
        <stp>.TAN201120C75.5</stp>
        <tr r="O672" s="1"/>
      </tp>
      <tp t="s">
        <v>N/A</v>
        <stp/>
        <stp>THETA</stp>
        <stp>.TAN201120P75.5</stp>
        <tr r="O673" s="1"/>
      </tp>
      <tp t="s">
        <v>N/A</v>
        <stp/>
        <stp>OPEN</stp>
        <stp>.HYLB201120P49</stp>
        <tr r="L227" s="1"/>
      </tp>
      <tp t="s">
        <v>N/A</v>
        <stp/>
        <stp>THETA</stp>
        <stp>.IYR201120P85.5</stp>
        <tr r="O374" s="1"/>
      </tp>
      <tp t="s">
        <v>N/A</v>
        <stp/>
        <stp>THETA</stp>
        <stp>.ITB201120P55.5</stp>
        <tr r="O294" s="1"/>
      </tp>
      <tp t="s">
        <v>N/A</v>
        <stp/>
        <stp>THETA</stp>
        <stp>.IYR201120C85.5</stp>
        <tr r="O373" s="1"/>
      </tp>
      <tp t="s">
        <v>N/A</v>
        <stp/>
        <stp>THETA</stp>
        <stp>.ITB201120C55.5</stp>
        <tr r="O293" s="1"/>
      </tp>
      <tp t="s">
        <v>N/A</v>
        <stp/>
        <stp>THETA</stp>
        <stp>.HYG201120P85.5</stp>
        <tr r="O222" s="1"/>
      </tp>
      <tp t="s">
        <v>N/A</v>
        <stp/>
        <stp>THETA</stp>
        <stp>.HYG201120C85.5</stp>
        <tr r="O221" s="1"/>
      </tp>
      <tp t="s">
        <v>N/A</v>
        <stp/>
        <stp>VEGA</stp>
        <stp>.EUFN201120C16</stp>
        <tr r="P118" s="1"/>
      </tp>
      <tp>
        <v>2.75</v>
        <stp/>
        <stp>HIGH</stp>
        <stp>.ARKK201120P99</stp>
        <tr r="J31" s="1"/>
      </tp>
      <tp>
        <v>2.2000000000000002</v>
        <stp/>
        <stp>HIGH</stp>
        <stp>.ARKK201120P98</stp>
        <tr r="J29" s="1"/>
      </tp>
      <tp>
        <v>1.75</v>
        <stp/>
        <stp>HIGH</stp>
        <stp>.ARKK201120P97</stp>
        <tr r="J27" s="1"/>
      </tp>
      <tp t="s">
        <v>N/A</v>
        <stp/>
        <stp>HIGH</stp>
        <stp>.AAXJ201120C84</stp>
        <tr r="J5" s="1"/>
      </tp>
      <tp t="s">
        <v>N/A</v>
        <stp/>
        <stp>HIGH</stp>
        <stp>.AAXJ201120C83</stp>
        <tr r="J3" s="1"/>
      </tp>
      <tp t="s">
        <v>N/A</v>
        <stp/>
        <stp>VEGA</stp>
        <stp>.IEFA201120C66</stp>
        <tr r="P254" s="1"/>
      </tp>
      <tp t="s">
        <v>N/A</v>
        <stp/>
        <stp>VEGA</stp>
        <stp>.IEFA201120C65</stp>
        <tr r="P252" s="1"/>
      </tp>
      <tp t="s">
        <v>N/A</v>
        <stp/>
        <stp>OPEN</stp>
        <stp>.AMLP201120P24</stp>
        <tr r="L24" s="1"/>
      </tp>
      <tp t="s">
        <v>N/A</v>
        <stp/>
        <stp>OPEN</stp>
        <stp>.AMLP201120P23</stp>
        <tr r="L20" s="1"/>
      </tp>
      <tp t="s">
        <v>N/A</v>
        <stp/>
        <stp>OPEN</stp>
        <stp>.SPLV201120P55</stp>
        <tr r="L589" s="1"/>
      </tp>
      <tp>
        <v>2.34</v>
        <stp/>
        <stp>HIGH</stp>
        <stp>.GDXJ201120C53</stp>
        <tr r="J207" s="1"/>
      </tp>
      <tp>
        <v>0</v>
        <stp/>
        <stp>HIGH</stp>
        <stp>.GDXJ201120C52</stp>
        <tr r="J203" s="1"/>
      </tp>
      <tp>
        <v>1.69</v>
        <stp/>
        <stp>HIGH</stp>
        <stp>.GDXJ201120C54</stp>
        <tr r="J211" s="1"/>
      </tp>
      <tp t="s">
        <v>N/A</v>
        <stp/>
        <stp>INTRINSIC</stp>
        <stp>.VNQ201120P84</stp>
        <tr r="R726" s="1"/>
      </tp>
      <tp t="s">
        <v>N/A</v>
        <stp/>
        <stp>INTRINSIC</stp>
        <stp>.VNQ201120P85</stp>
        <tr r="R728" s="1"/>
      </tp>
      <tp t="s">
        <v>N/A</v>
        <stp/>
        <stp>INTRINSIC</stp>
        <stp>.QQQ201120P292.5</stp>
        <tr r="R493" s="1"/>
      </tp>
      <tp t="s">
        <v>114.45%</v>
        <stp/>
        <stp>IMPL_VOL</stp>
        <stp>NAIL</stp>
        <tr r="D438" s="1"/>
      </tp>
      <tp>
        <v>0</v>
        <stp/>
        <stp>OPEN_INT</stp>
        <stp>GUSH</stp>
        <tr r="G213" s="1"/>
      </tp>
      <tp t="s">
        <v>N/A</v>
        <stp/>
        <stp>PROB_OTM</stp>
        <stp>IEFA</stp>
        <tr r="U251" s="1"/>
      </tp>
      <tp t="s">
        <v>N/A</v>
        <stp/>
        <stp>EXTRINSIC</stp>
        <stp>.TBF201120P16</stp>
        <tr r="S682" s="1"/>
      </tp>
      <tp t="s">
        <v>N/A</v>
        <stp/>
        <stp>EXTRINSIC</stp>
        <stp>.QQQ201120P292.5</stp>
        <tr r="S493" s="1"/>
      </tp>
      <tp t="s">
        <v>N/A</v>
        <stp/>
        <stp>EXTRINSIC</stp>
        <stp>.KBE201120P38</stp>
        <tr r="S387" s="1"/>
      </tp>
      <tp t="s">
        <v>N/A</v>
        <stp/>
        <stp>PROB_OTM</stp>
        <stp>IEMG</stp>
        <tr r="U256" s="1"/>
      </tp>
      <tp>
        <v>0</v>
        <stp/>
        <stp>OPEN_INT</stp>
        <stp>EUFN</stp>
        <tr r="G117" s="1"/>
      </tp>
      <tp t="s">
        <v>N/A</v>
        <stp/>
        <stp>OPEN_INT</stp>
        <stp>.ARKW201120P116</stp>
        <tr r="G36" s="1"/>
      </tp>
      <tp>
        <v>24</v>
        <stp/>
        <stp>OPEN_INT</stp>
        <stp>.ARKW201120C116</stp>
        <tr r="G35" s="1"/>
      </tp>
      <tp t="s">
        <v>N/A</v>
        <stp/>
        <stp>OPEN_INT</stp>
        <stp>.ARKW201120P117</stp>
        <tr r="G38" s="1"/>
      </tp>
      <tp>
        <v>5</v>
        <stp/>
        <stp>OPEN_INT</stp>
        <stp>.ARKW201120C117</stp>
        <tr r="G37" s="1"/>
      </tp>
      <tp t="s">
        <v>N/A</v>
        <stp/>
        <stp>OPEN_INT</stp>
        <stp>.ARKW201120P118</stp>
        <tr r="G40" s="1"/>
      </tp>
      <tp t="s">
        <v>N/A</v>
        <stp/>
        <stp>OPEN_INT</stp>
        <stp>.ARKW201120C118</stp>
        <tr r="G39" s="1"/>
      </tp>
      <tp t="s">
        <v>N/A</v>
        <stp/>
        <stp>OPEN_INT</stp>
        <stp>.ARKW201120P119</stp>
        <tr r="G42" s="1"/>
      </tp>
      <tp>
        <v>47</v>
        <stp/>
        <stp>OPEN_INT</stp>
        <stp>.ARKW201120C119</stp>
        <tr r="G41" s="1"/>
      </tp>
      <tp t="s">
        <v>N/A</v>
        <stp/>
        <stp>PROB_OTM</stp>
        <stp>JETS</stp>
        <tr r="U375" s="1"/>
      </tp>
      <tp>
        <v>0</v>
        <stp/>
        <stp>OPEN_INT</stp>
        <stp>QUAL</stp>
        <tr r="G498" s="1"/>
      </tp>
      <tp t="s">
        <v>N/A</v>
        <stp/>
        <stp>INTRINSIC</stp>
        <stp>.QQQ201120C292.5</stp>
        <tr r="R492" s="1"/>
      </tp>
      <tp t="s">
        <v>20.28%</v>
        <stp/>
        <stp>IMPL_VOL</stp>
        <stp>AAXJ</stp>
        <tr r="D2" s="1"/>
      </tp>
      <tp t="s">
        <v>N/A</v>
        <stp/>
        <stp>EXTRINSIC</stp>
        <stp>.TBT201120P17</stp>
        <tr r="S685" s="1"/>
      </tp>
      <tp t="s">
        <v>N/A</v>
        <stp/>
        <stp>EXTRINSIC</stp>
        <stp>.QQQ201120C292.5</stp>
        <tr r="S492" s="1"/>
      </tp>
      <tp t="s">
        <v>N/A</v>
        <stp/>
        <stp>PROB_OF_TOUCHING</stp>
        <stp>XLRE</stp>
        <tr r="V846" s="1"/>
      </tp>
      <tp t="s">
        <v>N/A</v>
        <stp/>
        <stp>STRIKE</stp>
        <stp>.GDXJ201120P53.5</stp>
        <tr r="W210" s="1"/>
      </tp>
      <tp t="s">
        <v>N/A</v>
        <stp/>
        <stp>STRIKE</stp>
        <stp>.GDXJ201120C53.5</stp>
        <tr r="W209" s="1"/>
      </tp>
      <tp t="s">
        <v>N/A</v>
        <stp/>
        <stp>PUT_CALL_RATIO</stp>
        <stp>.QQQ201120P287.5</stp>
        <tr r="C481" s="1"/>
      </tp>
      <tp t="s">
        <v>N/A</v>
        <stp/>
        <stp>GAMMA</stp>
        <stp>.DGRO201120C43</stp>
        <tr r="N60" s="1"/>
      </tp>
      <tp t="s">
        <v>N/A</v>
        <stp/>
        <stp>THETA</stp>
        <stp>.SCHD201120P61</stp>
        <tr r="O522" s="1"/>
      </tp>
      <tp t="s">
        <v>N/A</v>
        <stp/>
        <stp>THETA</stp>
        <stp>.SCHD201120P62</stp>
        <tr r="O524" s="1"/>
      </tp>
      <tp t="s">
        <v>N/A</v>
        <stp/>
        <stp>THETA</stp>
        <stp>.MCHI201120P80</stp>
        <tr r="O413" s="1"/>
      </tp>
      <tp t="s">
        <v>N/A</v>
        <stp/>
        <stp>VOLUME</stp>
        <stp>.IBB201120C141.5</stp>
        <tr r="F243" s="1"/>
      </tp>
      <tp t="s">
        <v>N/A</v>
        <stp/>
        <stp>VOLUME</stp>
        <stp>.LQD201120P134.5</stp>
        <tr r="F406" s="1"/>
      </tp>
      <tp t="s">
        <v>N/A</v>
        <stp/>
        <stp>THETA</stp>
        <stp>.SPHD201120P36</stp>
        <tr r="O583" s="1"/>
      </tp>
      <tp t="s">
        <v>N/A</v>
        <stp/>
        <stp>THETA</stp>
        <stp>.SCHE201120P29</stp>
        <tr r="O527" s="1"/>
      </tp>
      <tp t="s">
        <v>N/A</v>
        <stp/>
        <stp>DELTA</stp>
        <stp>.DFEN201120P13</stp>
        <tr r="M56" s="1"/>
      </tp>
      <tp t="s">
        <v>N/A</v>
        <stp/>
        <stp>DELTA</stp>
        <stp>.DFEN201120P14</stp>
        <tr r="M58" s="1"/>
      </tp>
      <tp>
        <v>0.28999999999999998</v>
        <stp/>
        <stp>HIGH</stp>
        <stp>.RSX201120P22</stp>
        <tr r="J514" s="1"/>
      </tp>
      <tp t="s">
        <v>N/A</v>
        <stp/>
        <stp>THETA</stp>
        <stp>.SCHF201120P34</stp>
        <tr r="O530" s="1"/>
      </tp>
      <tp t="s">
        <v>N/A</v>
        <stp/>
        <stp>OPEN</stp>
        <stp>.EFV201120C45</stp>
        <tr r="L109" s="1"/>
      </tp>
      <tp t="s">
        <v>N/A</v>
        <stp/>
        <stp>STRIKE</stp>
        <stp>.IWM201120C172.5</stp>
        <tr r="W352" s="1"/>
      </tp>
      <tp t="s">
        <v>N/A</v>
        <stp/>
        <stp>GAMMA</stp>
        <stp>.XLRE201120C37</stp>
        <tr r="N847" s="1"/>
      </tp>
      <tp t="s">
        <v>N/A</v>
        <stp/>
        <stp>PUT_CALL_RATIO</stp>
        <stp>.SMH201120C195.5</stp>
        <tr r="C564" s="1"/>
      </tp>
      <tp t="s">
        <v>N/A</v>
        <stp/>
        <stp>DELTA</stp>
        <stp>.KWEB201120P74</stp>
        <tr r="M403" s="1"/>
      </tp>
      <tp t="s">
        <v>N/A</v>
        <stp/>
        <stp>DELTA</stp>
        <stp>.KWEB201120P72</stp>
        <tr r="M399" s="1"/>
      </tp>
      <tp t="s">
        <v>N/A</v>
        <stp/>
        <stp>DELTA</stp>
        <stp>.KWEB201120P73</stp>
        <tr r="M401" s="1"/>
      </tp>
      <tp t="s">
        <v>N/A</v>
        <stp/>
        <stp>LAST</stp>
        <stp>.XOP201120P48</stp>
        <tr r="E895" s="1"/>
      </tp>
      <tp t="s">
        <v>N/A</v>
        <stp/>
        <stp>LAST</stp>
        <stp>.XOP201120P49</stp>
        <tr r="E899" s="1"/>
      </tp>
      <tp t="s">
        <v>N/A</v>
        <stp/>
        <stp>LAST</stp>
        <stp>.XOP201120P47</stp>
        <tr r="E891" s="1"/>
      </tp>
      <tp>
        <v>0</v>
        <stp/>
        <stp>VOLUME</stp>
        <stp>.IBB201120P141.5</stp>
        <tr r="F244" s="1"/>
      </tp>
      <tp t="s">
        <v>N/A</v>
        <stp/>
        <stp>VOLUME</stp>
        <stp>.LQD201120C134.5</stp>
        <tr r="F405" s="1"/>
      </tp>
      <tp t="s">
        <v>N/A</v>
        <stp/>
        <stp>VEGA</stp>
        <stp>.EZU201120P42</stp>
        <tr r="P179" s="1"/>
      </tp>
      <tp t="s">
        <v>N/A</v>
        <stp/>
        <stp>VEGA</stp>
        <stp>.BZQ201120P12</stp>
        <tr r="P53" s="1"/>
      </tp>
      <tp t="s">
        <v>N/A</v>
        <stp/>
        <stp>THETA</stp>
        <stp>.ASHR201120P38</stp>
        <tr r="O47" s="1"/>
      </tp>
      <tp t="s">
        <v>N/A</v>
        <stp/>
        <stp>PUT_CALL_RATIO</stp>
        <stp>.QQQ201120C287.5</stp>
        <tr r="C480" s="1"/>
      </tp>
      <tp t="s">
        <v>N/A</v>
        <stp/>
        <stp>THETA</stp>
        <stp>.SCHP201120P61</stp>
        <tr r="O533" s="1"/>
      </tp>
      <tp t="s">
        <v>N/A</v>
        <stp/>
        <stp>OPEN</stp>
        <stp>.VFH201120C67</stp>
        <tr r="L716" s="1"/>
      </tp>
      <tp t="s">
        <v>N/A</v>
        <stp/>
        <stp>OPEN</stp>
        <stp>.VFH201120C66</stp>
        <tr r="L714" s="1"/>
      </tp>
      <tp>
        <v>2.1</v>
        <stp/>
        <stp>HIGH</stp>
        <stp>.SSO201120P81</stp>
        <tr r="J644" s="1"/>
      </tp>
      <tp t="s">
        <v>N/A</v>
        <stp/>
        <stp>HIGH</stp>
        <stp>.SSO201120P82</stp>
        <tr r="J648" s="1"/>
      </tp>
      <tp t="s">
        <v>N/A</v>
        <stp/>
        <stp>HIGH</stp>
        <stp>.SSO201120P83</stp>
        <tr r="J652" s="1"/>
      </tp>
      <tp>
        <v>0</v>
        <stp/>
        <stp>HIGH</stp>
        <stp>.SSO201120P84</stp>
        <tr r="J656" s="1"/>
      </tp>
      <tp t="s">
        <v>N/A</v>
        <stp/>
        <stp>DELTA</stp>
        <stp>.SRVR201120C35</stp>
        <tr r="M638" s="1"/>
      </tp>
      <tp t="s">
        <v>N/A</v>
        <stp/>
        <stp>DELTA</stp>
        <stp>.SRVR201120C36</stp>
        <tr r="M640" s="1"/>
      </tp>
      <tp t="s">
        <v>N/A</v>
        <stp/>
        <stp>PUT_CALL_RATIO</stp>
        <stp>.SMH201120P195.5</stp>
        <tr r="C565" s="1"/>
      </tp>
      <tp t="s">
        <v>N/A</v>
        <stp/>
        <stp>STRIKE</stp>
        <stp>.IWM201120P172.5</stp>
        <tr r="W353" s="1"/>
      </tp>
      <tp>
        <v>0.28999999999999998</v>
        <stp/>
        <stp>OPEN</stp>
        <stp>.EFA201120C70</stp>
        <tr r="L106" s="1"/>
      </tp>
      <tp>
        <v>0.72</v>
        <stp/>
        <stp>OPEN</stp>
        <stp>.EFA201120C69</stp>
        <tr r="L102" s="1"/>
      </tp>
      <tp t="s">
        <v>N/A</v>
        <stp/>
        <stp>VEGA</stp>
        <stp>.VCIT201120C96</stp>
        <tr r="P702" s="1"/>
      </tp>
      <tp t="s">
        <v>N/A</v>
        <stp/>
        <stp>DELTA</stp>
        <stp>.XLC201120P63.5</stp>
        <tr r="M800" s="1"/>
      </tp>
      <tp t="s">
        <v>N/A</v>
        <stp/>
        <stp>DELTA</stp>
        <stp>.XLE201120P33.5</stp>
        <tr r="M805" s="1"/>
      </tp>
      <tp t="s">
        <v>N/A</v>
        <stp/>
        <stp>DELTA</stp>
        <stp>.XLC201120C63.5</stp>
        <tr r="M799" s="1"/>
      </tp>
      <tp t="s">
        <v>N/A</v>
        <stp/>
        <stp>DELTA</stp>
        <stp>.XLE201120C33.5</stp>
        <tr r="M804" s="1"/>
      </tp>
      <tp t="s">
        <v>N/A</v>
        <stp/>
        <stp>GAMMA</stp>
        <stp>.EWY201120C72.5</stp>
        <tr r="N166" s="1"/>
      </tp>
      <tp t="s">
        <v>N/A</v>
        <stp/>
        <stp>HIGH</stp>
        <stp>.SPDW201120P32</stp>
        <tr r="J580" s="1"/>
      </tp>
      <tp t="s">
        <v>N/A</v>
        <stp/>
        <stp>GAMMA</stp>
        <stp>.EWY201120P72.5</stp>
        <tr r="N167" s="1"/>
      </tp>
      <tp t="s">
        <v>N/A</v>
        <stp/>
        <stp>VEGA</stp>
        <stp>.DRIP201120C45</stp>
        <tr r="P82" s="1"/>
      </tp>
      <tp t="s">
        <v>N/A</v>
        <stp/>
        <stp>DELTA</stp>
        <stp>.SSO201120C83.5</stp>
        <tr r="M653" s="1"/>
      </tp>
      <tp t="s">
        <v>N/A</v>
        <stp/>
        <stp>DELTA</stp>
        <stp>.SDS201120P13.5</stp>
        <tr r="M539" s="1"/>
      </tp>
      <tp t="s">
        <v>N/A</v>
        <stp/>
        <stp>DELTA</stp>
        <stp>.SSO201120P83.5</stp>
        <tr r="M654" s="1"/>
      </tp>
      <tp t="s">
        <v>N/A</v>
        <stp/>
        <stp>DELTA</stp>
        <stp>.SDS201120C13.5</stp>
        <tr r="M538" s="1"/>
      </tp>
      <tp t="s">
        <v>N/A</v>
        <stp/>
        <stp>HIGH</stp>
        <stp>.INDY201120P38</stp>
        <tr r="J287" s="1"/>
      </tp>
      <tp t="s">
        <v>N/A</v>
        <stp/>
        <stp>HIGH</stp>
        <stp>.ACWX201120C50</stp>
        <tr r="J13" s="1"/>
      </tp>
      <tp t="s">
        <v>N/A</v>
        <stp/>
        <stp>DELTA</stp>
        <stp>.TAN201120P73.5</stp>
        <tr r="M665" s="1"/>
      </tp>
      <tp t="s">
        <v>N/A</v>
        <stp/>
        <stp>DELTA</stp>
        <stp>.TAN201120C73.5</stp>
        <tr r="M664" s="1"/>
      </tp>
      <tp t="s">
        <v>N/A</v>
        <stp/>
        <stp>VEGA</stp>
        <stp>.VGIT201120C70</stp>
        <tr r="P719" s="1"/>
      </tp>
      <tp t="s">
        <v>N/A</v>
        <stp/>
        <stp>DESCRIPTION</stp>
        <stp>.MJ201120P13</stp>
        <tr r="B425" s="1"/>
      </tp>
      <tp t="s">
        <v>N/A</v>
        <stp/>
        <stp>HIGH</stp>
        <stp>.ACWI201120C86</stp>
        <tr r="J10" s="1"/>
      </tp>
      <tp t="s">
        <v>N/A</v>
        <stp/>
        <stp>HIGH</stp>
        <stp>.ACWI201120C85</stp>
        <tr r="J8" s="1"/>
      </tp>
      <tp t="s">
        <v>N/A</v>
        <stp/>
        <stp>GAMMA</stp>
        <stp>.RSX201120C22.5</stp>
        <tr r="N515" s="1"/>
      </tp>
      <tp t="s">
        <v>N/A</v>
        <stp/>
        <stp>GAMMA</stp>
        <stp>.RSX201120P22.5</stp>
        <tr r="N516" s="1"/>
      </tp>
      <tp>
        <v>0.4</v>
        <stp/>
        <stp>LAST</stp>
        <stp>.GUSH201120C28</stp>
        <tr r="E218" s="1"/>
      </tp>
      <tp t="s">
        <v>N/A</v>
        <stp/>
        <stp>GAMMA</stp>
        <stp>.SSO201120C82.5</stp>
        <tr r="N649" s="1"/>
      </tp>
      <tp>
        <v>0.75</v>
        <stp/>
        <stp>LAST</stp>
        <stp>.GUSH201120C27</stp>
        <tr r="E216" s="1"/>
      </tp>
      <tp>
        <v>0.95</v>
        <stp/>
        <stp>LAST</stp>
        <stp>.GUSH201120C26</stp>
        <tr r="E214" s="1"/>
      </tp>
      <tp t="s">
        <v>N/A</v>
        <stp/>
        <stp>HIGH</stp>
        <stp>.INDA201120P36</stp>
        <tr r="J282" s="1"/>
      </tp>
      <tp t="s">
        <v>N/A</v>
        <stp/>
        <stp>GAMMA</stp>
        <stp>.SSO201120P82.5</stp>
        <tr r="N650" s="1"/>
      </tp>
      <tp t="s">
        <v>N/A</v>
        <stp/>
        <stp>GAMMA</stp>
        <stp>.TAN201120P72.5</stp>
        <tr r="N661" s="1"/>
      </tp>
      <tp t="s">
        <v>N/A</v>
        <stp/>
        <stp>GAMMA</stp>
        <stp>.TAN201120C72.5</stp>
        <tr r="N660" s="1"/>
      </tp>
      <tp t="s">
        <v>N/A</v>
        <stp/>
        <stp>VEGA</stp>
        <stp>.NAIL201120C44</stp>
        <tr r="P439" s="1"/>
      </tp>
      <tp t="s">
        <v>N/A</v>
        <stp/>
        <stp>VEGA</stp>
        <stp>.NAIL201120C45</stp>
        <tr r="P441" s="1"/>
      </tp>
      <tp t="s">
        <v>N/A</v>
        <stp/>
        <stp>VEGA</stp>
        <stp>.NAIL201120C46</stp>
        <tr r="P443" s="1"/>
      </tp>
      <tp t="s">
        <v>N/A</v>
        <stp/>
        <stp>VEGA</stp>
        <stp>.NAIL201120C47</stp>
        <tr r="P445" s="1"/>
      </tp>
      <tp t="s">
        <v>N/A</v>
        <stp/>
        <stp>VEGA</stp>
        <stp>.NAIL201120C48</stp>
        <tr r="P447" s="1"/>
      </tp>
      <tp t="s">
        <v>N/A</v>
        <stp/>
        <stp>VEGA</stp>
        <stp>.NAIL201120C49</stp>
        <tr r="P449" s="1"/>
      </tp>
      <tp t="s">
        <v>N/A</v>
        <stp/>
        <stp>VEGA</stp>
        <stp>.IGIB201120C61</stp>
        <tr r="P262" s="1"/>
      </tp>
      <tp t="s">
        <v>N/A</v>
        <stp/>
        <stp>DELTA</stp>
        <stp>.EWY201120C73.5</stp>
        <tr r="M170" s="1"/>
      </tp>
      <tp t="s">
        <v>N/A</v>
        <stp/>
        <stp>DELTA</stp>
        <stp>.EWJ201120C63.5</stp>
        <tr r="M138" s="1"/>
      </tp>
      <tp t="s">
        <v>N/A</v>
        <stp/>
        <stp>DELTA</stp>
        <stp>.EWY201120P73.5</stp>
        <tr r="M171" s="1"/>
      </tp>
      <tp t="s">
        <v>N/A</v>
        <stp/>
        <stp>DELTA</stp>
        <stp>.EWJ201120P63.5</stp>
        <tr r="M139" s="1"/>
      </tp>
      <tp t="s">
        <v>N/A</v>
        <stp/>
        <stp>INTRINSIC</stp>
        <stp>VTI</stp>
        <tr r="R739" s="1"/>
      </tp>
      <tp t="s">
        <v>N/A</v>
        <stp/>
        <stp>EXTRINSIC</stp>
        <stp>VTI</stp>
        <tr r="S739" s="1"/>
      </tp>
      <tp t="s">
        <v>N/A</v>
        <stp/>
        <stp>PROB_OF_EXPIRING</stp>
        <stp>DFEN</stp>
        <tr r="T54" s="1"/>
      </tp>
      <tp t="s">
        <v>N/A</v>
        <stp/>
        <stp>INTRINSIC</stp>
        <stp>VWO</stp>
        <tr r="R748" s="1"/>
      </tp>
      <tp t="s">
        <v>N/A</v>
        <stp/>
        <stp>EXTRINSIC</stp>
        <stp>VWO</stp>
        <tr r="S748" s="1"/>
      </tp>
      <tp t="s">
        <v>N/A</v>
        <stp/>
        <stp>PROB_OF_TOUCHING</stp>
        <stp>ICLN</stp>
        <tr r="V245" s="1"/>
      </tp>
      <tp t="s">
        <v>N/A</v>
        <stp/>
        <stp>PROB_OF_TOUCHING</stp>
        <stp>VCLT</stp>
        <tr r="V704" s="1"/>
      </tp>
      <tp t="s">
        <v>N/A</v>
        <stp/>
        <stp>EXTRINSIC</stp>
        <stp>.XLY201120C154.5</stp>
        <tr r="S880" s="1"/>
      </tp>
      <tp t="s">
        <v>N/A</v>
        <stp/>
        <stp>PROB_OF_TOUCHING</stp>
        <stp>VCIT</stp>
        <tr r="V701" s="1"/>
      </tp>
      <tp t="s">
        <v>N/A</v>
        <stp/>
        <stp>PROB_OF_EXPIRING</stp>
        <stp>.MTUM201120C151</stp>
        <tr r="T431" s="1"/>
      </tp>
      <tp t="s">
        <v>N/A</v>
        <stp/>
        <stp>PROB_OF_EXPIRING</stp>
        <stp>.MTUM201120P151</stp>
        <tr r="T432" s="1"/>
      </tp>
      <tp t="s">
        <v>N/A</v>
        <stp/>
        <stp>PROB_OF_EXPIRING</stp>
        <stp>.MTUM201120C150</stp>
        <tr r="T429" s="1"/>
      </tp>
      <tp t="s">
        <v>N/A</v>
        <stp/>
        <stp>PROB_OF_EXPIRING</stp>
        <stp>.MTUM201120P150</stp>
        <tr r="T430" s="1"/>
      </tp>
      <tp t="s">
        <v>N/A</v>
        <stp/>
        <stp>PROB_OF_EXPIRING</stp>
        <stp>.MTUM201120C152</stp>
        <tr r="T433" s="1"/>
      </tp>
      <tp t="s">
        <v>N/A</v>
        <stp/>
        <stp>PROB_OF_EXPIRING</stp>
        <stp>.MTUM201120P152</stp>
        <tr r="T434" s="1"/>
      </tp>
      <tp t="s">
        <v>N/A</v>
        <stp/>
        <stp>INTRINSIC</stp>
        <stp>.XBI201120C124.5</stp>
        <tr r="R774" s="1"/>
      </tp>
      <tp t="s">
        <v>N/A</v>
        <stp/>
        <stp>PROB_OF_TOUCHING</stp>
        <stp>MCHI</stp>
        <tr r="V411" s="1"/>
      </tp>
      <tp t="s">
        <v>N/A</v>
        <stp/>
        <stp>PROB_OF_TOUCHING</stp>
        <stp>SCHD</stp>
        <tr r="V520" s="1"/>
      </tp>
      <tp t="s">
        <v>N/A</v>
        <stp/>
        <stp>PROB_OF_TOUCHING</stp>
        <stp>SCHE</stp>
        <tr r="V525" s="1"/>
      </tp>
      <tp t="s">
        <v>N/A</v>
        <stp/>
        <stp>PROB_OF_TOUCHING</stp>
        <stp>SCHF</stp>
        <tr r="V528" s="1"/>
      </tp>
      <tp t="s">
        <v>N/A</v>
        <stp/>
        <stp>PROB_OF_TOUCHING</stp>
        <stp>SCHP</stp>
        <tr r="V531" s="1"/>
      </tp>
      <tp t="s">
        <v>N/A</v>
        <stp/>
        <stp>PROB_OF_EXPIRING</stp>
        <stp>.MTUM201120C149</stp>
        <tr r="T427" s="1"/>
      </tp>
      <tp t="s">
        <v>N/A</v>
        <stp/>
        <stp>PROB_OF_EXPIRING</stp>
        <stp>.MTUM201120P149</stp>
        <tr r="T428" s="1"/>
      </tp>
      <tp t="s">
        <v>N/A</v>
        <stp/>
        <stp>INTRINSIC</stp>
        <stp>.XLY201120C154.5</stp>
        <tr r="R880" s="1"/>
      </tp>
      <tp t="s">
        <v>N/A</v>
        <stp/>
        <stp>INTRINSIC</stp>
        <stp>.XRT201120C54</stp>
        <tr r="R903" s="1"/>
      </tp>
      <tp t="s">
        <v>N/A</v>
        <stp/>
        <stp>INTRINSIC</stp>
        <stp>.XRT201120C55</stp>
        <tr r="R907" s="1"/>
      </tp>
      <tp t="s">
        <v>N/A</v>
        <stp/>
        <stp>EXTRINSIC</stp>
        <stp>.XME201120P27</stp>
        <tr r="S888" s="1"/>
      </tp>
      <tp t="s">
        <v>25.84%</v>
        <stp/>
        <stp>IMPL_VOL</stp>
        <stp>INDA</stp>
        <tr r="D280" s="1"/>
      </tp>
      <tp t="s">
        <v>21.91%</v>
        <stp/>
        <stp>IMPL_VOL</stp>
        <stp>INDY</stp>
        <tr r="D285" s="1"/>
      </tp>
      <tp t="s">
        <v>N/A</v>
        <stp/>
        <stp>EXTRINSIC</stp>
        <stp>.XBI201120C124.5</stp>
        <tr r="S774" s="1"/>
      </tp>
      <tp t="s">
        <v>N/A</v>
        <stp/>
        <stp>INTRINSIC</stp>
        <stp>VYM</stp>
        <tr r="R758" s="1"/>
      </tp>
      <tp t="s">
        <v>N/A</v>
        <stp/>
        <stp>EXTRINSIC</stp>
        <stp>VYM</stp>
        <tr r="S758" s="1"/>
      </tp>
      <tp t="s">
        <v>N/A</v>
        <stp/>
        <stp>EXTRINSIC</stp>
        <stp>VEU</stp>
        <tr r="S710" s="1"/>
      </tp>
      <tp t="s">
        <v>N/A</v>
        <stp/>
        <stp>INTRINSIC</stp>
        <stp>VEU</stp>
        <tr r="R710" s="1"/>
      </tp>
      <tp t="s">
        <v>N/A</v>
        <stp/>
        <stp>EXTRINSIC</stp>
        <stp>VEA</stp>
        <tr r="S707" s="1"/>
      </tp>
      <tp t="s">
        <v>N/A</v>
        <stp/>
        <stp>INTRINSIC</stp>
        <stp>VEA</stp>
        <tr r="R707" s="1"/>
      </tp>
      <tp t="s">
        <v>N/A</v>
        <stp/>
        <stp>INTRINSIC</stp>
        <stp>VFH</stp>
        <tr r="R713" s="1"/>
      </tp>
      <tp t="s">
        <v>N/A</v>
        <stp/>
        <stp>EXTRINSIC</stp>
        <stp>VFH</stp>
        <tr r="S713" s="1"/>
      </tp>
      <tp t="s">
        <v>N/A</v>
        <stp/>
        <stp>INTRINSIC</stp>
        <stp>.TAN201120P73</stp>
        <tr r="R663" s="1"/>
      </tp>
      <tp t="s">
        <v>N/A</v>
        <stp/>
        <stp>INTRINSIC</stp>
        <stp>.TAN201120P74</stp>
        <tr r="R667" s="1"/>
      </tp>
      <tp t="s">
        <v>N/A</v>
        <stp/>
        <stp>INTRINSIC</stp>
        <stp>.TAN201120P75</stp>
        <tr r="R671" s="1"/>
      </tp>
      <tp t="s">
        <v>N/A</v>
        <stp/>
        <stp>INTRINSIC</stp>
        <stp>.TAN201120P76</stp>
        <tr r="R675" s="1"/>
      </tp>
      <tp t="s">
        <v>N/A</v>
        <stp/>
        <stp>INTRINSIC</stp>
        <stp>.TAN201120P77</stp>
        <tr r="R679" s="1"/>
      </tp>
      <tp t="s">
        <v>N/A</v>
        <stp/>
        <stp>INTRINSIC</stp>
        <stp>VGK</stp>
        <tr r="R721" s="1"/>
      </tp>
      <tp t="s">
        <v>N/A</v>
        <stp/>
        <stp>EXTRINSIC</stp>
        <stp>VGK</stp>
        <tr r="S721" s="1"/>
      </tp>
      <tp t="s">
        <v>N/A</v>
        <stp/>
        <stp>INTRINSIC</stp>
        <stp>.XBI201120P124.5</stp>
        <tr r="R775" s="1"/>
      </tp>
      <tp t="s">
        <v>N/A</v>
        <stp/>
        <stp>EXTRINSIC</stp>
        <stp>.XLY201120P154.5</stp>
        <tr r="S881" s="1"/>
      </tp>
      <tp t="s">
        <v>N/A</v>
        <stp/>
        <stp>PROB_OF_TOUCHING</stp>
        <stp>ACWI</stp>
        <tr r="V7" s="1"/>
      </tp>
      <tp t="s">
        <v>N/A</v>
        <stp/>
        <stp>PROB_OF_TOUCHING</stp>
        <stp>ACWX</stp>
        <tr r="V12" s="1"/>
      </tp>
      <tp t="s">
        <v>N/A</v>
        <stp/>
        <stp>EXTRINSIC</stp>
        <stp>.XBI201120P124.5</stp>
        <tr r="S775" s="1"/>
      </tp>
      <tp t="s">
        <v>N/A</v>
        <stp/>
        <stp>EXTRINSIC</stp>
        <stp>VNQ</stp>
        <tr r="S724" s="1"/>
      </tp>
      <tp t="s">
        <v>N/A</v>
        <stp/>
        <stp>INTRINSIC</stp>
        <stp>VNQ</stp>
        <tr r="R724" s="1"/>
      </tp>
      <tp t="s">
        <v>N/A</v>
        <stp/>
        <stp>INTRINSIC</stp>
        <stp>.KRE201120C46</stp>
        <tr r="R389" s="1"/>
      </tp>
      <tp t="s">
        <v>N/A</v>
        <stp/>
        <stp>INTRINSIC</stp>
        <stp>.KRE201120C47</stp>
        <tr r="R393" s="1"/>
      </tp>
      <tp t="s">
        <v>N/A</v>
        <stp/>
        <stp>INTRINSIC</stp>
        <stp>VOO</stp>
        <tr r="R729" s="1"/>
      </tp>
      <tp t="s">
        <v>N/A</v>
        <stp/>
        <stp>EXTRINSIC</stp>
        <stp>VOO</stp>
        <tr r="S729" s="1"/>
      </tp>
      <tp t="s">
        <v>N/A</v>
        <stp/>
        <stp>INTRINSIC</stp>
        <stp>.XLY201120P154.5</stp>
        <tr r="R881" s="1"/>
      </tp>
      <tp t="s">
        <v>N/A</v>
        <stp/>
        <stp>GAMMA</stp>
        <stp>.GUSH201120C28</stp>
        <tr r="N218" s="1"/>
      </tp>
      <tp t="s">
        <v>N/A</v>
        <stp/>
        <stp>GAMMA</stp>
        <stp>.GUSH201120C27</stp>
        <tr r="N216" s="1"/>
      </tp>
      <tp t="s">
        <v>N/A</v>
        <stp/>
        <stp>GAMMA</stp>
        <stp>.GUSH201120C26</stp>
        <tr r="N214" s="1"/>
      </tp>
      <tp t="s">
        <v>N/A</v>
        <stp/>
        <stp>OPEN</stp>
        <stp>.PGX201120C15</stp>
        <tr r="L455" s="1"/>
      </tp>
      <tp t="s">
        <v>N/A</v>
        <stp/>
        <stp>LAST</stp>
        <stp>.VNQ201120P84</stp>
        <tr r="E726" s="1"/>
      </tp>
      <tp t="s">
        <v>N/A</v>
        <stp/>
        <stp>LAST</stp>
        <stp>.VNQ201120P85</stp>
        <tr r="E728" s="1"/>
      </tp>
      <tp t="s">
        <v>N/A</v>
        <stp/>
        <stp>VOLUME</stp>
        <stp>.IBB201120C140.5</stp>
        <tr r="F239" s="1"/>
      </tp>
      <tp t="s">
        <v>N/A</v>
        <stp/>
        <stp>VOLUME</stp>
        <stp>.LQD201120P135.5</stp>
        <tr r="F410" s="1"/>
      </tp>
      <tp t="s">
        <v>N/A</v>
        <stp/>
        <stp>STRIKE</stp>
        <stp>MJ</stp>
        <tr r="W423" s="1"/>
      </tp>
      <tp t="s">
        <v>N/A</v>
        <stp/>
        <stp>VEGA</stp>
        <stp>.XHB201120C55</stp>
        <tr r="P781" s="1"/>
      </tp>
      <tp t="s">
        <v>N/A</v>
        <stp/>
        <stp>VEGA</stp>
        <stp>.XHB201120C56</stp>
        <tr r="P785" s="1"/>
      </tp>
      <tp t="s">
        <v>N/A</v>
        <stp/>
        <stp>THETA</stp>
        <stp>.IGIB201120P61</stp>
        <tr r="O263" s="1"/>
      </tp>
      <tp t="s">
        <v>N/A</v>
        <stp/>
        <stp>PUT_CALL_RATIO</stp>
        <stp>.IVW201120C61.25</stp>
        <tr r="C331" s="1"/>
      </tp>
      <tp t="s">
        <v>N/A</v>
        <stp/>
        <stp>DELTA</stp>
        <stp>.INDA201120P36</stp>
        <tr r="M282" s="1"/>
      </tp>
      <tp t="s">
        <v>N/A</v>
        <stp/>
        <stp>THETA</stp>
        <stp>.NAIL201120P49</stp>
        <tr r="O450" s="1"/>
      </tp>
      <tp t="s">
        <v>N/A</v>
        <stp/>
        <stp>DELTA</stp>
        <stp>.ACWI201120C86</stp>
        <tr r="M10" s="1"/>
      </tp>
      <tp t="s">
        <v>N/A</v>
        <stp/>
        <stp>THETA</stp>
        <stp>.NAIL201120P48</stp>
        <tr r="O448" s="1"/>
      </tp>
      <tp t="s">
        <v>N/A</v>
        <stp/>
        <stp>DELTA</stp>
        <stp>.ACWI201120C85</stp>
        <tr r="M8" s="1"/>
      </tp>
      <tp t="s">
        <v>N/A</v>
        <stp/>
        <stp>THETA</stp>
        <stp>.NAIL201120P45</stp>
        <tr r="O442" s="1"/>
      </tp>
      <tp t="s">
        <v>N/A</v>
        <stp/>
        <stp>THETA</stp>
        <stp>.NAIL201120P44</stp>
        <tr r="O440" s="1"/>
      </tp>
      <tp t="s">
        <v>N/A</v>
        <stp/>
        <stp>THETA</stp>
        <stp>.NAIL201120P47</stp>
        <tr r="O446" s="1"/>
      </tp>
      <tp t="s">
        <v>N/A</v>
        <stp/>
        <stp>THETA</stp>
        <stp>.NAIL201120P46</stp>
        <tr r="O444" s="1"/>
      </tp>
      <tp t="s">
        <v>N/A</v>
        <stp/>
        <stp>STRIKE</stp>
        <stp>.MDY201120P387.5</stp>
        <tr r="W422" s="1"/>
      </tp>
      <tp t="s">
        <v>N/A</v>
        <stp/>
        <stp>HIGH</stp>
        <stp>.XRT201120P54</stp>
        <tr r="J904" s="1"/>
      </tp>
      <tp t="s">
        <v>N/A</v>
        <stp/>
        <stp>HIGH</stp>
        <stp>.XRT201120P55</stp>
        <tr r="J908" s="1"/>
      </tp>
      <tp t="s">
        <v>N/A</v>
        <stp/>
        <stp>PUT_CALL_RATIO</stp>
        <stp>.SMH201120C194.5</stp>
        <tr r="C560" s="1"/>
      </tp>
      <tp>
        <v>0</v>
        <stp/>
        <stp>VOLUME</stp>
        <stp>.IBB201120P140.5</stp>
        <tr r="F240" s="1"/>
      </tp>
      <tp>
        <v>315</v>
        <stp/>
        <stp>VOLUME</stp>
        <stp>.LQD201120C135.5</stp>
        <tr r="F409" s="1"/>
      </tp>
      <tp t="s">
        <v>N/A</v>
        <stp/>
        <stp>DELTA</stp>
        <stp>.INDY201120P38</stp>
        <tr r="M287" s="1"/>
      </tp>
      <tp t="s">
        <v>N/A</v>
        <stp/>
        <stp>THETA</stp>
        <stp>.VGIT201120P70</stp>
        <tr r="O720" s="1"/>
      </tp>
      <tp t="s">
        <v>N/A</v>
        <stp/>
        <stp>HIGH</stp>
        <stp>.TAN201120C73</stp>
        <tr r="J662" s="1"/>
      </tp>
      <tp>
        <v>3.4</v>
        <stp/>
        <stp>HIGH</stp>
        <stp>.TAN201120C74</stp>
        <tr r="J666" s="1"/>
      </tp>
      <tp>
        <v>3.13</v>
        <stp/>
        <stp>HIGH</stp>
        <stp>.TAN201120C75</stp>
        <tr r="J670" s="1"/>
      </tp>
      <tp t="s">
        <v>N/A</v>
        <stp/>
        <stp>HIGH</stp>
        <stp>.TAN201120C76</stp>
        <tr r="J674" s="1"/>
      </tp>
      <tp>
        <v>2.0499999999999998</v>
        <stp/>
        <stp>HIGH</stp>
        <stp>.TAN201120C77</stp>
        <tr r="J678" s="1"/>
      </tp>
      <tp t="s">
        <v>N/A</v>
        <stp/>
        <stp>OPEN</stp>
        <stp>.VGK201120C57</stp>
        <tr r="L722" s="1"/>
      </tp>
      <tp t="s">
        <v>N/A</v>
        <stp/>
        <stp>THETA</stp>
        <stp>.DRIP201120P45</stp>
        <tr r="O83" s="1"/>
      </tp>
      <tp t="s">
        <v>N/A</v>
        <stp/>
        <stp>DELTA</stp>
        <stp>.ACWX201120C50</stp>
        <tr r="M13" s="1"/>
      </tp>
      <tp t="s">
        <v>N/A</v>
        <stp/>
        <stp>STRIKE</stp>
        <stp>SH</stp>
        <tr r="W542" s="1"/>
      </tp>
      <tp t="s">
        <v>N/A</v>
        <stp/>
        <stp>PUT_CALL_RATIO</stp>
        <stp>.IVW201120P61.25</stp>
        <tr r="C332" s="1"/>
      </tp>
      <tp t="s">
        <v>N/A</v>
        <stp/>
        <stp>PUT_CALL_RATIO</stp>
        <stp>.SMH201120P194.5</stp>
        <tr r="C561" s="1"/>
      </tp>
      <tp t="s">
        <v>N/A</v>
        <stp/>
        <stp>STRIKE</stp>
        <stp>.MDY201120C387.5</stp>
        <tr r="W421" s="1"/>
      </tp>
      <tp t="s">
        <v>N/A</v>
        <stp/>
        <stp>DELTA</stp>
        <stp>.SPDW201120P32</stp>
        <tr r="M580" s="1"/>
      </tp>
      <tp t="s">
        <v>N/A</v>
        <stp/>
        <stp>THETA</stp>
        <stp>.VCIT201120P96</stp>
        <tr r="O703" s="1"/>
      </tp>
      <tp>
        <v>1.53</v>
        <stp/>
        <stp>HIGH</stp>
        <stp>.KRE201120P46</stp>
        <tr r="J390" s="1"/>
      </tp>
      <tp>
        <v>2.12</v>
        <stp/>
        <stp>HIGH</stp>
        <stp>.KRE201120P47</stp>
        <tr r="J394" s="1"/>
      </tp>
      <tp t="s">
        <v>N/A</v>
        <stp/>
        <stp>STRIKE</stp>
        <stp>VT</stp>
        <tr r="W734" s="1"/>
      </tp>
      <tp t="s">
        <v>N/A</v>
        <stp/>
        <stp>OPEN</stp>
        <stp>.ITB201120P55</stp>
        <tr r="L292" s="1"/>
      </tp>
      <tp t="s">
        <v>N/A</v>
        <stp/>
        <stp>OPEN</stp>
        <stp>.ITB201120P56</stp>
        <tr r="L296" s="1"/>
      </tp>
      <tp t="s">
        <v>N/A</v>
        <stp/>
        <stp>HIGH</stp>
        <stp>.SRVR201120C35</stp>
        <tr r="J638" s="1"/>
      </tp>
      <tp t="s">
        <v>N/A</v>
        <stp/>
        <stp>HIGH</stp>
        <stp>.SRVR201120C36</stp>
        <tr r="J640" s="1"/>
      </tp>
      <tp t="s">
        <v>N/A</v>
        <stp/>
        <stp>GAMMA</stp>
        <stp>.EWY201120C73.5</stp>
        <tr r="N170" s="1"/>
      </tp>
      <tp t="s">
        <v>N/A</v>
        <stp/>
        <stp>GAMMA</stp>
        <stp>.EWJ201120C63.5</stp>
        <tr r="N138" s="1"/>
      </tp>
      <tp t="s">
        <v>N/A</v>
        <stp/>
        <stp>GAMMA</stp>
        <stp>.EWY201120P73.5</stp>
        <tr r="N171" s="1"/>
      </tp>
      <tp t="s">
        <v>N/A</v>
        <stp/>
        <stp>GAMMA</stp>
        <stp>.EWJ201120P63.5</stp>
        <tr r="N139" s="1"/>
      </tp>
      <tp>
        <v>0</v>
        <stp/>
        <stp>OPEN</stp>
        <stp>.PDBC201120P14</stp>
        <tr r="L453" s="1"/>
      </tp>
      <tp t="s">
        <v>N/A</v>
        <stp/>
        <stp>DELTA</stp>
        <stp>.SSO201120C82.5</stp>
        <tr r="M649" s="1"/>
      </tp>
      <tp t="s">
        <v>N/A</v>
        <stp/>
        <stp>DELTA</stp>
        <stp>.SSO201120P82.5</stp>
        <tr r="M650" s="1"/>
      </tp>
      <tp t="s">
        <v>N/A</v>
        <stp/>
        <stp>DELTA</stp>
        <stp>.RSX201120C22.5</stp>
        <tr r="M515" s="1"/>
      </tp>
      <tp t="s">
        <v>N/A</v>
        <stp/>
        <stp>VEGA</stp>
        <stp>.SCHP201120C61</stp>
        <tr r="P532" s="1"/>
      </tp>
      <tp t="s">
        <v>N/A</v>
        <stp/>
        <stp>DELTA</stp>
        <stp>.RSX201120P22.5</stp>
        <tr r="M516" s="1"/>
      </tp>
      <tp t="s">
        <v>N/A</v>
        <stp/>
        <stp>VEGA</stp>
        <stp>.ASHR201120C38</stp>
        <tr r="P46" s="1"/>
      </tp>
      <tp t="s">
        <v>N/A</v>
        <stp/>
        <stp>DELTA</stp>
        <stp>.TAN201120P72.5</stp>
        <tr r="M661" s="1"/>
      </tp>
      <tp t="s">
        <v>N/A</v>
        <stp/>
        <stp>DELTA</stp>
        <stp>.TAN201120C72.5</stp>
        <tr r="M660" s="1"/>
      </tp>
      <tp>
        <v>0.45</v>
        <stp/>
        <stp>LAST</stp>
        <stp>.DGRO201120C43</stp>
        <tr r="E60" s="1"/>
      </tp>
      <tp t="s">
        <v>N/A</v>
        <stp/>
        <stp>GAMMA</stp>
        <stp>.SSO201120C83.5</stp>
        <tr r="N653" s="1"/>
      </tp>
      <tp t="s">
        <v>N/A</v>
        <stp/>
        <stp>GAMMA</stp>
        <stp>.SDS201120P13.5</stp>
        <tr r="N539" s="1"/>
      </tp>
      <tp t="s">
        <v>N/A</v>
        <stp/>
        <stp>GAMMA</stp>
        <stp>.SSO201120P83.5</stp>
        <tr r="N654" s="1"/>
      </tp>
      <tp t="s">
        <v>N/A</v>
        <stp/>
        <stp>GAMMA</stp>
        <stp>.SDS201120C13.5</stp>
        <tr r="N538" s="1"/>
      </tp>
      <tp t="s">
        <v>N/A</v>
        <stp/>
        <stp>GAMMA</stp>
        <stp>.TAN201120P73.5</stp>
        <tr r="N665" s="1"/>
      </tp>
      <tp>
        <v>1.53</v>
        <stp/>
        <stp>HIGH</stp>
        <stp>.KWEB201120P74</stp>
        <tr r="J403" s="1"/>
      </tp>
      <tp t="s">
        <v>N/A</v>
        <stp/>
        <stp>HIGH</stp>
        <stp>.KWEB201120P73</stp>
        <tr r="J401" s="1"/>
      </tp>
      <tp t="s">
        <v>N/A</v>
        <stp/>
        <stp>HIGH</stp>
        <stp>.KWEB201120P72</stp>
        <tr r="J399" s="1"/>
      </tp>
      <tp t="s">
        <v>N/A</v>
        <stp/>
        <stp>GAMMA</stp>
        <stp>.TAN201120C73.5</stp>
        <tr r="N664" s="1"/>
      </tp>
      <tp>
        <v>0.2</v>
        <stp/>
        <stp>LOW</stp>
        <stp>.SH201120C19</stp>
        <tr r="K543" s="1"/>
      </tp>
      <tp t="s">
        <v>N/A</v>
        <stp/>
        <stp>GAMMA</stp>
        <stp>.XLC201120P63.5</stp>
        <tr r="N800" s="1"/>
      </tp>
      <tp t="s">
        <v>N/A</v>
        <stp/>
        <stp>GAMMA</stp>
        <stp>.XLE201120P33.5</stp>
        <tr r="N805" s="1"/>
      </tp>
      <tp t="s">
        <v>N/A</v>
        <stp/>
        <stp>VEGA</stp>
        <stp>.SCHF201120C34</stp>
        <tr r="P529" s="1"/>
      </tp>
      <tp t="s">
        <v>N/A</v>
        <stp/>
        <stp>GAMMA</stp>
        <stp>.XLC201120C63.5</stp>
        <tr r="N799" s="1"/>
      </tp>
      <tp t="s">
        <v>N/A</v>
        <stp/>
        <stp>GAMMA</stp>
        <stp>.XLE201120C33.5</stp>
        <tr r="N804" s="1"/>
      </tp>
      <tp t="s">
        <v>N/A</v>
        <stp/>
        <stp>VEGA</stp>
        <stp>.SCHE201120C29</stp>
        <tr r="P526" s="1"/>
      </tp>
      <tp t="s">
        <v>N/A</v>
        <stp/>
        <stp>VEGA</stp>
        <stp>.SPHD201120C36</stp>
        <tr r="P582" s="1"/>
      </tp>
      <tp t="s">
        <v>N/A</v>
        <stp/>
        <stp>DELTA</stp>
        <stp>.EWY201120C72.5</stp>
        <tr r="M166" s="1"/>
      </tp>
      <tp t="s">
        <v>N/A</v>
        <stp/>
        <stp>VEGA</stp>
        <stp>.MCHI201120C80</stp>
        <tr r="P412" s="1"/>
      </tp>
      <tp t="s">
        <v>N/A</v>
        <stp/>
        <stp>DELTA</stp>
        <stp>.EWY201120P72.5</stp>
        <tr r="M167" s="1"/>
      </tp>
      <tp>
        <v>0.75</v>
        <stp/>
        <stp>HIGH</stp>
        <stp>.DFEN201120P13</stp>
        <tr r="J56" s="1"/>
      </tp>
      <tp>
        <v>1.25</v>
        <stp/>
        <stp>HIGH</stp>
        <stp>.DFEN201120P14</stp>
        <tr r="J58" s="1"/>
      </tp>
      <tp t="s">
        <v>N/A</v>
        <stp/>
        <stp>VEGA</stp>
        <stp>.SCHD201120C61</stp>
        <tr r="P521" s="1"/>
      </tp>
      <tp t="s">
        <v>N/A</v>
        <stp/>
        <stp>VEGA</stp>
        <stp>.SCHD201120C62</stp>
        <tr r="P523" s="1"/>
      </tp>
      <tp>
        <v>0.57999999999999996</v>
        <stp/>
        <stp>LAST</stp>
        <stp>.XLRE201120C37</stp>
        <tr r="E847" s="1"/>
      </tp>
      <tp t="s">
        <v>N/A</v>
        <stp/>
        <stp>EXTRINSIC</stp>
        <stp>.QLD201120P96</stp>
        <tr r="S464" s="1"/>
      </tp>
      <tp t="s">
        <v>N/A</v>
        <stp/>
        <stp>EXTRINSIC</stp>
        <stp>.QLD201120P97</stp>
        <tr r="S466" s="1"/>
      </tp>
      <tp t="s">
        <v>N/A</v>
        <stp/>
        <stp>EXTRINSIC</stp>
        <stp>.QLD201120P98</stp>
        <tr r="S468" s="1"/>
      </tp>
      <tp t="s">
        <v>N/A</v>
        <stp/>
        <stp>EXTRINSIC</stp>
        <stp>.QLD201120P99</stp>
        <tr r="S470" s="1"/>
      </tp>
      <tp t="s">
        <v>N/A</v>
        <stp/>
        <stp>GAMMA</stp>
        <stp>.VT201120P86</stp>
        <tr r="N736" s="1"/>
      </tp>
      <tp t="s">
        <v>N/A</v>
        <stp/>
        <stp>GAMMA</stp>
        <stp>.VT201120P87</stp>
        <tr r="N738" s="1"/>
      </tp>
      <tp t="s">
        <v>N/A</v>
        <stp/>
        <stp>INTRINSIC</stp>
        <stp>.RSX201120C22</stp>
        <tr r="R513" s="1"/>
      </tp>
      <tp t="s">
        <v>N/A</v>
        <stp/>
        <stp>INTRINSIC</stp>
        <stp>.XBI201120C125.5</stp>
        <tr r="R778" s="1"/>
      </tp>
      <tp t="s">
        <v>N/A</v>
        <stp/>
        <stp>EXTRINSIC</stp>
        <stp>.XLB201120P70</stp>
        <tr r="S795" s="1"/>
      </tp>
      <tp t="s">
        <v>N/A</v>
        <stp/>
        <stp>EXTRINSIC</stp>
        <stp>.XLC201120P63</stp>
        <tr r="S798" s="1"/>
      </tp>
      <tp t="s">
        <v>N/A</v>
        <stp/>
        <stp>EXTRINSIC</stp>
        <stp>.XLC201120P64</stp>
        <tr r="S802" s="1"/>
      </tp>
      <tp t="s">
        <v>N/A</v>
        <stp/>
        <stp>EXTRINSIC</stp>
        <stp>.ILF201120P25</stp>
        <tr r="S279" s="1"/>
      </tp>
      <tp t="s">
        <v>N/A</v>
        <stp/>
        <stp>EXTRINSIC</stp>
        <stp>.XLF201120P27</stp>
        <tr r="S812" s="1"/>
      </tp>
      <tp t="s">
        <v>N/A</v>
        <stp/>
        <stp>EXTRINSIC</stp>
        <stp>.XLB201120P69</stp>
        <tr r="S791" s="1"/>
      </tp>
      <tp t="s">
        <v>N/A</v>
        <stp/>
        <stp>EXTRINSIC</stp>
        <stp>.XBI201120C125.5</stp>
        <tr r="S778" s="1"/>
      </tp>
      <tp t="s">
        <v>N/A</v>
        <stp/>
        <stp>EXTRINSIC</stp>
        <stp>.XLE201120P34</stp>
        <tr r="S807" s="1"/>
      </tp>
      <tp t="s">
        <v>N/A</v>
        <stp/>
        <stp>EXTRINSIC</stp>
        <stp>.XLI201120P84</stp>
        <tr r="S815" s="1"/>
      </tp>
      <tp t="s">
        <v>N/A</v>
        <stp/>
        <stp>EXTRINSIC</stp>
        <stp>.XLI201120P85</stp>
        <tr r="S819" s="1"/>
      </tp>
      <tp t="s">
        <v>N/A</v>
        <stp/>
        <stp>EXTRINSIC</stp>
        <stp>.XLI201120P86</stp>
        <tr r="S823" s="1"/>
      </tp>
      <tp t="s">
        <v>N/A</v>
        <stp/>
        <stp>PROB_OF_EXPIRING</stp>
        <stp>IGIB</stp>
        <tr r="T261" s="1"/>
      </tp>
      <tp t="s">
        <v>N/A</v>
        <stp/>
        <stp>PROB_OF_EXPIRING</stp>
        <stp>VGIT</stp>
        <tr r="T718" s="1"/>
      </tp>
      <tp t="s">
        <v>N/A</v>
        <stp/>
        <stp>PROB_OTM</stp>
        <stp>BKLN</stp>
        <tr r="U48" s="1"/>
      </tp>
      <tp t="s">
        <v>N/A</v>
        <stp/>
        <stp>INTRINSIC</stp>
        <stp>.XBI201120P125.5</stp>
        <tr r="R779" s="1"/>
      </tp>
      <tp t="s">
        <v>N/A</v>
        <stp/>
        <stp>PROB_OF_EXPIRING</stp>
        <stp>DGRO</stp>
        <tr r="T59" s="1"/>
      </tp>
      <tp t="s">
        <v>N/A</v>
        <stp/>
        <stp>EXTRINSIC</stp>
        <stp>.XBI201120P125.5</stp>
        <tr r="S779" s="1"/>
      </tp>
      <tp t="s">
        <v>N/A</v>
        <stp/>
        <stp>EXTRINSIC</stp>
        <stp>.XLP201120P67</stp>
        <tr r="S845" s="1"/>
      </tp>
      <tp t="s">
        <v>N/A</v>
        <stp/>
        <stp>INTRINSIC</stp>
        <stp>.SSO201120C81</stp>
        <tr r="R643" s="1"/>
      </tp>
      <tp t="s">
        <v>N/A</v>
        <stp/>
        <stp>INTRINSIC</stp>
        <stp>.SSO201120C82</stp>
        <tr r="R647" s="1"/>
      </tp>
      <tp t="s">
        <v>N/A</v>
        <stp/>
        <stp>INTRINSIC</stp>
        <stp>.SSO201120C83</stp>
        <tr r="R651" s="1"/>
      </tp>
      <tp t="s">
        <v>N/A</v>
        <stp/>
        <stp>INTRINSIC</stp>
        <stp>.SSO201120C84</stp>
        <tr r="R655" s="1"/>
      </tp>
      <tp t="s">
        <v>N/A</v>
        <stp/>
        <stp>EXTRINSIC</stp>
        <stp>.XLU201120P66</stp>
        <tr r="S851" s="1"/>
      </tp>
      <tp t="s">
        <v>N/A</v>
        <stp/>
        <stp>EXTRINSIC</stp>
        <stp>.XLU201120P67</stp>
        <tr r="S855" s="1"/>
      </tp>
      <tp t="s">
        <v>N/A</v>
        <stp/>
        <stp>PROB_OF_EXPIRING</stp>
        <stp>.QUAL201120P110</stp>
        <tr r="T500" s="1"/>
      </tp>
      <tp t="s">
        <v>N/A</v>
        <stp/>
        <stp>PROB_OF_EXPIRING</stp>
        <stp>.QUAL201120C110</stp>
        <tr r="T499" s="1"/>
      </tp>
      <tp t="s">
        <v>N/A</v>
        <stp/>
        <stp>PROB_OF_EXPIRING</stp>
        <stp>.QUAL201120P111</stp>
        <tr r="T502" s="1"/>
      </tp>
      <tp t="s">
        <v>N/A</v>
        <stp/>
        <stp>PROB_OF_EXPIRING</stp>
        <stp>.QUAL201120C111</stp>
        <tr r="T501" s="1"/>
      </tp>
      <tp t="s">
        <v>N/A</v>
        <stp/>
        <stp>PROB_OF_EXPIRING</stp>
        <stp>.QUAL201120P112</stp>
        <tr r="T504" s="1"/>
      </tp>
      <tp t="s">
        <v>N/A</v>
        <stp/>
        <stp>PROB_OF_EXPIRING</stp>
        <stp>.QUAL201120C112</stp>
        <tr r="T503" s="1"/>
      </tp>
      <tp t="s">
        <v>N/A</v>
        <stp/>
        <stp>THETA</stp>
        <stp>.SHYG201120C45</stp>
        <tr r="O549" s="1"/>
      </tp>
      <tp t="s">
        <v>N/A</v>
        <stp/>
        <stp>PUT_CALL_RATIO</stp>
        <stp>.SPY201120P357.5</stp>
        <tr r="C620" s="1"/>
      </tp>
      <tp t="s">
        <v>N/A</v>
        <stp/>
        <stp>THETA</stp>
        <stp>.SPYG201120C52</stp>
        <tr r="O630" s="1"/>
      </tp>
      <tp t="s">
        <v>N/A</v>
        <stp/>
        <stp>THETA</stp>
        <stp>.SPYG201120C53</stp>
        <tr r="O632" s="1"/>
      </tp>
      <tp>
        <v>1.05</v>
        <stp/>
        <stp>OPEN</stp>
        <stp>.EWZ201120P32</stp>
        <tr r="L176" s="1"/>
      </tp>
      <tp>
        <v>1.54</v>
        <stp/>
        <stp>OPEN</stp>
        <stp>.GDX201120C37</stp>
        <tr r="L198" s="1"/>
      </tp>
      <tp t="s">
        <v>N/A</v>
        <stp/>
        <stp>VEGA</stp>
        <stp>.DXD201120P14</stp>
        <tr r="P93" s="1"/>
      </tp>
      <tp t="s">
        <v>N/A</v>
        <stp/>
        <stp>VOLUME</stp>
        <stp>.MDY201120C387.5</stp>
        <tr r="F421" s="1"/>
      </tp>
      <tp t="s">
        <v>N/A</v>
        <stp/>
        <stp>OPEN</stp>
        <stp>.EWY201120P73</stp>
        <tr r="L169" s="1"/>
      </tp>
      <tp t="s">
        <v>N/A</v>
        <stp/>
        <stp>OPEN</stp>
        <stp>.EWY201120P72</stp>
        <tr r="L165" s="1"/>
      </tp>
      <tp t="s">
        <v>N/A</v>
        <stp/>
        <stp>VEGA</stp>
        <stp>.PXH201120P19</stp>
        <tr r="P459" s="1"/>
      </tp>
      <tp>
        <v>0</v>
        <stp/>
        <stp>OPEN</stp>
        <stp>.EWT201120P48</stp>
        <tr r="L150" s="1"/>
      </tp>
      <tp t="s">
        <v>N/A</v>
        <stp/>
        <stp>HIGH</stp>
        <stp>.TBT201120C17</stp>
        <tr r="J684" s="1"/>
      </tp>
      <tp>
        <v>0.34</v>
        <stp/>
        <stp>OPEN</stp>
        <stp>.SDS201120C14</stp>
        <tr r="L540" s="1"/>
      </tp>
      <tp t="s">
        <v>N/A</v>
        <stp/>
        <stp>OPEN</stp>
        <stp>.EWP201120P26</stp>
        <tr r="L147" s="1"/>
      </tp>
      <tp t="s">
        <v>N/A</v>
        <stp/>
        <stp>STRIKE</stp>
        <stp>.LQD201120C135.5</stp>
        <tr r="W409" s="1"/>
      </tp>
      <tp t="s">
        <v>N/A</v>
        <stp/>
        <stp>STRIKE</stp>
        <stp>.IBB201120P140.5</stp>
        <tr r="W240" s="1"/>
      </tp>
      <tp t="s">
        <v>N/A</v>
        <stp/>
        <stp>VEGA</stp>
        <stp>.PXH201120P20</stp>
        <tr r="P461" s="1"/>
      </tp>
      <tp t="s">
        <v>N/A</v>
        <stp/>
        <stp>VEGA</stp>
        <stp>.FXI201120P48</stp>
        <tr r="P194" s="1"/>
      </tp>
      <tp t="s">
        <v>N/A</v>
        <stp/>
        <stp>VEGA</stp>
        <stp>.FXI201120P47</stp>
        <tr r="P190" s="1"/>
      </tp>
      <tp>
        <v>0.71</v>
        <stp/>
        <stp>OPEN</stp>
        <stp>.EWW201120P39</stp>
        <tr r="L158" s="1"/>
      </tp>
      <tp t="s">
        <v>N/A</v>
        <stp/>
        <stp>PUT_CALL_RATIO</stp>
        <stp>.SMH201120C197.5</stp>
        <tr r="C572" s="1"/>
      </tp>
      <tp t="s">
        <v>N/A</v>
        <stp/>
        <stp>OPEN</stp>
        <stp>.EWL201120P43</stp>
        <tr r="L144" s="1"/>
      </tp>
      <tp t="s">
        <v>N/A</v>
        <stp/>
        <stp>PUT_CALL_RATIO</stp>
        <stp>.SPY201120C357.5</stp>
        <tr r="C619" s="1"/>
      </tp>
      <tp t="s">
        <v>N/A</v>
        <stp/>
        <stp>OPEN</stp>
        <stp>.EWH201120P24</stp>
        <tr r="L131" s="1"/>
      </tp>
      <tp>
        <v>0</v>
        <stp/>
        <stp>OPEN</stp>
        <stp>.EWI201120P27</stp>
        <tr r="L134" s="1"/>
      </tp>
      <tp t="s">
        <v>N/A</v>
        <stp/>
        <stp>OPEN</stp>
        <stp>.VWO201120P47</stp>
        <tr r="L752" s="1"/>
      </tp>
      <tp t="s">
        <v>N/A</v>
        <stp/>
        <stp>OPEN</stp>
        <stp>.EWJ201120P63</stp>
        <tr r="L137" s="1"/>
      </tp>
      <tp t="s">
        <v>N/A</v>
        <stp/>
        <stp>OPEN</stp>
        <stp>.EWJ201120P64</stp>
        <tr r="L141" s="1"/>
      </tp>
      <tp t="s">
        <v>N/A</v>
        <stp/>
        <stp>VOLUME</stp>
        <stp>.MDY201120P387.5</stp>
        <tr r="F422" s="1"/>
      </tp>
      <tp t="s">
        <v>N/A</v>
        <stp/>
        <stp>THETA</stp>
        <stp>.SPYV201120C33</stp>
        <tr r="O635" s="1"/>
      </tp>
      <tp>
        <v>0</v>
        <stp/>
        <stp>OPEN</stp>
        <stp>.RWM201120P29</stp>
        <tr r="L519" s="1"/>
      </tp>
      <tp t="s">
        <v>N/A</v>
        <stp/>
        <stp>STRIKE</stp>
        <stp>.LQD201120P135.5</stp>
        <tr r="W410" s="1"/>
      </tp>
      <tp t="s">
        <v>N/A</v>
        <stp/>
        <stp>STRIKE</stp>
        <stp>.IBB201120C140.5</stp>
        <tr r="W239" s="1"/>
      </tp>
      <tp t="s">
        <v>N/A</v>
        <stp/>
        <stp>HIGH</stp>
        <stp>.TBF201120C16</stp>
        <tr r="J681" s="1"/>
      </tp>
      <tp t="s">
        <v>N/A</v>
        <stp/>
        <stp>HIGH</stp>
        <stp>.KBE201120C38</stp>
        <tr r="J386" s="1"/>
      </tp>
      <tp t="s">
        <v>N/A</v>
        <stp/>
        <stp>OPEN</stp>
        <stp>.EWC201120P29</stp>
        <tr r="L125" s="1"/>
      </tp>
      <tp t="s">
        <v>N/A</v>
        <stp/>
        <stp>DELTA</stp>
        <stp>.JETS201120C20</stp>
        <tr r="M378" s="1"/>
      </tp>
      <tp t="s">
        <v>N/A</v>
        <stp/>
        <stp>OPEN</stp>
        <stp>.EWA201120P22</stp>
        <tr r="L122" s="1"/>
      </tp>
      <tp t="s">
        <v>N/A</v>
        <stp/>
        <stp>PUT_CALL_RATIO</stp>
        <stp>.SMH201120P197.5</stp>
        <tr r="C573" s="1"/>
      </tp>
      <tp>
        <v>0.86</v>
        <stp/>
        <stp>LAST</stp>
        <stp>.XME201120P27</stp>
        <tr r="E888" s="1"/>
      </tp>
      <tp t="s">
        <v>N/A</v>
        <stp/>
        <stp>OPEN</stp>
        <stp>.EWG201120P30</stp>
        <tr r="L128" s="1"/>
      </tp>
      <tp t="s">
        <v>N/A</v>
        <stp/>
        <stp>THETA</stp>
        <stp>.XLB201120C68.5</stp>
        <tr r="O788" s="1"/>
      </tp>
      <tp t="s">
        <v>N/A</v>
        <stp/>
        <stp>THETA</stp>
        <stp>.XOP201120C48.5</stp>
        <tr r="O896" s="1"/>
      </tp>
      <tp t="s">
        <v>N/A</v>
        <stp/>
        <stp>THETA</stp>
        <stp>.XOP201120P48.5</stp>
        <tr r="O897" s="1"/>
      </tp>
      <tp t="s">
        <v>N/A</v>
        <stp/>
        <stp>THETA</stp>
        <stp>.XLB201120P68.5</stp>
        <tr r="O789" s="1"/>
      </tp>
      <tp>
        <v>0</v>
        <stp/>
        <stp>OPEN</stp>
        <stp>.DGRO201120C43</stp>
        <tr r="L60" s="1"/>
      </tp>
      <tp>
        <v>0</v>
        <stp/>
        <stp>HIGH</stp>
        <stp>.IXUS201120C63</stp>
        <tr r="J361" s="1"/>
      </tp>
      <tp t="s">
        <v>N/A</v>
        <stp/>
        <stp>HIGH</stp>
        <stp>.VXUS201120C56</stp>
        <tr r="J754" s="1"/>
      </tp>
      <tp t="s">
        <v>N/A</v>
        <stp/>
        <stp>HIGH</stp>
        <stp>.VXUS201120C57</stp>
        <tr r="J756" s="1"/>
      </tp>
      <tp t="s">
        <v>N/A</v>
        <stp/>
        <stp>DELTA</stp>
        <stp>.SSO201120C81.5</stp>
        <tr r="M645" s="1"/>
      </tp>
      <tp t="s">
        <v>N/A</v>
        <stp/>
        <stp>DELTA</stp>
        <stp>.SSO201120P81.5</stp>
        <tr r="M646" s="1"/>
      </tp>
      <tp>
        <v>0</v>
        <stp/>
        <stp>OPEN</stp>
        <stp>.XLRE201120C37</stp>
        <tr r="L847" s="1"/>
      </tp>
      <tp>
        <v>0.35</v>
        <stp/>
        <stp>BID</stp>
        <stp>.VT201120C87</stp>
        <tr r="H737" s="1"/>
      </tp>
      <tp>
        <v>0.8</v>
        <stp/>
        <stp>BID</stp>
        <stp>.VT201120C86</stp>
        <tr r="H735" s="1"/>
      </tp>
      <tp t="s">
        <v>N/A</v>
        <stp/>
        <stp>VEGA</stp>
        <stp>.GDXJ201120P53</stp>
        <tr r="P208" s="1"/>
      </tp>
      <tp t="s">
        <v>N/A</v>
        <stp/>
        <stp>VEGA</stp>
        <stp>.GDXJ201120P52</stp>
        <tr r="P204" s="1"/>
      </tp>
      <tp t="s">
        <v>N/A</v>
        <stp/>
        <stp>VEGA</stp>
        <stp>.GDXJ201120P54</stp>
        <tr r="P212" s="1"/>
      </tp>
      <tp t="s">
        <v>N/A</v>
        <stp/>
        <stp>HIGH</stp>
        <stp>.IEFA201120P66</stp>
        <tr r="J255" s="1"/>
      </tp>
      <tp t="s">
        <v>N/A</v>
        <stp/>
        <stp>HIGH</stp>
        <stp>.IEFA201120P65</stp>
        <tr r="J253" s="1"/>
      </tp>
      <tp>
        <v>0</v>
        <stp/>
        <stp>LAST</stp>
        <stp>.PDBC201120P14</stp>
        <tr r="E453" s="1"/>
      </tp>
      <tp t="s">
        <v>N/A</v>
        <stp/>
        <stp>THETA</stp>
        <stp>.EEM201120C48.5</stp>
        <tr r="O99" s="1"/>
      </tp>
      <tp t="s">
        <v>N/A</v>
        <stp/>
        <stp>THETA</stp>
        <stp>.EWW201120P38.5</stp>
        <tr r="O156" s="1"/>
      </tp>
      <tp t="s">
        <v>N/A</v>
        <stp/>
        <stp>THETA</stp>
        <stp>.EWU201120P28.5</stp>
        <tr r="O153" s="1"/>
      </tp>
      <tp t="s">
        <v>N/A</v>
        <stp/>
        <stp>DELTA</stp>
        <stp>.EWY201120C71.5</stp>
        <tr r="M162" s="1"/>
      </tp>
      <tp t="s">
        <v>N/A</v>
        <stp/>
        <stp>DELTA</stp>
        <stp>.EWZ201120C31.5</stp>
        <tr r="M173" s="1"/>
      </tp>
      <tp t="s">
        <v>N/A</v>
        <stp/>
        <stp>DELTA</stp>
        <stp>.EWY201120P71.5</stp>
        <tr r="M163" s="1"/>
      </tp>
      <tp t="s">
        <v>N/A</v>
        <stp/>
        <stp>DELTA</stp>
        <stp>.EWZ201120P31.5</stp>
        <tr r="M174" s="1"/>
      </tp>
      <tp t="s">
        <v>N/A</v>
        <stp/>
        <stp>THETA</stp>
        <stp>.EWW201120C38.5</stp>
        <tr r="O155" s="1"/>
      </tp>
      <tp t="s">
        <v>N/A</v>
        <stp/>
        <stp>THETA</stp>
        <stp>.EWU201120C28.5</stp>
        <tr r="O152" s="1"/>
      </tp>
      <tp t="s">
        <v>N/A</v>
        <stp/>
        <stp>THETA</stp>
        <stp>.EEM201120P48.5</stp>
        <tr r="O100" s="1"/>
      </tp>
      <tp>
        <v>0.45</v>
        <stp/>
        <stp>HIGH</stp>
        <stp>.EUFN201120P16</stp>
        <tr r="J119" s="1"/>
      </tp>
      <tp t="s">
        <v>N/A</v>
        <stp/>
        <stp>VEGA</stp>
        <stp>.ARKK201120C99</stp>
        <tr r="P30" s="1"/>
      </tp>
      <tp t="s">
        <v>N/A</v>
        <stp/>
        <stp>VEGA</stp>
        <stp>.ARKK201120C98</stp>
        <tr r="P28" s="1"/>
      </tp>
      <tp t="s">
        <v>N/A</v>
        <stp/>
        <stp>VEGA</stp>
        <stp>.ARKK201120C97</stp>
        <tr r="P26" s="1"/>
      </tp>
      <tp t="s">
        <v>N/A</v>
        <stp/>
        <stp>VEGA</stp>
        <stp>.AAXJ201120P84</stp>
        <tr r="P6" s="1"/>
      </tp>
      <tp t="s">
        <v>N/A</v>
        <stp/>
        <stp>VEGA</stp>
        <stp>.AAXJ201120P83</stp>
        <tr r="P4" s="1"/>
      </tp>
      <tp>
        <v>0</v>
        <stp/>
        <stp>OPEN_INT</stp>
        <stp>IXUS</stp>
        <tr r="G360" s="1"/>
      </tp>
      <tp>
        <v>0</v>
        <stp/>
        <stp>OPEN_INT</stp>
        <stp>VXUS</stp>
        <tr r="G753" s="1"/>
      </tp>
      <tp t="s">
        <v>N/A</v>
        <stp/>
        <stp>PROB_OF_TOUCHING</stp>
        <stp>NAIL</stp>
        <tr r="V438" s="1"/>
      </tp>
      <tp t="s">
        <v>N/A</v>
        <stp/>
        <stp>INTRINSIC</stp>
        <stp>.SCZ201120P63</stp>
        <tr r="R536" s="1"/>
      </tp>
      <tp t="s">
        <v>N/A</v>
        <stp/>
        <stp>PROB_OF_EXPIRING</stp>
        <stp>PDBC</stp>
        <tr r="T451" s="1"/>
      </tp>
      <tp t="s">
        <v>N/A</v>
        <stp/>
        <stp>INTRINSIC</stp>
        <stp>TAN</stp>
        <tr r="R659" s="1"/>
      </tp>
      <tp t="s">
        <v>N/A</v>
        <stp/>
        <stp>EXTRINSIC</stp>
        <stp>TAN</stp>
        <tr r="S659" s="1"/>
      </tp>
      <tp t="s">
        <v>N/A</v>
        <stp/>
        <stp>EXTRINSIC</stp>
        <stp>TBT</stp>
        <tr r="S683" s="1"/>
      </tp>
      <tp t="s">
        <v>N/A</v>
        <stp/>
        <stp>INTRINSIC</stp>
        <stp>TBT</stp>
        <tr r="R683" s="1"/>
      </tp>
      <tp t="s">
        <v>N/A</v>
        <stp/>
        <stp>EXTRINSIC</stp>
        <stp>TBF</stp>
        <tr r="S680" s="1"/>
      </tp>
      <tp t="s">
        <v>N/A</v>
        <stp/>
        <stp>INTRINSIC</stp>
        <stp>TBF</stp>
        <tr r="R680" s="1"/>
      </tp>
      <tp t="s">
        <v>N/A</v>
        <stp/>
        <stp>PROB_OF_TOUCHING</stp>
        <stp>AAXJ</stp>
        <tr r="V2" s="1"/>
      </tp>
      <tp t="s">
        <v>N/A</v>
        <stp/>
        <stp>EXTRINSIC</stp>
        <stp>TLT</stp>
        <tr r="S689" s="1"/>
      </tp>
      <tp t="s">
        <v>N/A</v>
        <stp/>
        <stp>INTRINSIC</stp>
        <stp>TLT</stp>
        <tr r="R689" s="1"/>
      </tp>
      <tp t="s">
        <v>N/A</v>
        <stp/>
        <stp>PROB_OTM</stp>
        <stp>SHYG</stp>
        <tr r="U548" s="1"/>
      </tp>
      <tp t="s">
        <v>N/A</v>
        <stp/>
        <stp>EXTRINSIC</stp>
        <stp>.XOP201120P47</stp>
        <tr r="S891" s="1"/>
      </tp>
      <tp t="s">
        <v>N/A</v>
        <stp/>
        <stp>EXTRINSIC</stp>
        <stp>.XOP201120P48</stp>
        <tr r="S895" s="1"/>
      </tp>
      <tp t="s">
        <v>N/A</v>
        <stp/>
        <stp>EXTRINSIC</stp>
        <stp>.XOP201120P49</stp>
        <tr r="S899" s="1"/>
      </tp>
      <tp t="s">
        <v>32.30%</v>
        <stp/>
        <stp>IMPL_VOL</stp>
        <stp>XLRE</stp>
        <tr r="D846" s="1"/>
      </tp>
      <tp t="s">
        <v>N/A</v>
        <stp/>
        <stp>EXTRINSIC</stp>
        <stp>TIP</stp>
        <tr r="S686" s="1"/>
      </tp>
      <tp t="s">
        <v>N/A</v>
        <stp/>
        <stp>INTRINSIC</stp>
        <stp>TIP</stp>
        <tr r="R686" s="1"/>
      </tp>
      <tp t="s">
        <v>N/A</v>
        <stp/>
        <stp>PROB_OF_EXPIRING</stp>
        <stp>GDXJ</stp>
        <tr r="T202" s="1"/>
      </tp>
      <tp t="s">
        <v>N/A</v>
        <stp/>
        <stp>THETA</stp>
        <stp>.ARKK201120P97</stp>
        <tr r="O27" s="1"/>
      </tp>
      <tp t="s">
        <v>N/A</v>
        <stp/>
        <stp>THETA</stp>
        <stp>.AAXJ201120C84</stp>
        <tr r="O5" s="1"/>
      </tp>
      <tp t="s">
        <v>N/A</v>
        <stp/>
        <stp>THETA</stp>
        <stp>.AAXJ201120C83</stp>
        <tr r="O3" s="1"/>
      </tp>
      <tp t="s">
        <v>N/A</v>
        <stp/>
        <stp>THETA</stp>
        <stp>.ARKK201120P98</stp>
        <tr r="O29" s="1"/>
      </tp>
      <tp t="s">
        <v>N/A</v>
        <stp/>
        <stp>THETA</stp>
        <stp>.ARKK201120P99</stp>
        <tr r="O31" s="1"/>
      </tp>
      <tp t="s">
        <v>N/A</v>
        <stp/>
        <stp>HIGH</stp>
        <stp>.SCZ201120C63</stp>
        <tr r="J535" s="1"/>
      </tp>
      <tp t="s">
        <v>N/A</v>
        <stp/>
        <stp>VEGA</stp>
        <stp>.VYM201120P88</stp>
        <tr r="P762" s="1"/>
      </tp>
      <tp t="s">
        <v>N/A</v>
        <stp/>
        <stp>VEGA</stp>
        <stp>.VYM201120P87</stp>
        <tr r="P760" s="1"/>
      </tp>
      <tp>
        <v>151</v>
        <stp/>
        <stp>VOLUME</stp>
        <stp>.IWM201120P172.5</stp>
        <tr r="F353" s="1"/>
      </tp>
      <tp t="s">
        <v>N/A</v>
        <stp/>
        <stp>DELTA</stp>
        <stp>.EUFN201120P16</stp>
        <tr r="M119" s="1"/>
      </tp>
      <tp t="s">
        <v>N/A</v>
        <stp/>
        <stp>VEGA</stp>
        <stp>.IYE201120P18</stp>
        <tr r="P365" s="1"/>
      </tp>
      <tp t="s">
        <v>N/A</v>
        <stp/>
        <stp>OPEN</stp>
        <stp>.FEZ201120C40</stp>
        <tr r="L183" s="1"/>
      </tp>
      <tp>
        <v>1.21</v>
        <stp/>
        <stp>LAST</stp>
        <stp>.XLU201120P66</stp>
        <tr r="E851" s="1"/>
      </tp>
      <tp>
        <v>1</v>
        <stp/>
        <stp>LAST</stp>
        <stp>.XLU201120P67</stp>
        <tr r="E855" s="1"/>
      </tp>
      <tp t="s">
        <v>N/A</v>
        <stp/>
        <stp>OPEN</stp>
        <stp>.DVY201120P91</stp>
        <tr r="L86" s="1"/>
      </tp>
      <tp>
        <v>0</v>
        <stp/>
        <stp>OPEN</stp>
        <stp>.DVY201120P93</stp>
        <tr r="L90" s="1"/>
      </tp>
      <tp t="s">
        <v>N/A</v>
        <stp/>
        <stp>OPEN</stp>
        <stp>.DVY201120P92</stp>
        <tr r="L88" s="1"/>
      </tp>
      <tp>
        <v>0</v>
        <stp/>
        <stp>OPEN</stp>
        <stp>.VEU201120C55</stp>
        <tr r="L711" s="1"/>
      </tp>
      <tp t="s">
        <v>N/A</v>
        <stp/>
        <stp>GAMMA</stp>
        <stp>.PDBC201120P14</stp>
        <tr r="N453" s="1"/>
      </tp>
      <tp t="s">
        <v>N/A</v>
        <stp/>
        <stp>STRIKE</stp>
        <stp>.LQD201120C134.5</stp>
        <tr r="W405" s="1"/>
      </tp>
      <tp t="s">
        <v>N/A</v>
        <stp/>
        <stp>STRIKE</stp>
        <stp>.IBB201120P141.5</stp>
        <tr r="W244" s="1"/>
      </tp>
      <tp t="s">
        <v>N/A</v>
        <stp/>
        <stp>THETA</stp>
        <stp>.GDXJ201120C52</stp>
        <tr r="O203" s="1"/>
      </tp>
      <tp t="s">
        <v>N/A</v>
        <stp/>
        <stp>THETA</stp>
        <stp>.GDXJ201120C53</stp>
        <tr r="O207" s="1"/>
      </tp>
      <tp t="s">
        <v>N/A</v>
        <stp/>
        <stp>THETA</stp>
        <stp>.GDXJ201120C54</stp>
        <tr r="O211" s="1"/>
      </tp>
      <tp t="s">
        <v>N/A</v>
        <stp/>
        <stp>DELTA</stp>
        <stp>.IEFA201120P66</stp>
        <tr r="M255" s="1"/>
      </tp>
      <tp t="s">
        <v>N/A</v>
        <stp/>
        <stp>DELTA</stp>
        <stp>.IEFA201120P65</stp>
        <tr r="M253" s="1"/>
      </tp>
      <tp>
        <v>1.1000000000000001</v>
        <stp/>
        <stp>LAST</stp>
        <stp>.XLP201120P67</stp>
        <tr r="E845" s="1"/>
      </tp>
      <tp t="s">
        <v>N/A</v>
        <stp/>
        <stp>VEGA</stp>
        <stp>.HYG201120P86</stp>
        <tr r="P224" s="1"/>
      </tp>
      <tp t="s">
        <v>N/A</v>
        <stp/>
        <stp>PUT_CALL_RATIO</stp>
        <stp>.SMH201120C196.5</stp>
        <tr r="C568" s="1"/>
      </tp>
      <tp>
        <v>0.59</v>
        <stp/>
        <stp>OPEN</stp>
        <stp>.EEM201120C48</stp>
        <tr r="L97" s="1"/>
      </tp>
      <tp>
        <v>2100</v>
        <stp/>
        <stp>VOLUME</stp>
        <stp>.IWM201120C172.5</stp>
        <tr r="F352" s="1"/>
      </tp>
      <tp>
        <v>3.2</v>
        <stp/>
        <stp>LAST</stp>
        <stp>.QLD201120P98</stp>
        <tr r="E468" s="1"/>
      </tp>
      <tp>
        <v>6.18</v>
        <stp/>
        <stp>LAST</stp>
        <stp>.QLD201120P99</stp>
        <tr r="E470" s="1"/>
      </tp>
      <tp>
        <v>2.5</v>
        <stp/>
        <stp>LAST</stp>
        <stp>.QLD201120P96</stp>
        <tr r="E464" s="1"/>
      </tp>
      <tp>
        <v>2.25</v>
        <stp/>
        <stp>LAST</stp>
        <stp>.QLD201120P97</stp>
        <tr r="E466" s="1"/>
      </tp>
      <tp t="s">
        <v>N/A</v>
        <stp/>
        <stp>STRIKE</stp>
        <stp>.LQD201120P134.5</stp>
        <tr r="W406" s="1"/>
      </tp>
      <tp t="s">
        <v>N/A</v>
        <stp/>
        <stp>STRIKE</stp>
        <stp>.IBB201120C141.5</stp>
        <tr r="W243" s="1"/>
      </tp>
      <tp t="s">
        <v>N/A</v>
        <stp/>
        <stp>LAST</stp>
        <stp>.XLI201120P84</stp>
        <tr r="E815" s="1"/>
      </tp>
      <tp>
        <v>1.88</v>
        <stp/>
        <stp>LAST</stp>
        <stp>.XLI201120P85</stp>
        <tr r="E819" s="1"/>
      </tp>
      <tp t="s">
        <v>N/A</v>
        <stp/>
        <stp>LAST</stp>
        <stp>.XLI201120P86</stp>
        <tr r="E823" s="1"/>
      </tp>
      <tp t="s">
        <v>N/A</v>
        <stp/>
        <stp>VEGA</stp>
        <stp>.IYR201120P84</stp>
        <tr r="P368" s="1"/>
      </tp>
      <tp t="s">
        <v>N/A</v>
        <stp/>
        <stp>VEGA</stp>
        <stp>.IYR201120P85</stp>
        <tr r="P372" s="1"/>
      </tp>
      <tp t="s">
        <v>N/A</v>
        <stp/>
        <stp>VEGA</stp>
        <stp>.IJR201120C80</stp>
        <tr r="P275" s="1"/>
      </tp>
      <tp t="s">
        <v>N/A</v>
        <stp/>
        <stp>PUT_CALL_RATIO</stp>
        <stp>.SMH201120P196.5</stp>
        <tr r="C569" s="1"/>
      </tp>
      <tp t="s">
        <v>N/A</v>
        <stp/>
        <stp>DELTA</stp>
        <stp>.VXUS201120C57</stp>
        <tr r="M756" s="1"/>
      </tp>
      <tp t="s">
        <v>N/A</v>
        <stp/>
        <stp>DELTA</stp>
        <stp>.VXUS201120C56</stp>
        <tr r="M754" s="1"/>
      </tp>
      <tp>
        <v>1.75</v>
        <stp/>
        <stp>LAST</stp>
        <stp>.XLE201120P34</stp>
        <tr r="E807" s="1"/>
      </tp>
      <tp>
        <v>0.4</v>
        <stp/>
        <stp>OPEN</stp>
        <stp>.VEA201120C44</stp>
        <tr r="L708" s="1"/>
      </tp>
      <tp t="s">
        <v>N/A</v>
        <stp/>
        <stp>LAST</stp>
        <stp>.XLB201120P70</stp>
        <tr r="E795" s="1"/>
      </tp>
      <tp t="s">
        <v>N/A</v>
        <stp/>
        <stp>LAST</stp>
        <stp>.XLC201120P63</stp>
        <tr r="E798" s="1"/>
      </tp>
      <tp t="s">
        <v>N/A</v>
        <stp/>
        <stp>LAST</stp>
        <stp>.XLC201120P64</stp>
        <tr r="E802" s="1"/>
      </tp>
      <tp t="s">
        <v>N/A</v>
        <stp/>
        <stp>DELTA</stp>
        <stp>.IXUS201120C63</stp>
        <tr r="M361" s="1"/>
      </tp>
      <tp>
        <v>1.79</v>
        <stp/>
        <stp>LAST</stp>
        <stp>.XLB201120P69</stp>
        <tr r="E791" s="1"/>
      </tp>
      <tp t="s">
        <v>N/A</v>
        <stp/>
        <stp>LAST</stp>
        <stp>.ILF201120P25</stp>
        <tr r="E279" s="1"/>
      </tp>
      <tp>
        <v>0.7</v>
        <stp/>
        <stp>LAST</stp>
        <stp>.XLF201120P27</stp>
        <tr r="E812" s="1"/>
      </tp>
      <tp t="s">
        <v>N/A</v>
        <stp/>
        <stp>OPEN</stp>
        <stp>.FVD201120P35</stp>
        <tr r="L187" s="1"/>
      </tp>
      <tp>
        <v>0.6</v>
        <stp/>
        <stp>HIGH</stp>
        <stp>.JETS201120C20</stp>
        <tr r="J378" s="1"/>
      </tp>
      <tp t="s">
        <v>N/A</v>
        <stp/>
        <stp>THETA</stp>
        <stp>.XLB201120C69.5</stp>
        <tr r="O792" s="1"/>
      </tp>
      <tp t="s">
        <v>N/A</v>
        <stp/>
        <stp>THETA</stp>
        <stp>.XOP201120C49.5</stp>
        <tr r="O900" s="1"/>
      </tp>
      <tp t="s">
        <v>N/A</v>
        <stp/>
        <stp>THETA</stp>
        <stp>.XOP201120P49.5</stp>
        <tr r="O901" s="1"/>
      </tp>
      <tp t="s">
        <v>N/A</v>
        <stp/>
        <stp>THETA</stp>
        <stp>.XLB201120P69.5</stp>
        <tr r="O793" s="1"/>
      </tp>
      <tp>
        <v>0.85</v>
        <stp/>
        <stp>OPEN</stp>
        <stp>.GUSH201120C28</stp>
        <tr r="L218" s="1"/>
      </tp>
      <tp>
        <v>1.05</v>
        <stp/>
        <stp>OPEN</stp>
        <stp>.GUSH201120C27</stp>
        <tr r="L216" s="1"/>
      </tp>
      <tp>
        <v>1.55</v>
        <stp/>
        <stp>OPEN</stp>
        <stp>.GUSH201120C26</stp>
        <tr r="L214" s="1"/>
      </tp>
      <tp t="s">
        <v>N/A</v>
        <stp/>
        <stp>GAMMA</stp>
        <stp>.EWZ201120C31.5</stp>
        <tr r="N173" s="1"/>
      </tp>
      <tp t="s">
        <v>N/A</v>
        <stp/>
        <stp>GAMMA</stp>
        <stp>.EWY201120C71.5</stp>
        <tr r="N162" s="1"/>
      </tp>
      <tp t="s">
        <v>N/A</v>
        <stp/>
        <stp>GAMMA</stp>
        <stp>.EWZ201120P31.5</stp>
        <tr r="N174" s="1"/>
      </tp>
      <tp t="s">
        <v>N/A</v>
        <stp/>
        <stp>GAMMA</stp>
        <stp>.EWY201120P71.5</stp>
        <tr r="N163" s="1"/>
      </tp>
      <tp t="s">
        <v>N/A</v>
        <stp/>
        <stp>VEGA</stp>
        <stp>.SPYV201120P33</stp>
        <tr r="P636" s="1"/>
      </tp>
      <tp>
        <v>0.4</v>
        <stp/>
        <stp>ASK</stp>
        <stp>.MJ201120C13</stp>
        <tr r="I424" s="1"/>
      </tp>
      <tp t="s">
        <v>N/A</v>
        <stp/>
        <stp>GAMMA</stp>
        <stp>.SSO201120C81.5</stp>
        <tr r="N645" s="1"/>
      </tp>
      <tp t="s">
        <v>N/A</v>
        <stp/>
        <stp>GAMMA</stp>
        <stp>.SSO201120P81.5</stp>
        <tr r="N646" s="1"/>
      </tp>
      <tp t="s">
        <v>N/A</v>
        <stp/>
        <stp>RHO</stp>
        <stp>.VT201120C87</stp>
        <tr r="Q737" s="1"/>
      </tp>
      <tp t="s">
        <v>N/A</v>
        <stp/>
        <stp>RHO</stp>
        <stp>.VT201120C86</stp>
        <tr r="Q735" s="1"/>
      </tp>
      <tp t="s">
        <v>N/A</v>
        <stp/>
        <stp>THETA</stp>
        <stp>.EWW201120P39.5</stp>
        <tr r="O160" s="1"/>
      </tp>
      <tp t="s">
        <v>N/A</v>
        <stp/>
        <stp>THETA</stp>
        <stp>.EFA201120C69.5</stp>
        <tr r="O104" s="1"/>
      </tp>
      <tp t="s">
        <v>N/A</v>
        <stp/>
        <stp>THETA</stp>
        <stp>.EFA201120P69.5</stp>
        <tr r="O105" s="1"/>
      </tp>
      <tp t="s">
        <v>N/A</v>
        <stp/>
        <stp>THETA</stp>
        <stp>.EWW201120C39.5</stp>
        <tr r="O159" s="1"/>
      </tp>
      <tp t="s">
        <v>N/A</v>
        <stp/>
        <stp>VEGA</stp>
        <stp>.SHYG201120P45</stp>
        <tr r="P550" s="1"/>
      </tp>
      <tp t="s">
        <v>N/A</v>
        <stp/>
        <stp>THETA</stp>
        <stp>.FEZ201120C39.5</stp>
        <tr r="O181" s="1"/>
      </tp>
      <tp t="s">
        <v>N/A</v>
        <stp/>
        <stp>VEGA</stp>
        <stp>.SPYG201120P53</stp>
        <tr r="P633" s="1"/>
      </tp>
      <tp t="s">
        <v>N/A</v>
        <stp/>
        <stp>VEGA</stp>
        <stp>.SPYG201120P52</stp>
        <tr r="P631" s="1"/>
      </tp>
      <tp t="s">
        <v>N/A</v>
        <stp/>
        <stp>THETA</stp>
        <stp>.FEZ201120P39.5</stp>
        <tr r="O182" s="1"/>
      </tp>
      <tp t="s">
        <v>7.94%</v>
        <stp/>
        <stp>IMPL_VOL</stp>
        <stp>EMLC</stp>
        <tr r="D114" s="1"/>
      </tp>
      <tp t="s">
        <v>43.43%</v>
        <stp/>
        <stp>IMPL_VOL</stp>
        <stp>AMLP</stp>
        <tr r="D18" s="1"/>
      </tp>
      <tp t="s">
        <v>N/A</v>
        <stp/>
        <stp>PROB_OF_EXPIRING</stp>
        <stp>IEFA</stp>
        <tr r="T251" s="1"/>
      </tp>
      <tp t="s">
        <v>N/A</v>
        <stp/>
        <stp>THETA</stp>
        <stp>.MJ201120P13</stp>
        <tr r="O425" s="1"/>
      </tp>
      <tp t="s">
        <v>N/A</v>
        <stp/>
        <stp>PROB_OF_EXPIRING</stp>
        <stp>IEMG</stp>
        <tr r="T256" s="1"/>
      </tp>
      <tp t="s">
        <v>N/A</v>
        <stp/>
        <stp>INTRINSIC</stp>
        <stp>.TBT201120P17</stp>
        <tr r="R685" s="1"/>
      </tp>
      <tp t="s">
        <v>N/A</v>
        <stp/>
        <stp>PROB_OF_EXPIRING</stp>
        <stp>JETS</stp>
        <tr r="T375" s="1"/>
      </tp>
      <tp t="s">
        <v>N/A</v>
        <stp/>
        <stp>EXTRINSIC</stp>
        <stp>.VNQ201120P84</stp>
        <tr r="S726" s="1"/>
      </tp>
      <tp t="s">
        <v>N/A</v>
        <stp/>
        <stp>EXTRINSIC</stp>
        <stp>.VNQ201120P85</stp>
        <tr r="S728" s="1"/>
      </tp>
      <tp t="s">
        <v>N/A</v>
        <stp/>
        <stp>DELTA</stp>
        <stp>.MJ201120P13</stp>
        <tr r="M425" s="1"/>
      </tp>
      <tp>
        <v>0</v>
        <stp/>
        <stp>OPEN_INT</stp>
        <stp>HYLB</stp>
        <tr r="G225" s="1"/>
      </tp>
      <tp t="s">
        <v>N/A</v>
        <stp/>
        <stp>INTRINSIC</stp>
        <stp>.TBF201120P16</stp>
        <tr r="R682" s="1"/>
      </tp>
      <tp t="s">
        <v>N/A</v>
        <stp/>
        <stp>INTRINSIC</stp>
        <stp>.KBE201120P38</stp>
        <tr r="R387" s="1"/>
      </tp>
      <tp t="s">
        <v>N/A</v>
        <stp/>
        <stp>THETA</stp>
        <stp>.SPLG201120P42</stp>
        <tr r="O586" s="1"/>
      </tp>
      <tp t="s">
        <v>N/A</v>
        <stp/>
        <stp>DELTA</stp>
        <stp>.DGRO201120C43</stp>
        <tr r="M60" s="1"/>
      </tp>
      <tp t="s">
        <v>N/A</v>
        <stp/>
        <stp>HIGH</stp>
        <stp>.EWY201120P72</stp>
        <tr r="J165" s="1"/>
      </tp>
      <tp t="s">
        <v>N/A</v>
        <stp/>
        <stp>HIGH</stp>
        <stp>.EWY201120P73</stp>
        <tr r="J169" s="1"/>
      </tp>
      <tp t="s">
        <v>N/A</v>
        <stp/>
        <stp>THETA</stp>
        <stp>.EMLC201120P32</stp>
        <tr r="O116" s="1"/>
      </tp>
      <tp t="s">
        <v>N/A</v>
        <stp/>
        <stp>GAMMA</stp>
        <stp>.DFEN201120P13</stp>
        <tr r="N56" s="1"/>
      </tp>
      <tp t="s">
        <v>N/A</v>
        <stp/>
        <stp>GAMMA</stp>
        <stp>.DFEN201120P14</stp>
        <tr r="N58" s="1"/>
      </tp>
      <tp>
        <v>1.54</v>
        <stp/>
        <stp>HIGH</stp>
        <stp>.GDX201120C37</stp>
        <tr r="J198" s="1"/>
      </tp>
      <tp t="s">
        <v>N/A</v>
        <stp/>
        <stp>THETA</stp>
        <stp>.HYLB201120P49</stp>
        <tr r="O227" s="1"/>
      </tp>
      <tp>
        <v>1.69</v>
        <stp/>
        <stp>HIGH</stp>
        <stp>.EWZ201120P32</stp>
        <tr r="J176" s="1"/>
      </tp>
      <tp t="s">
        <v>N/A</v>
        <stp/>
        <stp>VEGA</stp>
        <stp>.XME201120C27</stp>
        <tr r="P887" s="1"/>
      </tp>
      <tp>
        <v>0.83</v>
        <stp/>
        <stp>HIGH</stp>
        <stp>.EWW201120P39</stp>
        <tr r="J158" s="1"/>
      </tp>
      <tp t="s">
        <v>N/A</v>
        <stp/>
        <stp>DELTA</stp>
        <stp>.XLRE201120C37</stp>
        <tr r="M847" s="1"/>
      </tp>
      <tp t="s">
        <v>N/A</v>
        <stp/>
        <stp>STRIKE</stp>
        <stp>.MDY201120P382.5</stp>
        <tr r="W418" s="1"/>
      </tp>
      <tp>
        <v>0.49</v>
        <stp/>
        <stp>HIGH</stp>
        <stp>.SDS201120C14</stp>
        <tr r="J540" s="1"/>
      </tp>
      <tp t="s">
        <v>N/A</v>
        <stp/>
        <stp>HIGH</stp>
        <stp>.EWP201120P26</stp>
        <tr r="J147" s="1"/>
      </tp>
      <tp t="s">
        <v>N/A</v>
        <stp/>
        <stp>OPEN</stp>
        <stp>.TBT201120C17</stp>
        <tr r="L684" s="1"/>
      </tp>
      <tp t="s">
        <v>N/A</v>
        <stp/>
        <stp>PUT_CALL_RATIO</stp>
        <stp>.TLT201120C156.5</stp>
        <tr r="C696" s="1"/>
      </tp>
      <tp t="s">
        <v>N/A</v>
        <stp/>
        <stp>GAMMA</stp>
        <stp>.KWEB201120P74</stp>
        <tr r="N403" s="1"/>
      </tp>
      <tp t="s">
        <v>N/A</v>
        <stp/>
        <stp>GAMMA</stp>
        <stp>.KWEB201120P73</stp>
        <tr r="N401" s="1"/>
      </tp>
      <tp t="s">
        <v>N/A</v>
        <stp/>
        <stp>GAMMA</stp>
        <stp>.KWEB201120P72</stp>
        <tr r="N399" s="1"/>
      </tp>
      <tp t="s">
        <v>N/A</v>
        <stp/>
        <stp>VOLUME</stp>
        <stp>.JNK201120C106.5</stp>
        <tr r="F381" s="1"/>
      </tp>
      <tp t="s">
        <v>N/A</v>
        <stp/>
        <stp>THETA</stp>
        <stp>.BKLN201120P22</stp>
        <tr r="O50" s="1"/>
      </tp>
      <tp t="s">
        <v>N/A</v>
        <stp/>
        <stp>THETA</stp>
        <stp>.ICLN201120P22</stp>
        <tr r="O247" s="1"/>
      </tp>
      <tp>
        <v>0</v>
        <stp/>
        <stp>HIGH</stp>
        <stp>.EWT201120P48</stp>
        <tr r="J150" s="1"/>
      </tp>
      <tp t="s">
        <v>N/A</v>
        <stp/>
        <stp>THETA</stp>
        <stp>.SPLV201120P55</stp>
        <tr r="O589" s="1"/>
      </tp>
      <tp>
        <v>0</v>
        <stp/>
        <stp>HIGH</stp>
        <stp>.RWM201120P29</stp>
        <tr r="J519" s="1"/>
      </tp>
      <tp t="s">
        <v>N/A</v>
        <stp/>
        <stp>THETA</stp>
        <stp>.AMLP201120P24</stp>
        <tr r="O24" s="1"/>
      </tp>
      <tp t="s">
        <v>N/A</v>
        <stp/>
        <stp>THETA</stp>
        <stp>.AMLP201120P23</stp>
        <tr r="O20" s="1"/>
      </tp>
      <tp t="s">
        <v>N/A</v>
        <stp/>
        <stp>LAST</stp>
        <stp>.PXH201120C20</stp>
        <tr r="E460" s="1"/>
      </tp>
      <tp t="s">
        <v>N/A</v>
        <stp/>
        <stp>LAST</stp>
        <stp>.PXH201120C19</stp>
        <tr r="E458" s="1"/>
      </tp>
      <tp t="s">
        <v>N/A</v>
        <stp/>
        <stp>HIGH</stp>
        <stp>.EWJ201120P63</stp>
        <tr r="J137" s="1"/>
      </tp>
      <tp t="s">
        <v>N/A</v>
        <stp/>
        <stp>HIGH</stp>
        <stp>.EWJ201120P64</stp>
        <tr r="J141" s="1"/>
      </tp>
      <tp>
        <v>0</v>
        <stp/>
        <stp>HIGH</stp>
        <stp>.EWI201120P27</stp>
        <tr r="J134" s="1"/>
      </tp>
      <tp t="s">
        <v>N/A</v>
        <stp/>
        <stp>HIGH</stp>
        <stp>.VWO201120P47</stp>
        <tr r="J752" s="1"/>
      </tp>
      <tp t="s">
        <v>N/A</v>
        <stp/>
        <stp>HIGH</stp>
        <stp>.EWH201120P24</stp>
        <tr r="J131" s="1"/>
      </tp>
      <tp>
        <v>0.25</v>
        <stp/>
        <stp>LAST</stp>
        <stp>.FXI201120C48</stp>
        <tr r="E193" s="1"/>
      </tp>
      <tp>
        <v>0.66</v>
        <stp/>
        <stp>LAST</stp>
        <stp>.FXI201120C47</stp>
        <tr r="E189" s="1"/>
      </tp>
      <tp t="s">
        <v>N/A</v>
        <stp/>
        <stp>HIGH</stp>
        <stp>.EWL201120P43</stp>
        <tr r="J144" s="1"/>
      </tp>
      <tp t="s">
        <v>N/A</v>
        <stp/>
        <stp>GAMMA</stp>
        <stp>.SRVR201120C35</stp>
        <tr r="N638" s="1"/>
      </tp>
      <tp t="s">
        <v>N/A</v>
        <stp/>
        <stp>GAMMA</stp>
        <stp>.SRVR201120C36</stp>
        <tr r="N640" s="1"/>
      </tp>
      <tp t="s">
        <v>N/A</v>
        <stp/>
        <stp>HIGH</stp>
        <stp>.EWG201120P30</stp>
        <tr r="J128" s="1"/>
      </tp>
      <tp t="s">
        <v>N/A</v>
        <stp/>
        <stp>VOLUME</stp>
        <stp>.JNK201120P106.5</stp>
        <tr r="F382" s="1"/>
      </tp>
      <tp t="s">
        <v>N/A</v>
        <stp/>
        <stp>HIGH</stp>
        <stp>.EWA201120P22</stp>
        <tr r="J122" s="1"/>
      </tp>
      <tp t="s">
        <v>N/A</v>
        <stp/>
        <stp>PUT_CALL_RATIO</stp>
        <stp>.TLT201120P156.5</stp>
        <tr r="C697" s="1"/>
      </tp>
      <tp t="s">
        <v>N/A</v>
        <stp/>
        <stp>STRIKE</stp>
        <stp>.MDY201120C382.5</stp>
        <tr r="W417" s="1"/>
      </tp>
      <tp t="s">
        <v>N/A</v>
        <stp/>
        <stp>HIGH</stp>
        <stp>.EWC201120P29</stp>
        <tr r="J125" s="1"/>
      </tp>
      <tp>
        <v>0.4</v>
        <stp/>
        <stp>LAST</stp>
        <stp>.DXD201120C14</stp>
        <tr r="E92" s="1"/>
      </tp>
      <tp t="s">
        <v>N/A</v>
        <stp/>
        <stp>OPEN</stp>
        <stp>.KBE201120C38</stp>
        <tr r="L386" s="1"/>
      </tp>
      <tp t="s">
        <v>N/A</v>
        <stp/>
        <stp>OPEN</stp>
        <stp>.TBF201120C16</stp>
        <tr r="L681" s="1"/>
      </tp>
      <tp t="s">
        <v>N/A</v>
        <stp/>
        <stp>DELTA</stp>
        <stp>.XOP201120P47.5</stp>
        <tr r="M893" s="1"/>
      </tp>
      <tp t="s">
        <v>N/A</v>
        <stp/>
        <stp>DELTA</stp>
        <stp>.XOP201120C47.5</stp>
        <tr r="M892" s="1"/>
      </tp>
      <tp t="s">
        <v>N/A</v>
        <stp/>
        <stp>LAST</stp>
        <stp>.INDY201120P38</stp>
        <tr r="E287" s="1"/>
      </tp>
      <tp>
        <v>0</v>
        <stp/>
        <stp>LOW</stp>
        <stp>.VT201120C87</stp>
        <tr r="K737" s="1"/>
      </tp>
      <tp t="s">
        <v>N/A</v>
        <stp/>
        <stp>LOW</stp>
        <stp>.VT201120C86</stp>
        <tr r="K735" s="1"/>
      </tp>
      <tp t="s">
        <v>N/A</v>
        <stp/>
        <stp>LAST</stp>
        <stp>.ACWX201120C50</stp>
        <tr r="E13" s="1"/>
      </tp>
      <tp t="s">
        <v>N/A</v>
        <stp/>
        <stp>GAMMA</stp>
        <stp>.GDX201120P36.5</stp>
        <tr r="N197" s="1"/>
      </tp>
      <tp t="s">
        <v>N/A</v>
        <stp/>
        <stp>GAMMA</stp>
        <stp>.GDX201120C36.5</stp>
        <tr r="N196" s="1"/>
      </tp>
      <tp t="s">
        <v>N/A</v>
        <stp/>
        <stp>GAMMA</stp>
        <stp>.KRE201120C46.5</stp>
        <tr r="N391" s="1"/>
      </tp>
      <tp t="s">
        <v>N/A</v>
        <stp/>
        <stp>GAMMA</stp>
        <stp>.KRE201120P46.5</stp>
        <tr r="N392" s="1"/>
      </tp>
      <tp t="s">
        <v>N/A</v>
        <stp/>
        <stp>VEGA</stp>
        <stp>.USMV201120C67</stp>
        <tr r="P699" s="1"/>
      </tp>
      <tp t="s">
        <v>N/A</v>
        <stp/>
        <stp>LAST</stp>
        <stp>.SPDW201120P32</stp>
        <tr r="E580" s="1"/>
      </tp>
      <tp t="s">
        <v>N/A</v>
        <stp/>
        <stp>DELTA</stp>
        <stp>.KRE201120C47.5</stp>
        <tr r="M395" s="1"/>
      </tp>
      <tp t="s">
        <v>N/A</v>
        <stp/>
        <stp>DELTA</stp>
        <stp>.KRE201120P47.5</stp>
        <tr r="M396" s="1"/>
      </tp>
      <tp t="s">
        <v>N/A</v>
        <stp/>
        <stp>GAMMA</stp>
        <stp>.SHY201120P86.5</stp>
        <tr r="N547" s="1"/>
      </tp>
      <tp t="s">
        <v>N/A</v>
        <stp/>
        <stp>GAMMA</stp>
        <stp>.SHY201120C86.5</stp>
        <tr r="N546" s="1"/>
      </tp>
      <tp t="s">
        <v>N/A</v>
        <stp/>
        <stp>GAMMA</stp>
        <stp>.TAN201120P76.5</stp>
        <tr r="N677" s="1"/>
      </tp>
      <tp t="s">
        <v>N/A</v>
        <stp/>
        <stp>GAMMA</stp>
        <stp>.TAN201120C76.5</stp>
        <tr r="N676" s="1"/>
      </tp>
      <tp t="s">
        <v>N/A</v>
        <stp/>
        <stp>GAMMA</stp>
        <stp>.VWO201120C46.5</stp>
        <tr r="N749" s="1"/>
      </tp>
      <tp t="s">
        <v>N/A</v>
        <stp/>
        <stp>GAMMA</stp>
        <stp>.VWO201120P46.5</stp>
        <tr r="N750" s="1"/>
      </tp>
      <tp t="s">
        <v>N/A</v>
        <stp/>
        <stp>GAMMA</stp>
        <stp>.XME201120P26.5</stp>
        <tr r="N886" s="1"/>
      </tp>
      <tp t="s">
        <v>N/A</v>
        <stp/>
        <stp>GAMMA</stp>
        <stp>.XLU201120P66.5</stp>
        <tr r="N853" s="1"/>
      </tp>
      <tp t="s">
        <v>N/A</v>
        <stp/>
        <stp>GAMMA</stp>
        <stp>.XLP201120P66.5</stp>
        <tr r="N843" s="1"/>
      </tp>
      <tp t="s">
        <v>N/A</v>
        <stp/>
        <stp>LAST</stp>
        <stp>.ACWI201120C86</stp>
        <tr r="E10" s="1"/>
      </tp>
      <tp t="s">
        <v>N/A</v>
        <stp/>
        <stp>LAST</stp>
        <stp>.ACWI201120C85</stp>
        <tr r="E8" s="1"/>
      </tp>
      <tp t="s">
        <v>N/A</v>
        <stp/>
        <stp>GAMMA</stp>
        <stp>.XLU201120C66.5</stp>
        <tr r="N852" s="1"/>
      </tp>
      <tp t="s">
        <v>N/A</v>
        <stp/>
        <stp>GAMMA</stp>
        <stp>.XLP201120C66.5</stp>
        <tr r="N842" s="1"/>
      </tp>
      <tp t="s">
        <v>N/A</v>
        <stp/>
        <stp>GAMMA</stp>
        <stp>.XME201120C26.5</stp>
        <tr r="N885" s="1"/>
      </tp>
      <tp>
        <v>0.47</v>
        <stp/>
        <stp>OPEN</stp>
        <stp>.JETS201120C20</stp>
        <tr r="L378" s="1"/>
      </tp>
      <tp t="s">
        <v>N/A</v>
        <stp/>
        <stp>LAST</stp>
        <stp>.INDA201120P36</stp>
        <tr r="E282" s="1"/>
      </tp>
      <tp>
        <v>1.25</v>
        <stp/>
        <stp>HIGH</stp>
        <stp>.GUSH201120C28</stp>
        <tr r="J218" s="1"/>
      </tp>
      <tp>
        <v>1.5</v>
        <stp/>
        <stp>HIGH</stp>
        <stp>.GUSH201120C27</stp>
        <tr r="J216" s="1"/>
      </tp>
      <tp>
        <v>1.8</v>
        <stp/>
        <stp>HIGH</stp>
        <stp>.GUSH201120C26</stp>
        <tr r="J214" s="1"/>
      </tp>
      <tp t="s">
        <v>N/A</v>
        <stp/>
        <stp>DELTA</stp>
        <stp>.EEM201120P47.5</stp>
        <tr r="M96" s="1"/>
      </tp>
      <tp t="s">
        <v>N/A</v>
        <stp/>
        <stp>DELTA</stp>
        <stp>.EEM201120C47.5</stp>
        <tr r="M95" s="1"/>
      </tp>
      <tp t="s">
        <v>N/A</v>
        <stp/>
        <stp>DELTA</stp>
        <stp>.GDX201120P37.5</stp>
        <tr r="M201" s="1"/>
      </tp>
      <tp t="s">
        <v>N/A</v>
        <stp/>
        <stp>DELTA</stp>
        <stp>.GDX201120C37.5</stp>
        <tr r="M200" s="1"/>
      </tp>
      <tp t="s">
        <v>N/A</v>
        <stp/>
        <stp>DELTA</stp>
        <stp>.FXI201120C47.5</stp>
        <tr r="M191" s="1"/>
      </tp>
      <tp t="s">
        <v>N/A</v>
        <stp/>
        <stp>VEGA</stp>
        <stp>.IEMG201120C57</stp>
        <tr r="P257" s="1"/>
      </tp>
      <tp t="s">
        <v>N/A</v>
        <stp/>
        <stp>DELTA</stp>
        <stp>.FXI201120P47.5</stp>
        <tr r="M192" s="1"/>
      </tp>
      <tp t="s">
        <v>N/A</v>
        <stp/>
        <stp>VEGA</stp>
        <stp>.IEMG201120C58</stp>
        <tr r="P259" s="1"/>
      </tp>
      <tp t="s">
        <v>N/A</v>
        <stp/>
        <stp>INTRINSIC</stp>
        <stp>RWM</stp>
        <tr r="R517" s="1"/>
      </tp>
      <tp t="s">
        <v>N/A</v>
        <stp/>
        <stp>EXTRINSIC</stp>
        <stp>RWM</stp>
        <tr r="S517" s="1"/>
      </tp>
      <tp t="s">
        <v>N/A</v>
        <stp/>
        <stp>EXTRINSIC</stp>
        <stp>.XLK201120C120.5</stp>
        <tr r="S829" s="1"/>
      </tp>
      <tp t="s">
        <v>N/A</v>
        <stp/>
        <stp>EXTRINSIC</stp>
        <stp>.XLV201120C110.5</stp>
        <tr r="S859" s="1"/>
      </tp>
      <tp t="s">
        <v>N/A</v>
        <stp/>
        <stp>INTRINSIC</stp>
        <stp>.FEZ201120P40</stp>
        <tr r="R184" s="1"/>
      </tp>
      <tp t="s">
        <v>N/A</v>
        <stp/>
        <stp>PROB_OTM</stp>
        <stp>INDY</stp>
        <tr r="U285" s="1"/>
      </tp>
      <tp t="s">
        <v>N/A</v>
        <stp/>
        <stp>PROB_OTM</stp>
        <stp>INDA</stp>
        <tr r="U280" s="1"/>
      </tp>
      <tp t="s">
        <v>N/A</v>
        <stp/>
        <stp>PROB_OF_TOUCHING</stp>
        <stp>IGIB</stp>
        <tr r="V261" s="1"/>
      </tp>
      <tp t="s">
        <v>N/A</v>
        <stp/>
        <stp>PROB_OF_TOUCHING</stp>
        <stp>VGIT</stp>
        <tr r="V718" s="1"/>
      </tp>
      <tp t="s">
        <v>N/A</v>
        <stp/>
        <stp>INTRINSIC</stp>
        <stp>RSX</stp>
        <tr r="R512" s="1"/>
      </tp>
      <tp t="s">
        <v>N/A</v>
        <stp/>
        <stp>EXTRINSIC</stp>
        <stp>RSP</stp>
        <tr r="S505" s="1"/>
      </tp>
      <tp t="s">
        <v>N/A</v>
        <stp/>
        <stp>INTRINSIC</stp>
        <stp>RSP</stp>
        <tr r="R505" s="1"/>
      </tp>
      <tp t="s">
        <v>N/A</v>
        <stp/>
        <stp>EXTRINSIC</stp>
        <stp>RSX</stp>
        <tr r="S512" s="1"/>
      </tp>
      <tp t="s">
        <v>N/A</v>
        <stp/>
        <stp>INTRINSIC</stp>
        <stp>.XLV201120C110.5</stp>
        <tr r="R859" s="1"/>
      </tp>
      <tp t="s">
        <v>N/A</v>
        <stp/>
        <stp>INTRINSIC</stp>
        <stp>.XLK201120C120.5</stp>
        <tr r="R829" s="1"/>
      </tp>
      <tp t="s">
        <v>N/A</v>
        <stp/>
        <stp>INTRINSIC</stp>
        <stp>.DVY201120C91</stp>
        <tr r="R85" s="1"/>
      </tp>
      <tp t="s">
        <v>N/A</v>
        <stp/>
        <stp>INTRINSIC</stp>
        <stp>.DVY201120C92</stp>
        <tr r="R87" s="1"/>
      </tp>
      <tp t="s">
        <v>N/A</v>
        <stp/>
        <stp>INTRINSIC</stp>
        <stp>.DVY201120C93</stp>
        <tr r="R89" s="1"/>
      </tp>
      <tp t="s">
        <v>N/A</v>
        <stp/>
        <stp>INTRINSIC</stp>
        <stp>.VEU201120P55</stp>
        <tr r="R712" s="1"/>
      </tp>
      <tp t="s">
        <v>N/A</v>
        <stp/>
        <stp>INTRINSIC</stp>
        <stp>.EEM201120P48</stp>
        <tr r="R98" s="1"/>
      </tp>
      <tp t="s">
        <v>N/A</v>
        <stp/>
        <stp>GAMMA</stp>
        <stp>.SH201120P19</stp>
        <tr r="N544" s="1"/>
      </tp>
      <tp t="s">
        <v>N/A</v>
        <stp/>
        <stp>EXTRINSIC</stp>
        <stp>.XLK201120P120.5</stp>
        <tr r="S830" s="1"/>
      </tp>
      <tp t="s">
        <v>N/A</v>
        <stp/>
        <stp>EXTRINSIC</stp>
        <stp>.XLV201120P110.5</stp>
        <tr r="S860" s="1"/>
      </tp>
      <tp t="s">
        <v>N/A</v>
        <stp/>
        <stp>INTRINSIC</stp>
        <stp>.XLV201120P110.5</stp>
        <tr r="R860" s="1"/>
      </tp>
      <tp t="s">
        <v>N/A</v>
        <stp/>
        <stp>INTRINSIC</stp>
        <stp>.XLK201120P120.5</stp>
        <tr r="R830" s="1"/>
      </tp>
      <tp t="s">
        <v>N/A</v>
        <stp/>
        <stp>EXTRINSIC</stp>
        <stp>.EZU201120C42</stp>
        <tr r="S178" s="1"/>
      </tp>
      <tp t="s">
        <v>N/A</v>
        <stp/>
        <stp>INTRINSIC</stp>
        <stp>.FVD201120C35</stp>
        <tr r="R186" s="1"/>
      </tp>
      <tp t="s">
        <v>N/A</v>
        <stp/>
        <stp>EXTRINSIC</stp>
        <stp>.BZQ201120C12</stp>
        <tr r="S52" s="1"/>
      </tp>
      <tp t="s">
        <v>N/A</v>
        <stp/>
        <stp>PROB_OF_TOUCHING</stp>
        <stp>DGRO</stp>
        <tr r="V59" s="1"/>
      </tp>
      <tp t="s">
        <v>N/A</v>
        <stp/>
        <stp>INTRINSIC</stp>
        <stp>.VEA201120P44</stp>
        <tr r="R709" s="1"/>
      </tp>
      <tp t="s">
        <v>N/A</v>
        <stp/>
        <stp>STRIKE</stp>
        <stp>.INDA201120C36.5</stp>
        <tr r="W283" s="1"/>
      </tp>
      <tp t="s">
        <v>N/A</v>
        <stp/>
        <stp>STRIKE</stp>
        <stp>.INDA201120P36.5</stp>
        <tr r="W284" s="1"/>
      </tp>
      <tp t="s">
        <v>N/A</v>
        <stp/>
        <stp>PUT_CALL_RATIO</stp>
        <stp>.QQQ201120P292.5</stp>
        <tr r="C493" s="1"/>
      </tp>
      <tp t="s">
        <v>N/A</v>
        <stp/>
        <stp>DELTA</stp>
        <stp>.GUSH201120C26</stp>
        <tr r="M214" s="1"/>
      </tp>
      <tp t="s">
        <v>N/A</v>
        <stp/>
        <stp>DELTA</stp>
        <stp>.GUSH201120C27</stp>
        <tr r="M216" s="1"/>
      </tp>
      <tp t="s">
        <v>N/A</v>
        <stp/>
        <stp>DELTA</stp>
        <stp>.GUSH201120C28</stp>
        <tr r="M218" s="1"/>
      </tp>
      <tp t="s">
        <v>N/A</v>
        <stp/>
        <stp>VEGA</stp>
        <stp>.XLI201120C84</stp>
        <tr r="P814" s="1"/>
      </tp>
      <tp t="s">
        <v>N/A</v>
        <stp/>
        <stp>VEGA</stp>
        <stp>.XLI201120C85</stp>
        <tr r="P818" s="1"/>
      </tp>
      <tp t="s">
        <v>N/A</v>
        <stp/>
        <stp>VEGA</stp>
        <stp>.XLI201120C86</stp>
        <tr r="P822" s="1"/>
      </tp>
      <tp t="s">
        <v>N/A</v>
        <stp/>
        <stp>THETA</stp>
        <stp>.IEMG201120P58</stp>
        <tr r="O260" s="1"/>
      </tp>
      <tp t="s">
        <v>N/A</v>
        <stp/>
        <stp>THETA</stp>
        <stp>.IEMG201120P57</stp>
        <tr r="O258" s="1"/>
      </tp>
      <tp t="s">
        <v>N/A</v>
        <stp/>
        <stp>HIGH</stp>
        <stp>.FEZ201120C40</stp>
        <tr r="J183" s="1"/>
      </tp>
      <tp>
        <v>0</v>
        <stp/>
        <stp>LAST</stp>
        <stp>.IJR201120P80</stp>
        <tr r="E276" s="1"/>
      </tp>
      <tp t="s">
        <v>N/A</v>
        <stp/>
        <stp>LAST</stp>
        <stp>.IYR201120C84</stp>
        <tr r="E367" s="1"/>
      </tp>
      <tp t="s">
        <v>N/A</v>
        <stp/>
        <stp>LAST</stp>
        <stp>.IYR201120C85</stp>
        <tr r="E371" s="1"/>
      </tp>
      <tp t="s">
        <v>N/A</v>
        <stp/>
        <stp>VEGA</stp>
        <stp>.XLC201120C64</stp>
        <tr r="P801" s="1"/>
      </tp>
      <tp t="s">
        <v>N/A</v>
        <stp/>
        <stp>VEGA</stp>
        <stp>.XLB201120C70</stp>
        <tr r="P794" s="1"/>
      </tp>
      <tp t="s">
        <v>N/A</v>
        <stp/>
        <stp>VEGA</stp>
        <stp>.XLC201120C63</stp>
        <tr r="P797" s="1"/>
      </tp>
      <tp t="s">
        <v>N/A</v>
        <stp/>
        <stp>OPEN</stp>
        <stp>.SCZ201120C63</stp>
        <tr r="L535" s="1"/>
      </tp>
      <tp t="s">
        <v>N/A</v>
        <stp/>
        <stp>VEGA</stp>
        <stp>.XLB201120C69</stp>
        <tr r="P790" s="1"/>
      </tp>
      <tp t="s">
        <v>N/A</v>
        <stp/>
        <stp>VEGA</stp>
        <stp>.ILF201120C25</stp>
        <tr r="P278" s="1"/>
      </tp>
      <tp t="s">
        <v>N/A</v>
        <stp/>
        <stp>VEGA</stp>
        <stp>.XLF201120C27</stp>
        <tr r="P811" s="1"/>
      </tp>
      <tp t="s">
        <v>N/A</v>
        <stp/>
        <stp>VEGA</stp>
        <stp>.XLE201120C34</stp>
        <tr r="P806" s="1"/>
      </tp>
      <tp t="s">
        <v>N/A</v>
        <stp/>
        <stp>GAMMA</stp>
        <stp>.INDA201120P36</stp>
        <tr r="N282" s="1"/>
      </tp>
      <tp t="s">
        <v>N/A</v>
        <stp/>
        <stp>GAMMA</stp>
        <stp>.ACWI201120C86</stp>
        <tr r="N10" s="1"/>
      </tp>
      <tp t="s">
        <v>N/A</v>
        <stp/>
        <stp>GAMMA</stp>
        <stp>.ACWI201120C85</stp>
        <tr r="N8" s="1"/>
      </tp>
      <tp t="s">
        <v>N/A</v>
        <stp/>
        <stp>STRIKE</stp>
        <stp>.IVV201120C357.5</stp>
        <tr r="W318" s="1"/>
      </tp>
      <tp t="s">
        <v>N/A</v>
        <stp/>
        <stp>VEGA</stp>
        <stp>.QLD201120C98</stp>
        <tr r="P467" s="1"/>
      </tp>
      <tp t="s">
        <v>N/A</v>
        <stp/>
        <stp>VEGA</stp>
        <stp>.QLD201120C99</stp>
        <tr r="P469" s="1"/>
      </tp>
      <tp t="s">
        <v>N/A</v>
        <stp/>
        <stp>VEGA</stp>
        <stp>.QLD201120C96</stp>
        <tr r="P463" s="1"/>
      </tp>
      <tp t="s">
        <v>N/A</v>
        <stp/>
        <stp>VEGA</stp>
        <stp>.QLD201120C97</stp>
        <tr r="P465" s="1"/>
      </tp>
      <tp t="s">
        <v>N/A</v>
        <stp/>
        <stp>STRIKE</stp>
        <stp>.IWF201120C227.5</stp>
        <tr r="W343" s="1"/>
      </tp>
      <tp t="s">
        <v>N/A</v>
        <stp/>
        <stp>HIGH</stp>
        <stp>.DVY201120P91</stp>
        <tr r="J86" s="1"/>
      </tp>
      <tp t="s">
        <v>N/A</v>
        <stp/>
        <stp>HIGH</stp>
        <stp>.DVY201120P92</stp>
        <tr r="J88" s="1"/>
      </tp>
      <tp>
        <v>0</v>
        <stp/>
        <stp>HIGH</stp>
        <stp>.DVY201120P93</stp>
        <tr r="J90" s="1"/>
      </tp>
      <tp>
        <v>0</v>
        <stp/>
        <stp>HIGH</stp>
        <stp>.VEU201120C55</stp>
        <tr r="J711" s="1"/>
      </tp>
      <tp t="s">
        <v>N/A</v>
        <stp/>
        <stp>GAMMA</stp>
        <stp>.INDY201120P38</stp>
        <tr r="N287" s="1"/>
      </tp>
      <tp t="s">
        <v>N/A</v>
        <stp/>
        <stp>VEGA</stp>
        <stp>.XLU201120C66</stp>
        <tr r="P850" s="1"/>
      </tp>
      <tp t="s">
        <v>N/A</v>
        <stp/>
        <stp>VEGA</stp>
        <stp>.XLU201120C67</stp>
        <tr r="P854" s="1"/>
      </tp>
      <tp t="s">
        <v>N/A</v>
        <stp/>
        <stp>PUT_CALL_RATIO</stp>
        <stp>.QQQ201120C292.5</stp>
        <tr r="C492" s="1"/>
      </tp>
      <tp t="s">
        <v>N/A</v>
        <stp/>
        <stp>THETA</stp>
        <stp>.USMV201120P67</stp>
        <tr r="O700" s="1"/>
      </tp>
      <tp>
        <v>0.24</v>
        <stp/>
        <stp>LAST</stp>
        <stp>.HYG201120C86</stp>
        <tr r="E223" s="1"/>
      </tp>
      <tp t="s">
        <v>N/A</v>
        <stp/>
        <stp>GAMMA</stp>
        <stp>.ACWX201120C50</stp>
        <tr r="N13" s="1"/>
      </tp>
      <tp>
        <v>0.66</v>
        <stp/>
        <stp>HIGH</stp>
        <stp>.EEM201120C48</stp>
        <tr r="J97" s="1"/>
      </tp>
      <tp t="s">
        <v>N/A</v>
        <stp/>
        <stp>VEGA</stp>
        <stp>.XLP201120C67</stp>
        <tr r="P844" s="1"/>
      </tp>
      <tp t="s">
        <v>N/A</v>
        <stp/>
        <stp>HIGH</stp>
        <stp>.FVD201120P35</stp>
        <tr r="J187" s="1"/>
      </tp>
      <tp>
        <v>0.4</v>
        <stp/>
        <stp>HIGH</stp>
        <stp>.VEA201120C44</stp>
        <tr r="J708" s="1"/>
      </tp>
      <tp t="s">
        <v>N/A</v>
        <stp/>
        <stp>STRIKE</stp>
        <stp>.IWF201120P227.5</stp>
        <tr r="W344" s="1"/>
      </tp>
      <tp t="s">
        <v>N/A</v>
        <stp/>
        <stp>LAST</stp>
        <stp>.VYM201120C88</stp>
        <tr r="E761" s="1"/>
      </tp>
      <tp t="s">
        <v>N/A</v>
        <stp/>
        <stp>LAST</stp>
        <stp>.VYM201120C87</stp>
        <tr r="E759" s="1"/>
      </tp>
      <tp t="s">
        <v>N/A</v>
        <stp/>
        <stp>STRIKE</stp>
        <stp>.IVV201120P357.5</stp>
        <tr r="W319" s="1"/>
      </tp>
      <tp t="s">
        <v>N/A</v>
        <stp/>
        <stp>GAMMA</stp>
        <stp>.SPDW201120P32</stp>
        <tr r="N580" s="1"/>
      </tp>
      <tp>
        <v>0.15</v>
        <stp/>
        <stp>LAST</stp>
        <stp>.IYE201120C18</stp>
        <tr r="E364" s="1"/>
      </tp>
      <tp t="s">
        <v>N/A</v>
        <stp/>
        <stp>DELTA</stp>
        <stp>.XLP201120P66.5</stp>
        <tr r="M843" s="1"/>
      </tp>
      <tp t="s">
        <v>N/A</v>
        <stp/>
        <stp>DELTA</stp>
        <stp>.XLU201120P66.5</stp>
        <tr r="M853" s="1"/>
      </tp>
      <tp t="s">
        <v>N/A</v>
        <stp/>
        <stp>DELTA</stp>
        <stp>.XME201120P26.5</stp>
        <tr r="M886" s="1"/>
      </tp>
      <tp t="s">
        <v>N/A</v>
        <stp/>
        <stp>DELTA</stp>
        <stp>.XME201120C26.5</stp>
        <tr r="M885" s="1"/>
      </tp>
      <tp t="s">
        <v>N/A</v>
        <stp/>
        <stp>DELTA</stp>
        <stp>.XLP201120C66.5</stp>
        <tr r="M842" s="1"/>
      </tp>
      <tp t="s">
        <v>N/A</v>
        <stp/>
        <stp>DELTA</stp>
        <stp>.XLU201120C66.5</stp>
        <tr r="M852" s="1"/>
      </tp>
      <tp t="s">
        <v>N/A</v>
        <stp/>
        <stp>GAMMA</stp>
        <stp>.EEM201120P47.5</stp>
        <tr r="N96" s="1"/>
      </tp>
      <tp t="s">
        <v>N/A</v>
        <stp/>
        <stp>GAMMA</stp>
        <stp>.EEM201120C47.5</stp>
        <tr r="N95" s="1"/>
      </tp>
      <tp t="s">
        <v>N/A</v>
        <stp/>
        <stp>GAMMA</stp>
        <stp>.FXI201120C47.5</stp>
        <tr r="N191" s="1"/>
      </tp>
      <tp t="s">
        <v>N/A</v>
        <stp/>
        <stp>GAMMA</stp>
        <stp>.FXI201120P47.5</stp>
        <tr r="N192" s="1"/>
      </tp>
      <tp t="s">
        <v>N/A</v>
        <stp/>
        <stp>GAMMA</stp>
        <stp>.GDX201120P37.5</stp>
        <tr r="N201" s="1"/>
      </tp>
      <tp t="s">
        <v>N/A</v>
        <stp/>
        <stp>GAMMA</stp>
        <stp>.GDX201120C37.5</stp>
        <tr r="N200" s="1"/>
      </tp>
      <tp>
        <v>0.28999999999999998</v>
        <stp/>
        <stp>OPEN</stp>
        <stp>.EUFN201120P16</stp>
        <tr r="L119" s="1"/>
      </tp>
      <tp t="s">
        <v>N/A</v>
        <stp/>
        <stp>LAST</stp>
        <stp>.SRVR201120C35</stp>
        <tr r="E638" s="1"/>
      </tp>
      <tp t="s">
        <v>N/A</v>
        <stp/>
        <stp>LAST</stp>
        <stp>.SRVR201120C36</stp>
        <tr r="E640" s="1"/>
      </tp>
      <tp t="s">
        <v>N/A</v>
        <stp/>
        <stp>DELTA</stp>
        <stp>.SHY201120P86.5</stp>
        <tr r="M547" s="1"/>
      </tp>
      <tp t="s">
        <v>N/A</v>
        <stp/>
        <stp>DELTA</stp>
        <stp>.SHY201120C86.5</stp>
        <tr r="M546" s="1"/>
      </tp>
      <tp t="s">
        <v>N/A</v>
        <stp/>
        <stp>GAMMA</stp>
        <stp>.KRE201120C47.5</stp>
        <tr r="N395" s="1"/>
      </tp>
      <tp t="s">
        <v>N/A</v>
        <stp/>
        <stp>GAMMA</stp>
        <stp>.KRE201120P47.5</stp>
        <tr r="N396" s="1"/>
      </tp>
      <tp t="s">
        <v>N/A</v>
        <stp/>
        <stp>DELTA</stp>
        <stp>.TAN201120P76.5</stp>
        <tr r="M677" s="1"/>
      </tp>
      <tp t="s">
        <v>N/A</v>
        <stp/>
        <stp>DELTA</stp>
        <stp>.TAN201120C76.5</stp>
        <tr r="M676" s="1"/>
      </tp>
      <tp t="s">
        <v>N/A</v>
        <stp/>
        <stp>VEGA</stp>
        <stp>.SPLV201120C55</stp>
        <tr r="P588" s="1"/>
      </tp>
      <tp t="s">
        <v>N/A</v>
        <stp/>
        <stp>DELTA</stp>
        <stp>.VWO201120C46.5</stp>
        <tr r="M749" s="1"/>
      </tp>
      <tp t="s">
        <v>N/A</v>
        <stp/>
        <stp>OPEN</stp>
        <stp>.IEFA201120P65</stp>
        <tr r="L253" s="1"/>
      </tp>
      <tp t="s">
        <v>N/A</v>
        <stp/>
        <stp>OPEN</stp>
        <stp>.IEFA201120P66</stp>
        <tr r="L255" s="1"/>
      </tp>
      <tp t="s">
        <v>N/A</v>
        <stp/>
        <stp>VEGA</stp>
        <stp>.AMLP201120C24</stp>
        <tr r="P23" s="1"/>
      </tp>
      <tp t="s">
        <v>N/A</v>
        <stp/>
        <stp>VEGA</stp>
        <stp>.AMLP201120C23</stp>
        <tr r="P19" s="1"/>
      </tp>
      <tp t="s">
        <v>N/A</v>
        <stp/>
        <stp>DELTA</stp>
        <stp>.VWO201120P46.5</stp>
        <tr r="M750" s="1"/>
      </tp>
      <tp t="s">
        <v>N/A</v>
        <stp/>
        <stp>VEGA</stp>
        <stp>.ICLN201120C22</stp>
        <tr r="P246" s="1"/>
      </tp>
      <tp t="s">
        <v>N/A</v>
        <stp/>
        <stp>VEGA</stp>
        <stp>.BKLN201120C22</stp>
        <tr r="P49" s="1"/>
      </tp>
      <tp t="s">
        <v>N/A</v>
        <stp/>
        <stp>DELTA</stp>
        <stp>.KRE201120C46.5</stp>
        <tr r="M391" s="1"/>
      </tp>
      <tp t="s">
        <v>N/A</v>
        <stp/>
        <stp>DELTA</stp>
        <stp>.KRE201120P46.5</stp>
        <tr r="M392" s="1"/>
      </tp>
      <tp>
        <v>1.25</v>
        <stp/>
        <stp>LAST</stp>
        <stp>.DFEN201120P14</stp>
        <tr r="E58" s="1"/>
      </tp>
      <tp>
        <v>0.7</v>
        <stp/>
        <stp>LAST</stp>
        <stp>.DFEN201120P13</stp>
        <tr r="E56" s="1"/>
      </tp>
      <tp>
        <v>0</v>
        <stp/>
        <stp>HIGH</stp>
        <stp>.XLRE201120C37</stp>
        <tr r="J847" s="1"/>
      </tp>
      <tp t="s">
        <v>N/A</v>
        <stp/>
        <stp>GAMMA</stp>
        <stp>.XOP201120P47.5</stp>
        <tr r="N893" s="1"/>
      </tp>
      <tp t="s">
        <v>N/A</v>
        <stp/>
        <stp>GAMMA</stp>
        <stp>.XOP201120C47.5</stp>
        <tr r="N892" s="1"/>
      </tp>
      <tp>
        <v>0</v>
        <stp/>
        <stp>HIGH</stp>
        <stp>.DGRO201120C43</stp>
        <tr r="J60" s="1"/>
      </tp>
      <tp t="s">
        <v>N/A</v>
        <stp/>
        <stp>VEGA</stp>
        <stp>.HYLB201120C49</stp>
        <tr r="P226" s="1"/>
      </tp>
      <tp t="s">
        <v>N/A</v>
        <stp/>
        <stp>LAST</stp>
        <stp>.KWEB201120P73</stp>
        <tr r="E401" s="1"/>
      </tp>
      <tp t="s">
        <v>N/A</v>
        <stp/>
        <stp>LAST</stp>
        <stp>.KWEB201120P72</stp>
        <tr r="E399" s="1"/>
      </tp>
      <tp>
        <v>1.53</v>
        <stp/>
        <stp>LAST</stp>
        <stp>.KWEB201120P74</stp>
        <tr r="E403" s="1"/>
      </tp>
      <tp>
        <v>0</v>
        <stp/>
        <stp>OPEN</stp>
        <stp>.IXUS201120C63</stp>
        <tr r="L361" s="1"/>
      </tp>
      <tp t="s">
        <v>N/A</v>
        <stp/>
        <stp>VEGA</stp>
        <stp>.EMLC201120C32</stp>
        <tr r="P115" s="1"/>
      </tp>
      <tp t="s">
        <v>N/A</v>
        <stp/>
        <stp>OPEN</stp>
        <stp>.VXUS201120C56</stp>
        <tr r="L754" s="1"/>
      </tp>
      <tp t="s">
        <v>N/A</v>
        <stp/>
        <stp>OPEN</stp>
        <stp>.VXUS201120C57</stp>
        <tr r="L756" s="1"/>
      </tp>
      <tp t="s">
        <v>N/A</v>
        <stp/>
        <stp>DELTA</stp>
        <stp>.GDX201120P36.5</stp>
        <tr r="M197" s="1"/>
      </tp>
      <tp t="s">
        <v>N/A</v>
        <stp/>
        <stp>VEGA</stp>
        <stp>.SPLG201120C42</stp>
        <tr r="P585" s="1"/>
      </tp>
      <tp t="s">
        <v>N/A</v>
        <stp/>
        <stp>DELTA</stp>
        <stp>.GDX201120C36.5</stp>
        <tr r="M196" s="1"/>
      </tp>
      <tp t="s">
        <v>N/A</v>
        <stp/>
        <stp>INTRINSIC</stp>
        <stp>.GDX201120P37</stp>
        <tr r="R199" s="1"/>
      </tp>
      <tp t="s">
        <v>N/A</v>
        <stp/>
        <stp>INTRINSIC</stp>
        <stp>.EWZ201120C32</stp>
        <tr r="R175" s="1"/>
      </tp>
      <tp t="s">
        <v>4.94%</v>
        <stp/>
        <stp>IMPL_VOL</stp>
        <stp>BKLN</stp>
        <tr r="D48" s="1"/>
      </tp>
      <tp t="s">
        <v>N/A</v>
        <stp/>
        <stp>INTRINSIC</stp>
        <stp>SPY</stp>
        <tr r="R590" s="1"/>
      </tp>
      <tp t="s">
        <v>N/A</v>
        <stp/>
        <stp>EXTRINSIC</stp>
        <stp>SPY</stp>
        <tr r="S590" s="1"/>
      </tp>
      <tp t="s">
        <v>N/A</v>
        <stp/>
        <stp>EXTRINSIC</stp>
        <stp>.XLK201120C121.5</stp>
        <tr r="S833" s="1"/>
      </tp>
      <tp t="s">
        <v>N/A</v>
        <stp/>
        <stp>EXTRINSIC</stp>
        <stp>.XLV201120C111.5</stp>
        <tr r="S863" s="1"/>
      </tp>
      <tp t="s">
        <v>N/A</v>
        <stp/>
        <stp>EXTRINSIC</stp>
        <stp>.XLY201120C151.5</stp>
        <tr r="S868" s="1"/>
      </tp>
      <tp t="s">
        <v>N/A</v>
        <stp/>
        <stp>INTRINSIC</stp>
        <stp>.EWY201120C72</stp>
        <tr r="R164" s="1"/>
      </tp>
      <tp t="s">
        <v>N/A</v>
        <stp/>
        <stp>INTRINSIC</stp>
        <stp>.EWY201120C73</stp>
        <tr r="R168" s="1"/>
      </tp>
      <tp t="s">
        <v>N/A</v>
        <stp/>
        <stp>INTRINSIC</stp>
        <stp>SSO</stp>
        <tr r="R642" s="1"/>
      </tp>
      <tp t="s">
        <v>N/A</v>
        <stp/>
        <stp>EXTRINSIC</stp>
        <stp>SSO</stp>
        <tr r="S642" s="1"/>
      </tp>
      <tp t="s">
        <v>N/A</v>
        <stp/>
        <stp>INTRINSIC</stp>
        <stp>.XLV201120C111.5</stp>
        <tr r="R863" s="1"/>
      </tp>
      <tp t="s">
        <v>N/A</v>
        <stp/>
        <stp>INTRINSIC</stp>
        <stp>.XLY201120C151.5</stp>
        <tr r="R868" s="1"/>
      </tp>
      <tp t="s">
        <v>N/A</v>
        <stp/>
        <stp>INTRINSIC</stp>
        <stp>.XLK201120C121.5</stp>
        <tr r="R833" s="1"/>
      </tp>
      <tp t="s">
        <v>N/A</v>
        <stp/>
        <stp>INTRINSIC</stp>
        <stp>.SDS201120P14</stp>
        <tr r="R541" s="1"/>
      </tp>
      <tp t="s">
        <v>N/A</v>
        <stp/>
        <stp>INTRINSIC</stp>
        <stp>.EWP201120C26</stp>
        <tr r="R146" s="1"/>
      </tp>
      <tp t="s">
        <v>N/A</v>
        <stp/>
        <stp>PROB_OF_EXPIRING</stp>
        <stp>ICLN</stp>
        <tr r="T245" s="1"/>
      </tp>
      <tp t="s">
        <v>N/A</v>
        <stp/>
        <stp>PROB_OF_EXPIRING</stp>
        <stp>VCLT</stp>
        <tr r="T704" s="1"/>
      </tp>
      <tp t="s">
        <v>N/A</v>
        <stp/>
        <stp>EXTRINSIC</stp>
        <stp>.XHB201120P55</stp>
        <tr r="S782" s="1"/>
      </tp>
      <tp t="s">
        <v>N/A</v>
        <stp/>
        <stp>EXTRINSIC</stp>
        <stp>.XHB201120P56</stp>
        <tr r="S786" s="1"/>
      </tp>
      <tp t="s">
        <v>N/A</v>
        <stp/>
        <stp>PROB_OF_TOUCHING</stp>
        <stp>DFEN</stp>
        <tr r="V54" s="1"/>
      </tp>
      <tp t="s">
        <v>N/A</v>
        <stp/>
        <stp>INTRINSIC</stp>
        <stp>.EWT201120C48</stp>
        <tr r="R149" s="1"/>
      </tp>
      <tp t="s">
        <v>N/A</v>
        <stp/>
        <stp>PROB_OF_EXPIRING</stp>
        <stp>VCIT</stp>
        <tr r="T701" s="1"/>
      </tp>
      <tp t="s">
        <v>N/A</v>
        <stp/>
        <stp>PROB_OF_EXPIRING</stp>
        <stp>SCHF</stp>
        <tr r="T528" s="1"/>
      </tp>
      <tp t="s">
        <v>N/A</v>
        <stp/>
        <stp>PROB_OF_EXPIRING</stp>
        <stp>SCHE</stp>
        <tr r="T525" s="1"/>
      </tp>
      <tp t="s">
        <v>N/A</v>
        <stp/>
        <stp>PROB_OF_EXPIRING</stp>
        <stp>SCHD</stp>
        <tr r="T520" s="1"/>
      </tp>
      <tp t="s">
        <v>N/A</v>
        <stp/>
        <stp>PROB_OF_EXPIRING</stp>
        <stp>MCHI</stp>
        <tr r="T411" s="1"/>
      </tp>
      <tp t="s">
        <v>N/A</v>
        <stp/>
        <stp>PROB_OF_EXPIRING</stp>
        <stp>SCHP</stp>
        <tr r="T531" s="1"/>
      </tp>
      <tp t="s">
        <v>N/A</v>
        <stp/>
        <stp>INTRINSIC</stp>
        <stp>.EWW201120C39</stp>
        <tr r="R157" s="1"/>
      </tp>
      <tp t="s">
        <v>N/A</v>
        <stp/>
        <stp>EXTRINSIC</stp>
        <stp>SDS</stp>
        <tr r="S537" s="1"/>
      </tp>
      <tp t="s">
        <v>N/A</v>
        <stp/>
        <stp>INTRINSIC</stp>
        <stp>SDS</stp>
        <tr r="R537" s="1"/>
      </tp>
      <tp t="s">
        <v>N/A</v>
        <stp/>
        <stp>INTRINSIC</stp>
        <stp>.VWO201120C47</stp>
        <tr r="R751" s="1"/>
      </tp>
      <tp t="s">
        <v>N/A</v>
        <stp/>
        <stp>INTRINSIC</stp>
        <stp>.EWI201120C27</stp>
        <tr r="R133" s="1"/>
      </tp>
      <tp t="s">
        <v>N/A</v>
        <stp/>
        <stp>INTRINSIC</stp>
        <stp>.EWH201120C24</stp>
        <tr r="R130" s="1"/>
      </tp>
      <tp t="s">
        <v>N/A</v>
        <stp/>
        <stp>PROB_OF_EXPIRING</stp>
        <stp>ACWI</stp>
        <tr r="T7" s="1"/>
      </tp>
      <tp t="s">
        <v>N/A</v>
        <stp/>
        <stp>PROB_OF_EXPIRING</stp>
        <stp>ACWX</stp>
        <tr r="T12" s="1"/>
      </tp>
      <tp t="s">
        <v>N/A</v>
        <stp/>
        <stp>INTRINSIC</stp>
        <stp>.EWL201120C43</stp>
        <tr r="R143" s="1"/>
      </tp>
      <tp t="s">
        <v>N/A</v>
        <stp/>
        <stp>INTRINSIC</stp>
        <stp>.RWM201120C29</stp>
        <tr r="R518" s="1"/>
      </tp>
      <tp t="s">
        <v>N/A</v>
        <stp/>
        <stp>INTRINSIC</stp>
        <stp>SCZ</stp>
        <tr r="R534" s="1"/>
      </tp>
      <tp t="s">
        <v>N/A</v>
        <stp/>
        <stp>EXTRINSIC</stp>
        <stp>SCZ</stp>
        <tr r="S534" s="1"/>
      </tp>
      <tp t="s">
        <v>N/A</v>
        <stp/>
        <stp>INTRINSIC</stp>
        <stp>.EWJ201120C63</stp>
        <tr r="R136" s="1"/>
      </tp>
      <tp t="s">
        <v>N/A</v>
        <stp/>
        <stp>INTRINSIC</stp>
        <stp>.EWJ201120C64</stp>
        <tr r="R140" s="1"/>
      </tp>
      <tp t="s">
        <v>N/A</v>
        <stp/>
        <stp>EXTRINSIC</stp>
        <stp>.XLK201120P121.5</stp>
        <tr r="S834" s="1"/>
      </tp>
      <tp t="s">
        <v>N/A</v>
        <stp/>
        <stp>EXTRINSIC</stp>
        <stp>.XLV201120P111.5</stp>
        <tr r="S864" s="1"/>
      </tp>
      <tp t="s">
        <v>N/A</v>
        <stp/>
        <stp>EXTRINSIC</stp>
        <stp>.XLY201120P151.5</stp>
        <tr r="S869" s="1"/>
      </tp>
      <tp t="s">
        <v>N/A</v>
        <stp/>
        <stp>INTRINSIC</stp>
        <stp>.EWA201120C22</stp>
        <tr r="R121" s="1"/>
      </tp>
      <tp t="s">
        <v>N/A</v>
        <stp/>
        <stp>INTRINSIC</stp>
        <stp>SMH</stp>
        <tr r="R551" s="1"/>
      </tp>
      <tp t="s">
        <v>N/A</v>
        <stp/>
        <stp>EXTRINSIC</stp>
        <stp>SMH</stp>
        <tr r="S551" s="1"/>
      </tp>
      <tp t="s">
        <v>N/A</v>
        <stp/>
        <stp>INTRINSIC</stp>
        <stp>.EWC201120C29</stp>
        <tr r="R124" s="1"/>
      </tp>
      <tp t="s">
        <v>N/A</v>
        <stp/>
        <stp>INTRINSIC</stp>
        <stp>.XLV201120P111.5</stp>
        <tr r="R864" s="1"/>
      </tp>
      <tp t="s">
        <v>N/A</v>
        <stp/>
        <stp>INTRINSIC</stp>
        <stp>.XLY201120P151.5</stp>
        <tr r="R869" s="1"/>
      </tp>
      <tp t="s">
        <v>N/A</v>
        <stp/>
        <stp>INTRINSIC</stp>
        <stp>.XLK201120P121.5</stp>
        <tr r="R834" s="1"/>
      </tp>
      <tp t="s">
        <v>N/A</v>
        <stp/>
        <stp>INTRINSIC</stp>
        <stp>SHY</stp>
        <tr r="R545" s="1"/>
      </tp>
      <tp t="s">
        <v>N/A</v>
        <stp/>
        <stp>EXTRINSIC</stp>
        <stp>SHY</stp>
        <tr r="S545" s="1"/>
      </tp>
      <tp t="s">
        <v>N/A</v>
        <stp/>
        <stp>INTRINSIC</stp>
        <stp>.EWG201120C30</stp>
        <tr r="R127" s="1"/>
      </tp>
      <tp>
        <v>0.23</v>
        <stp/>
        <stp>OPEN</stp>
        <stp>.RSX201120P22</stp>
        <tr r="L514" s="1"/>
      </tp>
      <tp>
        <v>0</v>
        <stp/>
        <stp>VOLUME</stp>
        <stp>.IVV201120P357.5</stp>
        <tr r="F319" s="1"/>
      </tp>
      <tp>
        <v>0</v>
        <stp/>
        <stp>VOLUME</stp>
        <stp>.IWF201120P227.5</stp>
        <tr r="F344" s="1"/>
      </tp>
      <tp t="s">
        <v>N/A</v>
        <stp/>
        <stp>LAST</stp>
        <stp>.EZU201120C42</stp>
        <tr r="E178" s="1"/>
      </tp>
      <tp t="s">
        <v>N/A</v>
        <stp/>
        <stp>LAST</stp>
        <stp>.BZQ201120C12</stp>
        <tr r="E52" s="1"/>
      </tp>
      <tp t="s">
        <v>N/A</v>
        <stp/>
        <stp>HIGH</stp>
        <stp>.EFV201120C45</stp>
        <tr r="J109" s="1"/>
      </tp>
      <tp t="s">
        <v>N/A</v>
        <stp/>
        <stp>PUT_CALL_RATIO</stp>
        <stp>.SMH201120C193.5</stp>
        <tr r="C556" s="1"/>
      </tp>
      <tp t="s">
        <v>N/A</v>
        <stp/>
        <stp>HIGH</stp>
        <stp>.VFH201120C66</stp>
        <tr r="J714" s="1"/>
      </tp>
      <tp t="s">
        <v>N/A</v>
        <stp/>
        <stp>HIGH</stp>
        <stp>.VFH201120C67</stp>
        <tr r="J716" s="1"/>
      </tp>
      <tp t="s">
        <v>N/A</v>
        <stp/>
        <stp>VEGA</stp>
        <stp>.XOP201120C48</stp>
        <tr r="P894" s="1"/>
      </tp>
      <tp t="s">
        <v>N/A</v>
        <stp/>
        <stp>VEGA</stp>
        <stp>.XOP201120C49</stp>
        <tr r="P898" s="1"/>
      </tp>
      <tp t="s">
        <v>N/A</v>
        <stp/>
        <stp>VEGA</stp>
        <stp>.XOP201120C47</stp>
        <tr r="P890" s="1"/>
      </tp>
      <tp t="s">
        <v>N/A</v>
        <stp/>
        <stp>VOLUME</stp>
        <stp>.IWF201120C227.5</stp>
        <tr r="F343" s="1"/>
      </tp>
      <tp>
        <v>0</v>
        <stp/>
        <stp>VOLUME</stp>
        <stp>.IVV201120C357.5</stp>
        <tr r="F318" s="1"/>
      </tp>
      <tp>
        <v>0.72</v>
        <stp/>
        <stp>HIGH</stp>
        <stp>.EFA201120C69</stp>
        <tr r="J102" s="1"/>
      </tp>
      <tp>
        <v>0.33</v>
        <stp/>
        <stp>HIGH</stp>
        <stp>.EFA201120C70</stp>
        <tr r="J106" s="1"/>
      </tp>
      <tp t="s">
        <v>N/A</v>
        <stp/>
        <stp>GAMMA</stp>
        <stp>.JETS201120C20</stp>
        <tr r="N378" s="1"/>
      </tp>
      <tp t="s">
        <v>N/A</v>
        <stp/>
        <stp>PUT_CALL_RATIO</stp>
        <stp>.SMH201120P193.5</stp>
        <tr r="C557" s="1"/>
      </tp>
      <tp>
        <v>2.1</v>
        <stp/>
        <stp>OPEN</stp>
        <stp>.SSO201120P81</stp>
        <tr r="L644" s="1"/>
      </tp>
      <tp t="s">
        <v>N/A</v>
        <stp/>
        <stp>OPEN</stp>
        <stp>.SSO201120P83</stp>
        <tr r="L652" s="1"/>
      </tp>
      <tp t="s">
        <v>N/A</v>
        <stp/>
        <stp>OPEN</stp>
        <stp>.SSO201120P82</stp>
        <tr r="L648" s="1"/>
      </tp>
      <tp>
        <v>0</v>
        <stp/>
        <stp>OPEN</stp>
        <stp>.SSO201120P84</stp>
        <tr r="L656" s="1"/>
      </tp>
      <tp t="s">
        <v>N/A</v>
        <stp/>
        <stp>DELTA</stp>
        <stp>.XHB201120P55.5</stp>
        <tr r="M784" s="1"/>
      </tp>
      <tp t="s">
        <v>N/A</v>
        <stp/>
        <stp>DELTA</stp>
        <stp>.XLI201120P85.5</stp>
        <tr r="M821" s="1"/>
      </tp>
      <tp t="s">
        <v>N/A</v>
        <stp/>
        <stp>DELTA</stp>
        <stp>.XRT201120C55.5</stp>
        <tr r="M909" s="1"/>
      </tp>
      <tp t="s">
        <v>N/A</v>
        <stp/>
        <stp>DELTA</stp>
        <stp>.XHB201120C55.5</stp>
        <tr r="M783" s="1"/>
      </tp>
      <tp t="s">
        <v>N/A</v>
        <stp/>
        <stp>DELTA</stp>
        <stp>.XLI201120C85.5</stp>
        <tr r="M820" s="1"/>
      </tp>
      <tp t="s">
        <v>N/A</v>
        <stp/>
        <stp>VEGA</stp>
        <stp>.ITOT201120C81</stp>
        <tr r="P300" s="1"/>
      </tp>
      <tp t="s">
        <v>N/A</v>
        <stp/>
        <stp>VEGA</stp>
        <stp>.ITOT201120C80</stp>
        <tr r="P298" s="1"/>
      </tp>
      <tp t="s">
        <v>N/A</v>
        <stp/>
        <stp>DELTA</stp>
        <stp>.XRT201120P55.5</stp>
        <tr r="M910" s="1"/>
      </tp>
      <tp>
        <v>0.6</v>
        <stp/>
        <stp>OPEN</stp>
        <stp>.DFEN201120P13</stp>
        <tr r="L56" s="1"/>
      </tp>
      <tp>
        <v>1.2</v>
        <stp/>
        <stp>OPEN</stp>
        <stp>.DFEN201120P14</stp>
        <tr r="L58" s="1"/>
      </tp>
      <tp t="s">
        <v>N/A</v>
        <stp/>
        <stp>GAMMA</stp>
        <stp>.IYR201120C84.5</stp>
        <tr r="N369" s="1"/>
      </tp>
      <tp t="s">
        <v>N/A</v>
        <stp/>
        <stp>GAMMA</stp>
        <stp>.ITB201120C54.5</stp>
        <tr r="N289" s="1"/>
      </tp>
      <tp t="s">
        <v>N/A</v>
        <stp/>
        <stp>GAMMA</stp>
        <stp>.IYR201120P84.5</stp>
        <tr r="N370" s="1"/>
      </tp>
      <tp t="s">
        <v>N/A</v>
        <stp/>
        <stp>GAMMA</stp>
        <stp>.ITB201120P54.5</stp>
        <tr r="N290" s="1"/>
      </tp>
      <tp>
        <v>0.1</v>
        <stp/>
        <stp>LAST</stp>
        <stp>.IXUS201120C63</stp>
        <tr r="E361" s="1"/>
      </tp>
      <tp t="s">
        <v>N/A</v>
        <stp/>
        <stp>DELTA</stp>
        <stp>.TAN201120P75.5</stp>
        <tr r="M673" s="1"/>
      </tp>
      <tp>
        <v>1.3</v>
        <stp/>
        <stp>OPEN</stp>
        <stp>.KWEB201120P74</stp>
        <tr r="L403" s="1"/>
      </tp>
      <tp t="s">
        <v>N/A</v>
        <stp/>
        <stp>OPEN</stp>
        <stp>.KWEB201120P73</stp>
        <tr r="L401" s="1"/>
      </tp>
      <tp t="s">
        <v>N/A</v>
        <stp/>
        <stp>OPEN</stp>
        <stp>.KWEB201120P72</stp>
        <tr r="L399" s="1"/>
      </tp>
      <tp t="s">
        <v>N/A</v>
        <stp/>
        <stp>DELTA</stp>
        <stp>.TAN201120C75.5</stp>
        <tr r="M672" s="1"/>
      </tp>
      <tp t="s">
        <v>N/A</v>
        <stp/>
        <stp>RHO</stp>
        <stp>.SH201120C19</stp>
        <tr r="Q543" s="1"/>
      </tp>
      <tp t="s">
        <v>N/A</v>
        <stp/>
        <stp>LAST</stp>
        <stp>.VXUS201120C56</stp>
        <tr r="E754" s="1"/>
      </tp>
      <tp t="s">
        <v>N/A</v>
        <stp/>
        <stp>LAST</stp>
        <stp>.VXUS201120C57</stp>
        <tr r="E756" s="1"/>
      </tp>
      <tp t="s">
        <v>N/A</v>
        <stp/>
        <stp>DELTA</stp>
        <stp>.IYR201120C85.5</stp>
        <tr r="M373" s="1"/>
      </tp>
      <tp t="s">
        <v>N/A</v>
        <stp/>
        <stp>DELTA</stp>
        <stp>.ITB201120C55.5</stp>
        <tr r="M293" s="1"/>
      </tp>
      <tp t="s">
        <v>N/A</v>
        <stp/>
        <stp>DELTA</stp>
        <stp>.IYR201120P85.5</stp>
        <tr r="M374" s="1"/>
      </tp>
      <tp t="s">
        <v>N/A</v>
        <stp/>
        <stp>DELTA</stp>
        <stp>.ITB201120P55.5</stp>
        <tr r="M294" s="1"/>
      </tp>
      <tp t="s">
        <v>N/A</v>
        <stp/>
        <stp>DELTA</stp>
        <stp>.HYG201120C85.5</stp>
        <tr r="M221" s="1"/>
      </tp>
      <tp t="s">
        <v>N/A</v>
        <stp/>
        <stp>DELTA</stp>
        <stp>.HYG201120P85.5</stp>
        <tr r="M222" s="1"/>
      </tp>
      <tp t="s">
        <v>N/A</v>
        <stp/>
        <stp>GAMMA</stp>
        <stp>.SSO201120C84.5</stp>
        <tr r="N657" s="1"/>
      </tp>
      <tp>
        <v>0</v>
        <stp/>
        <stp>HIGH</stp>
        <stp>.PDBC201120P14</stp>
        <tr r="J453" s="1"/>
      </tp>
      <tp t="s">
        <v>N/A</v>
        <stp/>
        <stp>GAMMA</stp>
        <stp>.SSO201120P84.5</stp>
        <tr r="N658" s="1"/>
      </tp>
      <tp t="s">
        <v>N/A</v>
        <stp/>
        <stp>GAMMA</stp>
        <stp>.TAN201120P74.5</stp>
        <tr r="N669" s="1"/>
      </tp>
      <tp t="s">
        <v>N/A</v>
        <stp/>
        <stp>GAMMA</stp>
        <stp>.TAN201120C74.5</stp>
        <tr r="N668" s="1"/>
      </tp>
      <tp>
        <v>0.44</v>
        <stp/>
        <stp>LAST</stp>
        <stp>.EUFN201120P16</stp>
        <tr r="E119" s="1"/>
      </tp>
      <tp t="s">
        <v>N/A</v>
        <stp/>
        <stp>GAMMA</stp>
        <stp>.XLI201120P84.5</stp>
        <tr r="N817" s="1"/>
      </tp>
      <tp t="s">
        <v>N/A</v>
        <stp/>
        <stp>GAMMA</stp>
        <stp>.XLE201120P34.5</stp>
        <tr r="N809" s="1"/>
      </tp>
      <tp t="s">
        <v>N/A</v>
        <stp/>
        <stp>GAMMA</stp>
        <stp>.XRT201120C54.5</stp>
        <tr r="N905" s="1"/>
      </tp>
      <tp t="s">
        <v>N/A</v>
        <stp/>
        <stp>GAMMA</stp>
        <stp>.XLI201120C84.5</stp>
        <tr r="N816" s="1"/>
      </tp>
      <tp t="s">
        <v>N/A</v>
        <stp/>
        <stp>GAMMA</stp>
        <stp>.XLE201120C34.5</stp>
        <tr r="N808" s="1"/>
      </tp>
      <tp t="s">
        <v>N/A</v>
        <stp/>
        <stp>GAMMA</stp>
        <stp>.XRT201120P54.5</stp>
        <tr r="N906" s="1"/>
      </tp>
      <tp t="s">
        <v>N/A</v>
        <stp/>
        <stp>OPEN</stp>
        <stp>.SRVR201120C36</stp>
        <tr r="L640" s="1"/>
      </tp>
      <tp t="s">
        <v>N/A</v>
        <stp/>
        <stp>OPEN</stp>
        <stp>.SRVR201120C35</stp>
        <tr r="L638" s="1"/>
      </tp>
      <tp t="s">
        <v>N/A</v>
        <stp/>
        <stp>LAST</stp>
        <stp>.IEFA201120P66</stp>
        <tr r="E255" s="1"/>
      </tp>
      <tp t="s">
        <v>N/A</v>
        <stp/>
        <stp>LAST</stp>
        <stp>.IEFA201120P65</stp>
        <tr r="E253" s="1"/>
      </tp>
      <tp t="s">
        <v>N/A</v>
        <stp/>
        <stp>EXTRINSIC</stp>
        <stp>.FXI201120C47</stp>
        <tr r="S189" s="1"/>
      </tp>
      <tp t="s">
        <v>N/A</v>
        <stp/>
        <stp>EXTRINSIC</stp>
        <stp>.FXI201120C48</stp>
        <tr r="S193" s="1"/>
      </tp>
      <tp t="s">
        <v>N/A</v>
        <stp/>
        <stp>INTRINSIC</stp>
        <stp>.PGX201120P15</stp>
        <tr r="R456" s="1"/>
      </tp>
      <tp t="s">
        <v>N/A</v>
        <stp/>
        <stp>PROB_OF_TOUCHING</stp>
        <stp>IEMG</stp>
        <tr r="V256" s="1"/>
      </tp>
      <tp t="s">
        <v>N/A</v>
        <stp/>
        <stp>EXTRINSIC</stp>
        <stp>.PXH201120C19</stp>
        <tr r="S458" s="1"/>
      </tp>
      <tp t="s">
        <v>N/A</v>
        <stp/>
        <stp>EXTRINSIC</stp>
        <stp>.XLK201120C122.5</stp>
        <tr r="S837" s="1"/>
      </tp>
      <tp t="s">
        <v>N/A</v>
        <stp/>
        <stp>EXTRINSIC</stp>
        <stp>.XLY201120C152.5</stp>
        <tr r="S872" s="1"/>
      </tp>
      <tp t="s">
        <v>N/A</v>
        <stp/>
        <stp>INTRINSIC</stp>
        <stp>.XBI201120C122.5</stp>
        <tr r="R766" s="1"/>
      </tp>
      <tp t="s">
        <v>N/A</v>
        <stp/>
        <stp>EXTRINSIC</stp>
        <stp>.PXH201120C20</stp>
        <tr r="S460" s="1"/>
      </tp>
      <tp t="s">
        <v>N/A</v>
        <stp/>
        <stp>EXTRINSIC</stp>
        <stp>.DXD201120C14</stp>
        <tr r="S92" s="1"/>
      </tp>
      <tp t="s">
        <v>N/A</v>
        <stp/>
        <stp>INTRINSIC</stp>
        <stp>.XLY201120C152.5</stp>
        <tr r="R872" s="1"/>
      </tp>
      <tp t="s">
        <v>N/A</v>
        <stp/>
        <stp>INTRINSIC</stp>
        <stp>.XLK201120C122.5</stp>
        <tr r="R837" s="1"/>
      </tp>
      <tp t="s">
        <v>N/A</v>
        <stp/>
        <stp>PROB_OF_TOUCHING</stp>
        <stp>IEFA</stp>
        <tr r="V251" s="1"/>
      </tp>
      <tp t="s">
        <v>N/A</v>
        <stp/>
        <stp>EXTRINSIC</stp>
        <stp>.XBI201120C122.5</stp>
        <tr r="S766" s="1"/>
      </tp>
      <tp t="s">
        <v>N/A</v>
        <stp/>
        <stp>INTRINSIC</stp>
        <stp>PXH</stp>
        <tr r="R457" s="1"/>
      </tp>
      <tp t="s">
        <v>N/A</v>
        <stp/>
        <stp>EXTRINSIC</stp>
        <stp>PXH</stp>
        <tr r="S457" s="1"/>
      </tp>
      <tp t="s">
        <v>N/A</v>
        <stp/>
        <stp>PROB_OF_EXPIRING</stp>
        <stp>.ARKK201120P100</stp>
        <tr r="T33" s="1"/>
      </tp>
      <tp t="s">
        <v>N/A</v>
        <stp/>
        <stp>PROB_OF_EXPIRING</stp>
        <stp>.ARKK201120C100</stp>
        <tr r="T32" s="1"/>
      </tp>
      <tp t="s">
        <v>N/A</v>
        <stp/>
        <stp>INTRINSIC</stp>
        <stp>PGX</stp>
        <tr r="R454" s="1"/>
      </tp>
      <tp t="s">
        <v>N/A</v>
        <stp/>
        <stp>EXTRINSIC</stp>
        <stp>PGX</stp>
        <tr r="S454" s="1"/>
      </tp>
      <tp t="s">
        <v>N/A</v>
        <stp/>
        <stp>PROB_OTM</stp>
        <stp>XLRE</stp>
        <tr r="U846" s="1"/>
      </tp>
      <tp t="s">
        <v>N/A</v>
        <stp/>
        <stp>INTRINSIC</stp>
        <stp>.VGK201120P57</stp>
        <tr r="R723" s="1"/>
      </tp>
      <tp t="s">
        <v>N/A</v>
        <stp/>
        <stp>INTRINSIC</stp>
        <stp>.XBI201120P122.5</stp>
        <tr r="R767" s="1"/>
      </tp>
      <tp t="s">
        <v>20.09%</v>
        <stp/>
        <stp>IMPL_VOL</stp>
        <stp>SHYG</stp>
        <tr r="D548" s="1"/>
      </tp>
      <tp t="s">
        <v>N/A</v>
        <stp/>
        <stp>EXTRINSIC</stp>
        <stp>.XLK201120P122.5</stp>
        <tr r="S838" s="1"/>
      </tp>
      <tp t="s">
        <v>N/A</v>
        <stp/>
        <stp>EXTRINSIC</stp>
        <stp>.XLY201120P152.5</stp>
        <tr r="S873" s="1"/>
      </tp>
      <tp t="s">
        <v>N/A</v>
        <stp/>
        <stp>EXTRINSIC</stp>
        <stp>.XBI201120P122.5</stp>
        <tr r="S767" s="1"/>
      </tp>
      <tp t="s">
        <v>N/A</v>
        <stp/>
        <stp>PROB_OF_TOUCHING</stp>
        <stp>JETS</stp>
        <tr r="V375" s="1"/>
      </tp>
      <tp t="s">
        <v>N/A</v>
        <stp/>
        <stp>INTRINSIC</stp>
        <stp>.XLY201120P152.5</stp>
        <tr r="R873" s="1"/>
      </tp>
      <tp t="s">
        <v>N/A</v>
        <stp/>
        <stp>INTRINSIC</stp>
        <stp>.XLK201120P122.5</stp>
        <tr r="R838" s="1"/>
      </tp>
      <tp t="s">
        <v>N/A</v>
        <stp/>
        <stp>INTRINSIC</stp>
        <stp>.ITB201120C55</stp>
        <tr r="R291" s="1"/>
      </tp>
      <tp t="s">
        <v>N/A</v>
        <stp/>
        <stp>INTRINSIC</stp>
        <stp>.ITB201120C56</stp>
        <tr r="R295" s="1"/>
      </tp>
      <tp t="s">
        <v>N/A</v>
        <stp/>
        <stp>PUT_CALL_RATIO</stp>
        <stp>.SPY201120P352.5</stp>
        <tr r="C608" s="1"/>
      </tp>
      <tp t="s">
        <v>N/A</v>
        <stp/>
        <stp>GAMMA</stp>
        <stp>.EUFN201120P16</stp>
        <tr r="N119" s="1"/>
      </tp>
      <tp t="s">
        <v>N/A</v>
        <stp/>
        <stp>VOLUME</stp>
        <stp>.MDY201120C382.5</stp>
        <tr r="F417" s="1"/>
      </tp>
      <tp t="s">
        <v>N/A</v>
        <stp/>
        <stp>HIGH</stp>
        <stp>.PGX201120C15</stp>
        <tr r="J455" s="1"/>
      </tp>
      <tp t="s">
        <v>N/A</v>
        <stp/>
        <stp>STRIKE</stp>
        <stp>.JNK201120P106.5</stp>
        <tr r="W382" s="1"/>
      </tp>
      <tp t="s">
        <v>N/A</v>
        <stp/>
        <stp>DELTA</stp>
        <stp>.PDBC201120P14</stp>
        <tr r="M453" s="1"/>
      </tp>
      <tp t="s">
        <v>N/A</v>
        <stp/>
        <stp>OPEN</stp>
        <stp>.XRT201120P55</stp>
        <tr r="L908" s="1"/>
      </tp>
      <tp t="s">
        <v>N/A</v>
        <stp/>
        <stp>OPEN</stp>
        <stp>.XRT201120P54</stp>
        <tr r="L904" s="1"/>
      </tp>
      <tp t="s">
        <v>N/A</v>
        <stp/>
        <stp>GAMMA</stp>
        <stp>.IEFA201120P66</stp>
        <tr r="N255" s="1"/>
      </tp>
      <tp t="s">
        <v>N/A</v>
        <stp/>
        <stp>GAMMA</stp>
        <stp>.IEFA201120P65</stp>
        <tr r="N253" s="1"/>
      </tp>
      <tp t="s">
        <v>N/A</v>
        <stp/>
        <stp>PUT_CALL_RATIO</stp>
        <stp>.TLT201120C155.5</stp>
        <tr r="C692" s="1"/>
      </tp>
      <tp t="s">
        <v>N/A</v>
        <stp/>
        <stp>PUT_CALL_RATIO</stp>
        <stp>.XLK201120C119.5</stp>
        <tr r="C825" s="1"/>
      </tp>
      <tp t="s">
        <v>N/A</v>
        <stp/>
        <stp>PUT_CALL_RATIO</stp>
        <stp>.SMH201120C192.5</stp>
        <tr r="C552" s="1"/>
      </tp>
      <tp t="s">
        <v>N/A</v>
        <stp/>
        <stp>HIGH</stp>
        <stp>.VGK201120C57</stp>
        <tr r="J722" s="1"/>
      </tp>
      <tp t="s">
        <v>N/A</v>
        <stp/>
        <stp>OPEN</stp>
        <stp>.TAN201120C73</stp>
        <tr r="L662" s="1"/>
      </tp>
      <tp>
        <v>2.95</v>
        <stp/>
        <stp>OPEN</stp>
        <stp>.TAN201120C75</stp>
        <tr r="L670" s="1"/>
      </tp>
      <tp>
        <v>3.4</v>
        <stp/>
        <stp>OPEN</stp>
        <stp>.TAN201120C74</stp>
        <tr r="L666" s="1"/>
      </tp>
      <tp>
        <v>1.92</v>
        <stp/>
        <stp>OPEN</stp>
        <stp>.TAN201120C77</stp>
        <tr r="L678" s="1"/>
      </tp>
      <tp t="s">
        <v>N/A</v>
        <stp/>
        <stp>OPEN</stp>
        <stp>.TAN201120C76</stp>
        <tr r="L674" s="1"/>
      </tp>
      <tp t="s">
        <v>N/A</v>
        <stp/>
        <stp>PUT_CALL_RATIO</stp>
        <stp>.SPY201120C352.5</stp>
        <tr r="C607" s="1"/>
      </tp>
      <tp t="s">
        <v>N/A</v>
        <stp/>
        <stp>STRIKE</stp>
        <stp>.JNK201120C106.5</stp>
        <tr r="W381" s="1"/>
      </tp>
      <tp t="s">
        <v>N/A</v>
        <stp/>
        <stp>VOLUME</stp>
        <stp>.MDY201120P382.5</stp>
        <tr r="F418" s="1"/>
      </tp>
      <tp t="s">
        <v>N/A</v>
        <stp/>
        <stp>HIGH</stp>
        <stp>.ITB201120P55</stp>
        <tr r="J292" s="1"/>
      </tp>
      <tp t="s">
        <v>N/A</v>
        <stp/>
        <stp>HIGH</stp>
        <stp>.ITB201120P56</stp>
        <tr r="J296" s="1"/>
      </tp>
      <tp t="s">
        <v>N/A</v>
        <stp/>
        <stp>VEGA</stp>
        <stp>.VNQ201120C84</stp>
        <tr r="P725" s="1"/>
      </tp>
      <tp t="s">
        <v>N/A</v>
        <stp/>
        <stp>VEGA</stp>
        <stp>.VNQ201120C85</stp>
        <tr r="P727" s="1"/>
      </tp>
      <tp>
        <v>1.89</v>
        <stp/>
        <stp>OPEN</stp>
        <stp>.KRE201120P47</stp>
        <tr r="L394" s="1"/>
      </tp>
      <tp>
        <v>1.36</v>
        <stp/>
        <stp>OPEN</stp>
        <stp>.KRE201120P46</stp>
        <tr r="L390" s="1"/>
      </tp>
      <tp t="s">
        <v>N/A</v>
        <stp/>
        <stp>PUT_CALL_RATIO</stp>
        <stp>.SMH201120P192.5</stp>
        <tr r="C553" s="1"/>
      </tp>
      <tp>
        <v>1.29</v>
        <stp/>
        <stp>LAST</stp>
        <stp>.XHB201120P55</stp>
        <tr r="E782" s="1"/>
      </tp>
      <tp>
        <v>1.1399999999999999</v>
        <stp/>
        <stp>LAST</stp>
        <stp>.XHB201120P56</stp>
        <tr r="E786" s="1"/>
      </tp>
      <tp t="s">
        <v>N/A</v>
        <stp/>
        <stp>PUT_CALL_RATIO</stp>
        <stp>.TLT201120P155.5</stp>
        <tr r="C693" s="1"/>
      </tp>
      <tp t="s">
        <v>N/A</v>
        <stp/>
        <stp>PUT_CALL_RATIO</stp>
        <stp>.XLK201120P119.5</stp>
        <tr r="C826" s="1"/>
      </tp>
      <tp t="s">
        <v>N/A</v>
        <stp/>
        <stp>GAMMA</stp>
        <stp>.VXUS201120C56</stp>
        <tr r="N754" s="1"/>
      </tp>
      <tp t="s">
        <v>N/A</v>
        <stp/>
        <stp>GAMMA</stp>
        <stp>.VXUS201120C57</stp>
        <tr r="N756" s="1"/>
      </tp>
      <tp t="s">
        <v>N/A</v>
        <stp/>
        <stp>GAMMA</stp>
        <stp>.IXUS201120C63</stp>
        <tr r="N361" s="1"/>
      </tp>
      <tp t="s">
        <v>N/A</v>
        <stp/>
        <stp>THETA</stp>
        <stp>.ITOT201120P80</stp>
        <tr r="O299" s="1"/>
      </tp>
      <tp t="s">
        <v>N/A</v>
        <stp/>
        <stp>THETA</stp>
        <stp>.ITOT201120P81</stp>
        <tr r="O301" s="1"/>
      </tp>
      <tp t="s">
        <v>N/A</v>
        <stp/>
        <stp>DELTA</stp>
        <stp>.XLE201120P34.5</stp>
        <tr r="M809" s="1"/>
      </tp>
      <tp t="s">
        <v>N/A</v>
        <stp/>
        <stp>DELTA</stp>
        <stp>.XLI201120P84.5</stp>
        <tr r="M817" s="1"/>
      </tp>
      <tp t="s">
        <v>N/A</v>
        <stp/>
        <stp>DELTA</stp>
        <stp>.XRT201120C54.5</stp>
        <tr r="M905" s="1"/>
      </tp>
      <tp t="s">
        <v>N/A</v>
        <stp/>
        <stp>DELTA</stp>
        <stp>.XLE201120C34.5</stp>
        <tr r="M808" s="1"/>
      </tp>
      <tp t="s">
        <v>N/A</v>
        <stp/>
        <stp>DELTA</stp>
        <stp>.XLI201120C84.5</stp>
        <tr r="M816" s="1"/>
      </tp>
      <tp t="s">
        <v>N/A</v>
        <stp/>
        <stp>DELTA</stp>
        <stp>.XRT201120P54.5</stp>
        <tr r="M906" s="1"/>
      </tp>
      <tp>
        <v>0.3</v>
        <stp/>
        <stp>BID</stp>
        <stp>.SH201120C19</stp>
        <tr r="H543" s="1"/>
      </tp>
      <tp>
        <v>0.34</v>
        <stp/>
        <stp>LAST</stp>
        <stp>.JETS201120C20</stp>
        <tr r="E378" s="1"/>
      </tp>
      <tp t="s">
        <v>N/A</v>
        <stp/>
        <stp>GAMMA</stp>
        <stp>.HYG201120C85.5</stp>
        <tr r="N221" s="1"/>
      </tp>
      <tp t="s">
        <v>N/A</v>
        <stp/>
        <stp>GAMMA</stp>
        <stp>.HYG201120P85.5</stp>
        <tr r="N222" s="1"/>
      </tp>
      <tp t="s">
        <v>N/A</v>
        <stp/>
        <stp>GAMMA</stp>
        <stp>.IYR201120C85.5</stp>
        <tr r="N373" s="1"/>
      </tp>
      <tp t="s">
        <v>N/A</v>
        <stp/>
        <stp>GAMMA</stp>
        <stp>.ITB201120C55.5</stp>
        <tr r="N293" s="1"/>
      </tp>
      <tp t="s">
        <v>N/A</v>
        <stp/>
        <stp>GAMMA</stp>
        <stp>.IYR201120P85.5</stp>
        <tr r="N374" s="1"/>
      </tp>
      <tp t="s">
        <v>N/A</v>
        <stp/>
        <stp>OPEN</stp>
        <stp>.ACWI201120C85</stp>
        <tr r="L8" s="1"/>
      </tp>
      <tp t="s">
        <v>N/A</v>
        <stp/>
        <stp>OPEN</stp>
        <stp>.ACWI201120C86</stp>
        <tr r="L10" s="1"/>
      </tp>
      <tp t="s">
        <v>N/A</v>
        <stp/>
        <stp>GAMMA</stp>
        <stp>.ITB201120P55.5</stp>
        <tr r="N294" s="1"/>
      </tp>
      <tp t="s">
        <v>N/A</v>
        <stp/>
        <stp>DELTA</stp>
        <stp>.SSO201120C84.5</stp>
        <tr r="M657" s="1"/>
      </tp>
      <tp t="s">
        <v>N/A</v>
        <stp/>
        <stp>OPEN</stp>
        <stp>.INDA201120P36</stp>
        <tr r="L282" s="1"/>
      </tp>
      <tp t="s">
        <v>N/A</v>
        <stp/>
        <stp>DELTA</stp>
        <stp>.SSO201120P84.5</stp>
        <tr r="M658" s="1"/>
      </tp>
      <tp t="s">
        <v>N/A</v>
        <stp/>
        <stp>DELTA</stp>
        <stp>.TAN201120P74.5</stp>
        <tr r="M669" s="1"/>
      </tp>
      <tp t="s">
        <v>N/A</v>
        <stp/>
        <stp>DELTA</stp>
        <stp>.TAN201120C74.5</stp>
        <tr r="M668" s="1"/>
      </tp>
      <tp t="s">
        <v>N/A</v>
        <stp/>
        <stp>DELTA</stp>
        <stp>.IYR201120C84.5</stp>
        <tr r="M369" s="1"/>
      </tp>
      <tp t="s">
        <v>N/A</v>
        <stp/>
        <stp>DELTA</stp>
        <stp>.ITB201120C54.5</stp>
        <tr r="M289" s="1"/>
      </tp>
      <tp t="s">
        <v>N/A</v>
        <stp/>
        <stp>DELTA</stp>
        <stp>.IYR201120P84.5</stp>
        <tr r="M370" s="1"/>
      </tp>
      <tp t="s">
        <v>N/A</v>
        <stp/>
        <stp>DELTA</stp>
        <stp>.ITB201120P54.5</stp>
        <tr r="M290" s="1"/>
      </tp>
      <tp t="s">
        <v>N/A</v>
        <stp/>
        <stp>OPEN</stp>
        <stp>.INDY201120P38</stp>
        <tr r="L287" s="1"/>
      </tp>
      <tp t="s">
        <v>N/A</v>
        <stp/>
        <stp>GAMMA</stp>
        <stp>.TAN201120P75.5</stp>
        <tr r="N673" s="1"/>
      </tp>
      <tp t="s">
        <v>N/A</v>
        <stp/>
        <stp>GAMMA</stp>
        <stp>.TAN201120C75.5</stp>
        <tr r="N672" s="1"/>
      </tp>
      <tp t="s">
        <v>N/A</v>
        <stp/>
        <stp>OPEN</stp>
        <stp>.ACWX201120C50</stp>
        <tr r="L13" s="1"/>
      </tp>
      <tp t="s">
        <v>N/A</v>
        <stp/>
        <stp>GAMMA</stp>
        <stp>.XHB201120P55.5</stp>
        <tr r="N784" s="1"/>
      </tp>
      <tp t="s">
        <v>N/A</v>
        <stp/>
        <stp>GAMMA</stp>
        <stp>.XLI201120P85.5</stp>
        <tr r="N821" s="1"/>
      </tp>
      <tp t="s">
        <v>N/A</v>
        <stp/>
        <stp>GAMMA</stp>
        <stp>.XRT201120C55.5</stp>
        <tr r="N909" s="1"/>
      </tp>
      <tp t="s">
        <v>N/A</v>
        <stp/>
        <stp>GAMMA</stp>
        <stp>.XHB201120C55.5</stp>
        <tr r="N783" s="1"/>
      </tp>
      <tp t="s">
        <v>N/A</v>
        <stp/>
        <stp>GAMMA</stp>
        <stp>.XLI201120C85.5</stp>
        <tr r="N820" s="1"/>
      </tp>
      <tp t="s">
        <v>N/A</v>
        <stp/>
        <stp>GAMMA</stp>
        <stp>.XRT201120P55.5</stp>
        <tr r="N910" s="1"/>
      </tp>
      <tp t="s">
        <v>N/A</v>
        <stp/>
        <stp>OPEN</stp>
        <stp>.SPDW201120P32</stp>
        <tr r="L580" s="1"/>
      </tp>
      <tp t="s">
        <v>N/A</v>
        <stp/>
        <stp>EXTRINSIC</stp>
        <stp>.HYG201120C86</stp>
        <tr r="S223" s="1"/>
      </tp>
      <tp t="s">
        <v>N/A</v>
        <stp/>
        <stp>EXTRINSIC</stp>
        <stp>.XLY201120C153.5</stp>
        <tr r="S876" s="1"/>
      </tp>
      <tp t="s">
        <v>N/A</v>
        <stp/>
        <stp>EXTRINSIC</stp>
        <stp>QQQ</stp>
        <tr r="S475" s="1"/>
      </tp>
      <tp t="s">
        <v>N/A</v>
        <stp/>
        <stp>INTRINSIC</stp>
        <stp>QQQ</stp>
        <tr r="R475" s="1"/>
      </tp>
      <tp t="s">
        <v>N/A</v>
        <stp/>
        <stp>EXTRINSIC</stp>
        <stp>.SMH201120C198.5</stp>
        <tr r="S576" s="1"/>
      </tp>
      <tp t="s">
        <v>N/A</v>
        <stp/>
        <stp>INTRINSIC</stp>
        <stp>.XBI201120C123.5</stp>
        <tr r="R770" s="1"/>
      </tp>
      <tp t="s">
        <v>N/A</v>
        <stp/>
        <stp>EXTRINSIC</stp>
        <stp>.VYM201120C87</stp>
        <tr r="S759" s="1"/>
      </tp>
      <tp t="s">
        <v>N/A</v>
        <stp/>
        <stp>EXTRINSIC</stp>
        <stp>.VYM201120C88</stp>
        <tr r="S761" s="1"/>
      </tp>
      <tp t="s">
        <v>N/A</v>
        <stp/>
        <stp>INTRINSIC</stp>
        <stp>.XLY201120C153.5</stp>
        <tr r="R876" s="1"/>
      </tp>
      <tp t="s">
        <v>N/A</v>
        <stp/>
        <stp>INTRINSIC</stp>
        <stp>.EFV201120P45</stp>
        <tr r="R110" s="1"/>
      </tp>
      <tp t="s">
        <v>N/A</v>
        <stp/>
        <stp>EXTRINSIC</stp>
        <stp>.IYE201120C18</stp>
        <tr r="S364" s="1"/>
      </tp>
      <tp t="s">
        <v>N/A</v>
        <stp/>
        <stp>INTRINSIC</stp>
        <stp>.SMH201120C198.5</stp>
        <tr r="R576" s="1"/>
      </tp>
      <tp t="s">
        <v>N/A</v>
        <stp/>
        <stp>EXTRINSIC</stp>
        <stp>.XBI201120C123.5</stp>
        <tr r="S770" s="1"/>
      </tp>
      <tp t="s">
        <v>N/A</v>
        <stp/>
        <stp>PROB_OF_EXPIRING</stp>
        <stp>NAIL</stp>
        <tr r="T438" s="1"/>
      </tp>
      <tp t="s">
        <v>N/A</v>
        <stp/>
        <stp>PROB_OTM</stp>
        <stp>AMLP</stp>
        <tr r="U18" s="1"/>
      </tp>
      <tp t="s">
        <v>N/A</v>
        <stp/>
        <stp>PROB_OF_TOUCHING</stp>
        <stp>PDBC</stp>
        <tr r="V451" s="1"/>
      </tp>
      <tp t="s">
        <v>N/A</v>
        <stp/>
        <stp>PROB_OTM</stp>
        <stp>EMLC</stp>
        <tr r="U114" s="1"/>
      </tp>
      <tp t="s">
        <v>N/A</v>
        <stp/>
        <stp>INTRINSIC</stp>
        <stp>.VFH201120P66</stp>
        <tr r="R715" s="1"/>
      </tp>
      <tp t="s">
        <v>N/A</v>
        <stp/>
        <stp>INTRINSIC</stp>
        <stp>.VFH201120P67</stp>
        <tr r="R717" s="1"/>
      </tp>
      <tp t="s">
        <v>N/A</v>
        <stp/>
        <stp>INTRINSIC</stp>
        <stp>.XBI201120P123.5</stp>
        <tr r="R771" s="1"/>
      </tp>
      <tp t="s">
        <v>N/A</v>
        <stp/>
        <stp>EXTRINSIC</stp>
        <stp>.SMH201120P198.5</stp>
        <tr r="S577" s="1"/>
      </tp>
      <tp t="s">
        <v>N/A</v>
        <stp/>
        <stp>EXTRINSIC</stp>
        <stp>.IJR201120P80</stp>
        <tr r="S276" s="1"/>
      </tp>
      <tp t="s">
        <v>N/A</v>
        <stp/>
        <stp>EXTRINSIC</stp>
        <stp>.IYR201120C84</stp>
        <tr r="S367" s="1"/>
      </tp>
      <tp t="s">
        <v>N/A</v>
        <stp/>
        <stp>EXTRINSIC</stp>
        <stp>.IYR201120C85</stp>
        <tr r="S371" s="1"/>
      </tp>
      <tp t="s">
        <v>N/A</v>
        <stp/>
        <stp>PROB_OF_TOUCHING</stp>
        <stp>GDXJ</stp>
        <tr r="V202" s="1"/>
      </tp>
      <tp t="s">
        <v>N/A</v>
        <stp/>
        <stp>EXTRINSIC</stp>
        <stp>.XLY201120P153.5</stp>
        <tr r="S877" s="1"/>
      </tp>
      <tp t="s">
        <v>N/A</v>
        <stp/>
        <stp>EXTRINSIC</stp>
        <stp>QLD</stp>
        <tr r="S462" s="1"/>
      </tp>
      <tp t="s">
        <v>N/A</v>
        <stp/>
        <stp>INTRINSIC</stp>
        <stp>QLD</stp>
        <tr r="R462" s="1"/>
      </tp>
      <tp t="s">
        <v>N/A</v>
        <stp/>
        <stp>EXTRINSIC</stp>
        <stp>.XBI201120P123.5</stp>
        <tr r="S771" s="1"/>
      </tp>
      <tp t="s">
        <v>N/A</v>
        <stp/>
        <stp>INTRINSIC</stp>
        <stp>.SMH201120P198.5</stp>
        <tr r="R577" s="1"/>
      </tp>
      <tp t="s">
        <v>N/A</v>
        <stp/>
        <stp>INTRINSIC</stp>
        <stp>.XLY201120P153.5</stp>
        <tr r="R877" s="1"/>
      </tp>
      <tp t="s">
        <v>N/A</v>
        <stp/>
        <stp>INTRINSIC</stp>
        <stp>.EFA201120P69</stp>
        <tr r="R103" s="1"/>
      </tp>
      <tp t="s">
        <v>N/A</v>
        <stp/>
        <stp>INTRINSIC</stp>
        <stp>.EFA201120P70</stp>
        <tr r="R107" s="1"/>
      </tp>
      <tp t="s">
        <v>N/A</v>
        <stp/>
        <stp>PROB_OF_EXPIRING</stp>
        <stp>AAXJ</stp>
        <tr r="T2" s="1"/>
      </tp>
      <tp>
        <v>0</v>
        <stp/>
        <stp>VOLUME</stp>
        <stp>.INDA201120P36.5</stp>
        <tr r="F284" s="1"/>
      </tp>
      <tp t="s">
        <v>N/A</v>
        <stp/>
        <stp>VOLUME</stp>
        <stp>.INDA201120C36.5</stp>
        <tr r="F28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EFF7-4BEA-46A5-A371-84763359CFBE}">
  <dimension ref="A1:W910"/>
  <sheetViews>
    <sheetView tabSelected="1" workbookViewId="0">
      <selection activeCell="I10" sqref="I10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t="s">
        <v>23</v>
      </c>
      <c r="B2" t="str">
        <f>RTD("tos.rtd", , "DESCRIPTION", "AAXJ")</f>
        <v>N/A</v>
      </c>
      <c r="C2">
        <f>RTD("tos.rtd", , "PUT_CALL_RATIO", "AAXJ")</f>
        <v>140</v>
      </c>
      <c r="D2" t="str">
        <f>RTD("tos.rtd", , "IMPL_VOL", "AAXJ")</f>
        <v>20.28%</v>
      </c>
      <c r="E2">
        <f>RTD("tos.rtd", , "LAST", "AAXJ")</f>
        <v>83.27</v>
      </c>
      <c r="F2">
        <f>RTD("tos.rtd", , "VOLUME", "AAXJ")</f>
        <v>1548611</v>
      </c>
      <c r="G2">
        <f>RTD("tos.rtd", , "OPEN_INT", "AAXJ")</f>
        <v>0</v>
      </c>
      <c r="H2">
        <f>RTD("tos.rtd", , "BID", "AAXJ")</f>
        <v>79.55</v>
      </c>
      <c r="I2">
        <f>RTD("tos.rtd", , "ASK", "AAXJ")</f>
        <v>95</v>
      </c>
      <c r="J2">
        <f>RTD("tos.rtd", , "HIGH", "AAXJ")</f>
        <v>84.28</v>
      </c>
      <c r="K2">
        <f>RTD("tos.rtd", , "LOW", "AAXJ")</f>
        <v>83.045000000000002</v>
      </c>
      <c r="L2">
        <f>RTD("tos.rtd", , "OPEN", "AAXJ")</f>
        <v>83.95</v>
      </c>
      <c r="M2">
        <f>RTD("tos.rtd", , "DELTA", "AAXJ")</f>
        <v>1</v>
      </c>
      <c r="N2">
        <f>RTD("tos.rtd", , "GAMMA", "AAXJ")</f>
        <v>0</v>
      </c>
      <c r="O2">
        <f>RTD("tos.rtd", , "THETA", "AAXJ")</f>
        <v>0</v>
      </c>
      <c r="P2">
        <f>RTD("tos.rtd", , "VEGA", "AAXJ")</f>
        <v>0</v>
      </c>
      <c r="Q2">
        <f>RTD("tos.rtd", , "RHO", "AAXJ")</f>
        <v>0</v>
      </c>
      <c r="R2" t="str">
        <f>RTD("tos.rtd", , "INTRINSIC", "AAXJ")</f>
        <v>N/A</v>
      </c>
      <c r="S2" t="str">
        <f>RTD("tos.rtd", , "EXTRINSIC", "AAXJ")</f>
        <v>N/A</v>
      </c>
      <c r="T2" t="str">
        <f>RTD("tos.rtd", , "PROB_OF_EXPIRING", "AAXJ")</f>
        <v>N/A</v>
      </c>
      <c r="U2" t="str">
        <f>RTD("tos.rtd", , "PROB_OTM", "AAXJ")</f>
        <v>N/A</v>
      </c>
      <c r="V2" t="str">
        <f>RTD("tos.rtd", , "PROB_OF_TOUCHING", "AAXJ")</f>
        <v>N/A</v>
      </c>
      <c r="W2" t="str">
        <f>RTD("tos.rtd", , "STRIKE", "AAXJ")</f>
        <v>N/A</v>
      </c>
    </row>
    <row r="3" spans="1:23" x14ac:dyDescent="0.45">
      <c r="A3" t="s">
        <v>24</v>
      </c>
      <c r="B3" t="str">
        <f>RTD("tos.rtd", , "DESCRIPTION", ".AAXJ201120C83")</f>
        <v>N/A</v>
      </c>
      <c r="C3" t="str">
        <f>RTD("tos.rtd", , "PUT_CALL_RATIO", ".AAXJ201120C83")</f>
        <v>N/A</v>
      </c>
      <c r="D3" t="str">
        <f>RTD("tos.rtd", , "IMPL_VOL", ".AAXJ201120C83")</f>
        <v>N/A</v>
      </c>
      <c r="E3" t="str">
        <f>RTD("tos.rtd", , "LAST", ".AAXJ201120C83")</f>
        <v>N/A</v>
      </c>
      <c r="F3" t="str">
        <f>RTD("tos.rtd", , "VOLUME", ".AAXJ201120C83")</f>
        <v>N/A</v>
      </c>
      <c r="G3" t="str">
        <f>RTD("tos.rtd", , "OPEN_INT", ".AAXJ201120C83")</f>
        <v>N/A</v>
      </c>
      <c r="H3" t="str">
        <f>RTD("tos.rtd", , "BID", ".AAXJ201120C83")</f>
        <v>N/A</v>
      </c>
      <c r="I3" t="str">
        <f>RTD("tos.rtd", , "ASK", ".AAXJ201120C83")</f>
        <v>N/A</v>
      </c>
      <c r="J3" t="str">
        <f>RTD("tos.rtd", , "HIGH", ".AAXJ201120C83")</f>
        <v>N/A</v>
      </c>
      <c r="K3" t="str">
        <f>RTD("tos.rtd", , "LOW", ".AAXJ201120C83")</f>
        <v>N/A</v>
      </c>
      <c r="L3" t="str">
        <f>RTD("tos.rtd", , "OPEN", ".AAXJ201120C83")</f>
        <v>N/A</v>
      </c>
      <c r="M3" t="str">
        <f>RTD("tos.rtd", , "DELTA", ".AAXJ201120C83")</f>
        <v>N/A</v>
      </c>
      <c r="N3" t="str">
        <f>RTD("tos.rtd", , "GAMMA", ".AAXJ201120C83")</f>
        <v>N/A</v>
      </c>
      <c r="O3" t="str">
        <f>RTD("tos.rtd", , "THETA", ".AAXJ201120C83")</f>
        <v>N/A</v>
      </c>
      <c r="P3" t="str">
        <f>RTD("tos.rtd", , "VEGA", ".AAXJ201120C83")</f>
        <v>N/A</v>
      </c>
      <c r="Q3" t="str">
        <f>RTD("tos.rtd", , "RHO", ".AAXJ201120C83")</f>
        <v>N/A</v>
      </c>
      <c r="R3" t="str">
        <f>RTD("tos.rtd", , "INTRINSIC", ".AAXJ201120C83")</f>
        <v>N/A</v>
      </c>
      <c r="S3" t="str">
        <f>RTD("tos.rtd", , "EXTRINSIC", ".AAXJ201120C83")</f>
        <v>N/A</v>
      </c>
      <c r="T3" t="str">
        <f>RTD("tos.rtd", , "PROB_OF_EXPIRING", ".AAXJ201120C83")</f>
        <v>N/A</v>
      </c>
      <c r="U3" t="str">
        <f>RTD("tos.rtd", , "PROB_OTM", ".AAXJ201120C83")</f>
        <v>N/A</v>
      </c>
      <c r="V3" t="str">
        <f>RTD("tos.rtd", , "PROB_OF_TOUCHING", ".AAXJ201120C83")</f>
        <v>N/A</v>
      </c>
      <c r="W3" t="str">
        <f>RTD("tos.rtd", , "STRIKE", ".AAXJ201120C83")</f>
        <v>N/A</v>
      </c>
    </row>
    <row r="4" spans="1:23" x14ac:dyDescent="0.45">
      <c r="A4" t="s">
        <v>25</v>
      </c>
      <c r="B4" t="str">
        <f>RTD("tos.rtd", , "DESCRIPTION", ".AAXJ201120P83")</f>
        <v>N/A</v>
      </c>
      <c r="C4" t="str">
        <f>RTD("tos.rtd", , "PUT_CALL_RATIO", ".AAXJ201120P83")</f>
        <v>N/A</v>
      </c>
      <c r="D4" t="str">
        <f>RTD("tos.rtd", , "IMPL_VOL", ".AAXJ201120P83")</f>
        <v>N/A</v>
      </c>
      <c r="E4" t="str">
        <f>RTD("tos.rtd", , "LAST", ".AAXJ201120P83")</f>
        <v>N/A</v>
      </c>
      <c r="F4" t="str">
        <f>RTD("tos.rtd", , "VOLUME", ".AAXJ201120P83")</f>
        <v>N/A</v>
      </c>
      <c r="G4" t="str">
        <f>RTD("tos.rtd", , "OPEN_INT", ".AAXJ201120P83")</f>
        <v>N/A</v>
      </c>
      <c r="H4" t="str">
        <f>RTD("tos.rtd", , "BID", ".AAXJ201120P83")</f>
        <v>N/A</v>
      </c>
      <c r="I4" t="str">
        <f>RTD("tos.rtd", , "ASK", ".AAXJ201120P83")</f>
        <v>N/A</v>
      </c>
      <c r="J4" t="str">
        <f>RTD("tos.rtd", , "HIGH", ".AAXJ201120P83")</f>
        <v>N/A</v>
      </c>
      <c r="K4" t="str">
        <f>RTD("tos.rtd", , "LOW", ".AAXJ201120P83")</f>
        <v>N/A</v>
      </c>
      <c r="L4" t="str">
        <f>RTD("tos.rtd", , "OPEN", ".AAXJ201120P83")</f>
        <v>N/A</v>
      </c>
      <c r="M4" t="str">
        <f>RTD("tos.rtd", , "DELTA", ".AAXJ201120P83")</f>
        <v>N/A</v>
      </c>
      <c r="N4" t="str">
        <f>RTD("tos.rtd", , "GAMMA", ".AAXJ201120P83")</f>
        <v>N/A</v>
      </c>
      <c r="O4" t="str">
        <f>RTD("tos.rtd", , "THETA", ".AAXJ201120P83")</f>
        <v>N/A</v>
      </c>
      <c r="P4" t="str">
        <f>RTD("tos.rtd", , "VEGA", ".AAXJ201120P83")</f>
        <v>N/A</v>
      </c>
      <c r="Q4" t="str">
        <f>RTD("tos.rtd", , "RHO", ".AAXJ201120P83")</f>
        <v>N/A</v>
      </c>
      <c r="R4" t="str">
        <f>RTD("tos.rtd", , "INTRINSIC", ".AAXJ201120P83")</f>
        <v>N/A</v>
      </c>
      <c r="S4" t="str">
        <f>RTD("tos.rtd", , "EXTRINSIC", ".AAXJ201120P83")</f>
        <v>N/A</v>
      </c>
      <c r="T4" t="str">
        <f>RTD("tos.rtd", , "PROB_OF_EXPIRING", ".AAXJ201120P83")</f>
        <v>N/A</v>
      </c>
      <c r="U4" t="str">
        <f>RTD("tos.rtd", , "PROB_OTM", ".AAXJ201120P83")</f>
        <v>N/A</v>
      </c>
      <c r="V4" t="str">
        <f>RTD("tos.rtd", , "PROB_OF_TOUCHING", ".AAXJ201120P83")</f>
        <v>N/A</v>
      </c>
      <c r="W4" t="str">
        <f>RTD("tos.rtd", , "STRIKE", ".AAXJ201120P83")</f>
        <v>N/A</v>
      </c>
    </row>
    <row r="5" spans="1:23" x14ac:dyDescent="0.45">
      <c r="A5" t="s">
        <v>26</v>
      </c>
      <c r="B5" t="str">
        <f>RTD("tos.rtd", , "DESCRIPTION", ".AAXJ201120C84")</f>
        <v>N/A</v>
      </c>
      <c r="C5" t="str">
        <f>RTD("tos.rtd", , "PUT_CALL_RATIO", ".AAXJ201120C84")</f>
        <v>N/A</v>
      </c>
      <c r="D5" t="str">
        <f>RTD("tos.rtd", , "IMPL_VOL", ".AAXJ201120C84")</f>
        <v>N/A</v>
      </c>
      <c r="E5" t="str">
        <f>RTD("tos.rtd", , "LAST", ".AAXJ201120C84")</f>
        <v>N/A</v>
      </c>
      <c r="F5" t="str">
        <f>RTD("tos.rtd", , "VOLUME", ".AAXJ201120C84")</f>
        <v>N/A</v>
      </c>
      <c r="G5" t="str">
        <f>RTD("tos.rtd", , "OPEN_INT", ".AAXJ201120C84")</f>
        <v>N/A</v>
      </c>
      <c r="H5" t="str">
        <f>RTD("tos.rtd", , "BID", ".AAXJ201120C84")</f>
        <v>N/A</v>
      </c>
      <c r="I5" t="str">
        <f>RTD("tos.rtd", , "ASK", ".AAXJ201120C84")</f>
        <v>N/A</v>
      </c>
      <c r="J5" t="str">
        <f>RTD("tos.rtd", , "HIGH", ".AAXJ201120C84")</f>
        <v>N/A</v>
      </c>
      <c r="K5" t="str">
        <f>RTD("tos.rtd", , "LOW", ".AAXJ201120C84")</f>
        <v>N/A</v>
      </c>
      <c r="L5" t="str">
        <f>RTD("tos.rtd", , "OPEN", ".AAXJ201120C84")</f>
        <v>N/A</v>
      </c>
      <c r="M5" t="str">
        <f>RTD("tos.rtd", , "DELTA", ".AAXJ201120C84")</f>
        <v>N/A</v>
      </c>
      <c r="N5" t="str">
        <f>RTD("tos.rtd", , "GAMMA", ".AAXJ201120C84")</f>
        <v>N/A</v>
      </c>
      <c r="O5" t="str">
        <f>RTD("tos.rtd", , "THETA", ".AAXJ201120C84")</f>
        <v>N/A</v>
      </c>
      <c r="P5" t="str">
        <f>RTD("tos.rtd", , "VEGA", ".AAXJ201120C84")</f>
        <v>N/A</v>
      </c>
      <c r="Q5" t="str">
        <f>RTD("tos.rtd", , "RHO", ".AAXJ201120C84")</f>
        <v>N/A</v>
      </c>
      <c r="R5" t="str">
        <f>RTD("tos.rtd", , "INTRINSIC", ".AAXJ201120C84")</f>
        <v>N/A</v>
      </c>
      <c r="S5" t="str">
        <f>RTD("tos.rtd", , "EXTRINSIC", ".AAXJ201120C84")</f>
        <v>N/A</v>
      </c>
      <c r="T5" t="str">
        <f>RTD("tos.rtd", , "PROB_OF_EXPIRING", ".AAXJ201120C84")</f>
        <v>N/A</v>
      </c>
      <c r="U5" t="str">
        <f>RTD("tos.rtd", , "PROB_OTM", ".AAXJ201120C84")</f>
        <v>N/A</v>
      </c>
      <c r="V5" t="str">
        <f>RTD("tos.rtd", , "PROB_OF_TOUCHING", ".AAXJ201120C84")</f>
        <v>N/A</v>
      </c>
      <c r="W5" t="str">
        <f>RTD("tos.rtd", , "STRIKE", ".AAXJ201120C84")</f>
        <v>N/A</v>
      </c>
    </row>
    <row r="6" spans="1:23" x14ac:dyDescent="0.45">
      <c r="A6" t="s">
        <v>27</v>
      </c>
      <c r="B6" t="str">
        <f>RTD("tos.rtd", , "DESCRIPTION", ".AAXJ201120P84")</f>
        <v>N/A</v>
      </c>
      <c r="C6" t="str">
        <f>RTD("tos.rtd", , "PUT_CALL_RATIO", ".AAXJ201120P84")</f>
        <v>N/A</v>
      </c>
      <c r="D6" t="str">
        <f>RTD("tos.rtd", , "IMPL_VOL", ".AAXJ201120P84")</f>
        <v>N/A</v>
      </c>
      <c r="E6">
        <f>RTD("tos.rtd", , "LAST", ".AAXJ201120P84")</f>
        <v>0</v>
      </c>
      <c r="F6">
        <f>RTD("tos.rtd", , "VOLUME", ".AAXJ201120P84")</f>
        <v>0</v>
      </c>
      <c r="G6">
        <f>RTD("tos.rtd", , "OPEN_INT", ".AAXJ201120P84")</f>
        <v>0</v>
      </c>
      <c r="H6">
        <f>RTD("tos.rtd", , "BID", ".AAXJ201120P84")</f>
        <v>0.75</v>
      </c>
      <c r="I6">
        <f>RTD("tos.rtd", , "ASK", ".AAXJ201120P84")</f>
        <v>1.6</v>
      </c>
      <c r="J6">
        <f>RTD("tos.rtd", , "HIGH", ".AAXJ201120P84")</f>
        <v>0</v>
      </c>
      <c r="K6">
        <f>RTD("tos.rtd", , "LOW", ".AAXJ201120P84")</f>
        <v>0</v>
      </c>
      <c r="L6">
        <f>RTD("tos.rtd", , "OPEN", ".AAXJ201120P84")</f>
        <v>0</v>
      </c>
      <c r="M6" t="str">
        <f>RTD("tos.rtd", , "DELTA", ".AAXJ201120P84")</f>
        <v>N/A</v>
      </c>
      <c r="N6" t="str">
        <f>RTD("tos.rtd", , "GAMMA", ".AAXJ201120P84")</f>
        <v>N/A</v>
      </c>
      <c r="O6" t="str">
        <f>RTD("tos.rtd", , "THETA", ".AAXJ201120P84")</f>
        <v>N/A</v>
      </c>
      <c r="P6" t="str">
        <f>RTD("tos.rtd", , "VEGA", ".AAXJ201120P84")</f>
        <v>N/A</v>
      </c>
      <c r="Q6" t="str">
        <f>RTD("tos.rtd", , "RHO", ".AAXJ201120P84")</f>
        <v>N/A</v>
      </c>
      <c r="R6" t="str">
        <f>RTD("tos.rtd", , "INTRINSIC", ".AAXJ201120P84")</f>
        <v>N/A</v>
      </c>
      <c r="S6" t="str">
        <f>RTD("tos.rtd", , "EXTRINSIC", ".AAXJ201120P84")</f>
        <v>N/A</v>
      </c>
      <c r="T6" t="str">
        <f>RTD("tos.rtd", , "PROB_OF_EXPIRING", ".AAXJ201120P84")</f>
        <v>N/A</v>
      </c>
      <c r="U6" t="str">
        <f>RTD("tos.rtd", , "PROB_OTM", ".AAXJ201120P84")</f>
        <v>N/A</v>
      </c>
      <c r="V6" t="str">
        <f>RTD("tos.rtd", , "PROB_OF_TOUCHING", ".AAXJ201120P84")</f>
        <v>N/A</v>
      </c>
      <c r="W6" t="str">
        <f>RTD("tos.rtd", , "STRIKE", ".AAXJ201120P84")</f>
        <v>N/A</v>
      </c>
    </row>
    <row r="7" spans="1:23" x14ac:dyDescent="0.45">
      <c r="A7" t="s">
        <v>28</v>
      </c>
      <c r="B7" t="str">
        <f>RTD("tos.rtd", , "DESCRIPTION", "ACWI")</f>
        <v>N/A</v>
      </c>
      <c r="C7">
        <f>RTD("tos.rtd", , "PUT_CALL_RATIO", "ACWI")</f>
        <v>128</v>
      </c>
      <c r="D7" t="str">
        <f>RTD("tos.rtd", , "IMPL_VOL", "ACWI")</f>
        <v>21.56%</v>
      </c>
      <c r="E7">
        <f>RTD("tos.rtd", , "LAST", "ACWI")</f>
        <v>84.86</v>
      </c>
      <c r="F7">
        <f>RTD("tos.rtd", , "VOLUME", "ACWI")</f>
        <v>4812362</v>
      </c>
      <c r="G7">
        <f>RTD("tos.rtd", , "OPEN_INT", "ACWI")</f>
        <v>0</v>
      </c>
      <c r="H7">
        <f>RTD("tos.rtd", , "BID", "ACWI")</f>
        <v>70</v>
      </c>
      <c r="I7">
        <f>RTD("tos.rtd", , "ASK", "ACWI")</f>
        <v>103.57</v>
      </c>
      <c r="J7">
        <f>RTD("tos.rtd", , "HIGH", "ACWI")</f>
        <v>85.68</v>
      </c>
      <c r="K7">
        <f>RTD("tos.rtd", , "LOW", "ACWI")</f>
        <v>84.53</v>
      </c>
      <c r="L7">
        <f>RTD("tos.rtd", , "OPEN", "ACWI")</f>
        <v>85.47</v>
      </c>
      <c r="M7">
        <f>RTD("tos.rtd", , "DELTA", "ACWI")</f>
        <v>1</v>
      </c>
      <c r="N7">
        <f>RTD("tos.rtd", , "GAMMA", "ACWI")</f>
        <v>0</v>
      </c>
      <c r="O7">
        <f>RTD("tos.rtd", , "THETA", "ACWI")</f>
        <v>0</v>
      </c>
      <c r="P7">
        <f>RTD("tos.rtd", , "VEGA", "ACWI")</f>
        <v>0</v>
      </c>
      <c r="Q7">
        <f>RTD("tos.rtd", , "RHO", "ACWI")</f>
        <v>0</v>
      </c>
      <c r="R7" t="str">
        <f>RTD("tos.rtd", , "INTRINSIC", "ACWI")</f>
        <v>N/A</v>
      </c>
      <c r="S7" t="str">
        <f>RTD("tos.rtd", , "EXTRINSIC", "ACWI")</f>
        <v>N/A</v>
      </c>
      <c r="T7" t="str">
        <f>RTD("tos.rtd", , "PROB_OF_EXPIRING", "ACWI")</f>
        <v>N/A</v>
      </c>
      <c r="U7" t="str">
        <f>RTD("tos.rtd", , "PROB_OTM", "ACWI")</f>
        <v>N/A</v>
      </c>
      <c r="V7" t="str">
        <f>RTD("tos.rtd", , "PROB_OF_TOUCHING", "ACWI")</f>
        <v>N/A</v>
      </c>
      <c r="W7" t="str">
        <f>RTD("tos.rtd", , "STRIKE", "ACWI")</f>
        <v>N/A</v>
      </c>
    </row>
    <row r="8" spans="1:23" x14ac:dyDescent="0.45">
      <c r="A8" t="s">
        <v>29</v>
      </c>
      <c r="B8" t="str">
        <f>RTD("tos.rtd", , "DESCRIPTION", ".ACWI201120C85")</f>
        <v>N/A</v>
      </c>
      <c r="C8" t="str">
        <f>RTD("tos.rtd", , "PUT_CALL_RATIO", ".ACWI201120C85")</f>
        <v>N/A</v>
      </c>
      <c r="D8" t="str">
        <f>RTD("tos.rtd", , "IMPL_VOL", ".ACWI201120C85")</f>
        <v>N/A</v>
      </c>
      <c r="E8" t="str">
        <f>RTD("tos.rtd", , "LAST", ".ACWI201120C85")</f>
        <v>N/A</v>
      </c>
      <c r="F8" t="str">
        <f>RTD("tos.rtd", , "VOLUME", ".ACWI201120C85")</f>
        <v>N/A</v>
      </c>
      <c r="G8" t="str">
        <f>RTD("tos.rtd", , "OPEN_INT", ".ACWI201120C85")</f>
        <v>N/A</v>
      </c>
      <c r="H8" t="str">
        <f>RTD("tos.rtd", , "BID", ".ACWI201120C85")</f>
        <v>N/A</v>
      </c>
      <c r="I8" t="str">
        <f>RTD("tos.rtd", , "ASK", ".ACWI201120C85")</f>
        <v>N/A</v>
      </c>
      <c r="J8" t="str">
        <f>RTD("tos.rtd", , "HIGH", ".ACWI201120C85")</f>
        <v>N/A</v>
      </c>
      <c r="K8" t="str">
        <f>RTD("tos.rtd", , "LOW", ".ACWI201120C85")</f>
        <v>N/A</v>
      </c>
      <c r="L8" t="str">
        <f>RTD("tos.rtd", , "OPEN", ".ACWI201120C85")</f>
        <v>N/A</v>
      </c>
      <c r="M8" t="str">
        <f>RTD("tos.rtd", , "DELTA", ".ACWI201120C85")</f>
        <v>N/A</v>
      </c>
      <c r="N8" t="str">
        <f>RTD("tos.rtd", , "GAMMA", ".ACWI201120C85")</f>
        <v>N/A</v>
      </c>
      <c r="O8" t="str">
        <f>RTD("tos.rtd", , "THETA", ".ACWI201120C85")</f>
        <v>N/A</v>
      </c>
      <c r="P8" t="str">
        <f>RTD("tos.rtd", , "VEGA", ".ACWI201120C85")</f>
        <v>N/A</v>
      </c>
      <c r="Q8" t="str">
        <f>RTD("tos.rtd", , "RHO", ".ACWI201120C85")</f>
        <v>N/A</v>
      </c>
      <c r="R8" t="str">
        <f>RTD("tos.rtd", , "INTRINSIC", ".ACWI201120C85")</f>
        <v>N/A</v>
      </c>
      <c r="S8" t="str">
        <f>RTD("tos.rtd", , "EXTRINSIC", ".ACWI201120C85")</f>
        <v>N/A</v>
      </c>
      <c r="T8" t="str">
        <f>RTD("tos.rtd", , "PROB_OF_EXPIRING", ".ACWI201120C85")</f>
        <v>N/A</v>
      </c>
      <c r="U8" t="str">
        <f>RTD("tos.rtd", , "PROB_OTM", ".ACWI201120C85")</f>
        <v>N/A</v>
      </c>
      <c r="V8" t="str">
        <f>RTD("tos.rtd", , "PROB_OF_TOUCHING", ".ACWI201120C85")</f>
        <v>N/A</v>
      </c>
      <c r="W8" t="str">
        <f>RTD("tos.rtd", , "STRIKE", ".ACWI201120C85")</f>
        <v>N/A</v>
      </c>
    </row>
    <row r="9" spans="1:23" x14ac:dyDescent="0.45">
      <c r="A9" t="s">
        <v>30</v>
      </c>
      <c r="B9" t="str">
        <f>RTD("tos.rtd", , "DESCRIPTION", ".ACWI201120P85")</f>
        <v>N/A</v>
      </c>
      <c r="C9" t="str">
        <f>RTD("tos.rtd", , "PUT_CALL_RATIO", ".ACWI201120P85")</f>
        <v>N/A</v>
      </c>
      <c r="D9" t="str">
        <f>RTD("tos.rtd", , "IMPL_VOL", ".ACWI201120P85")</f>
        <v>N/A</v>
      </c>
      <c r="E9" t="str">
        <f>RTD("tos.rtd", , "LAST", ".ACWI201120P85")</f>
        <v>N/A</v>
      </c>
      <c r="F9" t="str">
        <f>RTD("tos.rtd", , "VOLUME", ".ACWI201120P85")</f>
        <v>N/A</v>
      </c>
      <c r="G9" t="str">
        <f>RTD("tos.rtd", , "OPEN_INT", ".ACWI201120P85")</f>
        <v>N/A</v>
      </c>
      <c r="H9" t="str">
        <f>RTD("tos.rtd", , "BID", ".ACWI201120P85")</f>
        <v>N/A</v>
      </c>
      <c r="I9" t="str">
        <f>RTD("tos.rtd", , "ASK", ".ACWI201120P85")</f>
        <v>N/A</v>
      </c>
      <c r="J9" t="str">
        <f>RTD("tos.rtd", , "HIGH", ".ACWI201120P85")</f>
        <v>N/A</v>
      </c>
      <c r="K9" t="str">
        <f>RTD("tos.rtd", , "LOW", ".ACWI201120P85")</f>
        <v>N/A</v>
      </c>
      <c r="L9" t="str">
        <f>RTD("tos.rtd", , "OPEN", ".ACWI201120P85")</f>
        <v>N/A</v>
      </c>
      <c r="M9" t="str">
        <f>RTD("tos.rtd", , "DELTA", ".ACWI201120P85")</f>
        <v>N/A</v>
      </c>
      <c r="N9" t="str">
        <f>RTD("tos.rtd", , "GAMMA", ".ACWI201120P85")</f>
        <v>N/A</v>
      </c>
      <c r="O9" t="str">
        <f>RTD("tos.rtd", , "THETA", ".ACWI201120P85")</f>
        <v>N/A</v>
      </c>
      <c r="P9" t="str">
        <f>RTD("tos.rtd", , "VEGA", ".ACWI201120P85")</f>
        <v>N/A</v>
      </c>
      <c r="Q9" t="str">
        <f>RTD("tos.rtd", , "RHO", ".ACWI201120P85")</f>
        <v>N/A</v>
      </c>
      <c r="R9" t="str">
        <f>RTD("tos.rtd", , "INTRINSIC", ".ACWI201120P85")</f>
        <v>N/A</v>
      </c>
      <c r="S9" t="str">
        <f>RTD("tos.rtd", , "EXTRINSIC", ".ACWI201120P85")</f>
        <v>N/A</v>
      </c>
      <c r="T9" t="str">
        <f>RTD("tos.rtd", , "PROB_OF_EXPIRING", ".ACWI201120P85")</f>
        <v>N/A</v>
      </c>
      <c r="U9" t="str">
        <f>RTD("tos.rtd", , "PROB_OTM", ".ACWI201120P85")</f>
        <v>N/A</v>
      </c>
      <c r="V9" t="str">
        <f>RTD("tos.rtd", , "PROB_OF_TOUCHING", ".ACWI201120P85")</f>
        <v>N/A</v>
      </c>
      <c r="W9" t="str">
        <f>RTD("tos.rtd", , "STRIKE", ".ACWI201120P85")</f>
        <v>N/A</v>
      </c>
    </row>
    <row r="10" spans="1:23" x14ac:dyDescent="0.45">
      <c r="A10" t="s">
        <v>31</v>
      </c>
      <c r="B10" t="str">
        <f>RTD("tos.rtd", , "DESCRIPTION", ".ACWI201120C86")</f>
        <v>N/A</v>
      </c>
      <c r="C10" t="str">
        <f>RTD("tos.rtd", , "PUT_CALL_RATIO", ".ACWI201120C86")</f>
        <v>N/A</v>
      </c>
      <c r="D10" t="str">
        <f>RTD("tos.rtd", , "IMPL_VOL", ".ACWI201120C86")</f>
        <v>N/A</v>
      </c>
      <c r="E10" t="str">
        <f>RTD("tos.rtd", , "LAST", ".ACWI201120C86")</f>
        <v>N/A</v>
      </c>
      <c r="F10" t="str">
        <f>RTD("tos.rtd", , "VOLUME", ".ACWI201120C86")</f>
        <v>N/A</v>
      </c>
      <c r="G10" t="str">
        <f>RTD("tos.rtd", , "OPEN_INT", ".ACWI201120C86")</f>
        <v>N/A</v>
      </c>
      <c r="H10" t="str">
        <f>RTD("tos.rtd", , "BID", ".ACWI201120C86")</f>
        <v>N/A</v>
      </c>
      <c r="I10" t="str">
        <f>RTD("tos.rtd", , "ASK", ".ACWI201120C86")</f>
        <v>N/A</v>
      </c>
      <c r="J10" t="str">
        <f>RTD("tos.rtd", , "HIGH", ".ACWI201120C86")</f>
        <v>N/A</v>
      </c>
      <c r="K10" t="str">
        <f>RTD("tos.rtd", , "LOW", ".ACWI201120C86")</f>
        <v>N/A</v>
      </c>
      <c r="L10" t="str">
        <f>RTD("tos.rtd", , "OPEN", ".ACWI201120C86")</f>
        <v>N/A</v>
      </c>
      <c r="M10" t="str">
        <f>RTD("tos.rtd", , "DELTA", ".ACWI201120C86")</f>
        <v>N/A</v>
      </c>
      <c r="N10" t="str">
        <f>RTD("tos.rtd", , "GAMMA", ".ACWI201120C86")</f>
        <v>N/A</v>
      </c>
      <c r="O10" t="str">
        <f>RTD("tos.rtd", , "THETA", ".ACWI201120C86")</f>
        <v>N/A</v>
      </c>
      <c r="P10" t="str">
        <f>RTD("tos.rtd", , "VEGA", ".ACWI201120C86")</f>
        <v>N/A</v>
      </c>
      <c r="Q10" t="str">
        <f>RTD("tos.rtd", , "RHO", ".ACWI201120C86")</f>
        <v>N/A</v>
      </c>
      <c r="R10" t="str">
        <f>RTD("tos.rtd", , "INTRINSIC", ".ACWI201120C86")</f>
        <v>N/A</v>
      </c>
      <c r="S10" t="str">
        <f>RTD("tos.rtd", , "EXTRINSIC", ".ACWI201120C86")</f>
        <v>N/A</v>
      </c>
      <c r="T10" t="str">
        <f>RTD("tos.rtd", , "PROB_OF_EXPIRING", ".ACWI201120C86")</f>
        <v>N/A</v>
      </c>
      <c r="U10" t="str">
        <f>RTD("tos.rtd", , "PROB_OTM", ".ACWI201120C86")</f>
        <v>N/A</v>
      </c>
      <c r="V10" t="str">
        <f>RTD("tos.rtd", , "PROB_OF_TOUCHING", ".ACWI201120C86")</f>
        <v>N/A</v>
      </c>
      <c r="W10" t="str">
        <f>RTD("tos.rtd", , "STRIKE", ".ACWI201120C86")</f>
        <v>N/A</v>
      </c>
    </row>
    <row r="11" spans="1:23" x14ac:dyDescent="0.45">
      <c r="A11" t="s">
        <v>32</v>
      </c>
      <c r="B11" t="str">
        <f>RTD("tos.rtd", , "DESCRIPTION", ".ACWI201120P86")</f>
        <v>N/A</v>
      </c>
      <c r="C11" t="str">
        <f>RTD("tos.rtd", , "PUT_CALL_RATIO", ".ACWI201120P86")</f>
        <v>N/A</v>
      </c>
      <c r="D11" t="str">
        <f>RTD("tos.rtd", , "IMPL_VOL", ".ACWI201120P86")</f>
        <v>N/A</v>
      </c>
      <c r="E11" t="str">
        <f>RTD("tos.rtd", , "LAST", ".ACWI201120P86")</f>
        <v>N/A</v>
      </c>
      <c r="F11" t="str">
        <f>RTD("tos.rtd", , "VOLUME", ".ACWI201120P86")</f>
        <v>N/A</v>
      </c>
      <c r="G11" t="str">
        <f>RTD("tos.rtd", , "OPEN_INT", ".ACWI201120P86")</f>
        <v>N/A</v>
      </c>
      <c r="H11" t="str">
        <f>RTD("tos.rtd", , "BID", ".ACWI201120P86")</f>
        <v>N/A</v>
      </c>
      <c r="I11" t="str">
        <f>RTD("tos.rtd", , "ASK", ".ACWI201120P86")</f>
        <v>N/A</v>
      </c>
      <c r="J11" t="str">
        <f>RTD("tos.rtd", , "HIGH", ".ACWI201120P86")</f>
        <v>N/A</v>
      </c>
      <c r="K11" t="str">
        <f>RTD("tos.rtd", , "LOW", ".ACWI201120P86")</f>
        <v>N/A</v>
      </c>
      <c r="L11" t="str">
        <f>RTD("tos.rtd", , "OPEN", ".ACWI201120P86")</f>
        <v>N/A</v>
      </c>
      <c r="M11" t="str">
        <f>RTD("tos.rtd", , "DELTA", ".ACWI201120P86")</f>
        <v>N/A</v>
      </c>
      <c r="N11" t="str">
        <f>RTD("tos.rtd", , "GAMMA", ".ACWI201120P86")</f>
        <v>N/A</v>
      </c>
      <c r="O11" t="str">
        <f>RTD("tos.rtd", , "THETA", ".ACWI201120P86")</f>
        <v>N/A</v>
      </c>
      <c r="P11" t="str">
        <f>RTD("tos.rtd", , "VEGA", ".ACWI201120P86")</f>
        <v>N/A</v>
      </c>
      <c r="Q11" t="str">
        <f>RTD("tos.rtd", , "RHO", ".ACWI201120P86")</f>
        <v>N/A</v>
      </c>
      <c r="R11" t="str">
        <f>RTD("tos.rtd", , "INTRINSIC", ".ACWI201120P86")</f>
        <v>N/A</v>
      </c>
      <c r="S11" t="str">
        <f>RTD("tos.rtd", , "EXTRINSIC", ".ACWI201120P86")</f>
        <v>N/A</v>
      </c>
      <c r="T11" t="str">
        <f>RTD("tos.rtd", , "PROB_OF_EXPIRING", ".ACWI201120P86")</f>
        <v>N/A</v>
      </c>
      <c r="U11" t="str">
        <f>RTD("tos.rtd", , "PROB_OTM", ".ACWI201120P86")</f>
        <v>N/A</v>
      </c>
      <c r="V11" t="str">
        <f>RTD("tos.rtd", , "PROB_OF_TOUCHING", ".ACWI201120P86")</f>
        <v>N/A</v>
      </c>
      <c r="W11" t="str">
        <f>RTD("tos.rtd", , "STRIKE", ".ACWI201120P86")</f>
        <v>N/A</v>
      </c>
    </row>
    <row r="12" spans="1:23" x14ac:dyDescent="0.45">
      <c r="A12" t="s">
        <v>33</v>
      </c>
      <c r="B12" t="str">
        <f>RTD("tos.rtd", , "DESCRIPTION", "ACWX")</f>
        <v>N/A</v>
      </c>
      <c r="C12">
        <f>RTD("tos.rtd", , "PUT_CALL_RATIO", "ACWX")</f>
        <v>3.5</v>
      </c>
      <c r="D12" t="str">
        <f>RTD("tos.rtd", , "IMPL_VOL", "ACWX")</f>
        <v>19.91%</v>
      </c>
      <c r="E12">
        <f>RTD("tos.rtd", , "LAST", "ACWX")</f>
        <v>49.3</v>
      </c>
      <c r="F12">
        <f>RTD("tos.rtd", , "VOLUME", "ACWX")</f>
        <v>1475988</v>
      </c>
      <c r="G12">
        <f>RTD("tos.rtd", , "OPEN_INT", "ACWX")</f>
        <v>0</v>
      </c>
      <c r="H12">
        <f>RTD("tos.rtd", , "BID", "ACWX")</f>
        <v>31.89</v>
      </c>
      <c r="I12">
        <f>RTD("tos.rtd", , "ASK", "ACWX")</f>
        <v>57.77</v>
      </c>
      <c r="J12">
        <f>RTD("tos.rtd", , "HIGH", "ACWX")</f>
        <v>49.82</v>
      </c>
      <c r="K12">
        <f>RTD("tos.rtd", , "LOW", "ACWX")</f>
        <v>49.21</v>
      </c>
      <c r="L12">
        <f>RTD("tos.rtd", , "OPEN", "ACWX")</f>
        <v>49.73</v>
      </c>
      <c r="M12">
        <f>RTD("tos.rtd", , "DELTA", "ACWX")</f>
        <v>1</v>
      </c>
      <c r="N12">
        <f>RTD("tos.rtd", , "GAMMA", "ACWX")</f>
        <v>0</v>
      </c>
      <c r="O12">
        <f>RTD("tos.rtd", , "THETA", "ACWX")</f>
        <v>0</v>
      </c>
      <c r="P12">
        <f>RTD("tos.rtd", , "VEGA", "ACWX")</f>
        <v>0</v>
      </c>
      <c r="Q12">
        <f>RTD("tos.rtd", , "RHO", "ACWX")</f>
        <v>0</v>
      </c>
      <c r="R12" t="str">
        <f>RTD("tos.rtd", , "INTRINSIC", "ACWX")</f>
        <v>N/A</v>
      </c>
      <c r="S12" t="str">
        <f>RTD("tos.rtd", , "EXTRINSIC", "ACWX")</f>
        <v>N/A</v>
      </c>
      <c r="T12" t="str">
        <f>RTD("tos.rtd", , "PROB_OF_EXPIRING", "ACWX")</f>
        <v>N/A</v>
      </c>
      <c r="U12" t="str">
        <f>RTD("tos.rtd", , "PROB_OTM", "ACWX")</f>
        <v>N/A</v>
      </c>
      <c r="V12" t="str">
        <f>RTD("tos.rtd", , "PROB_OF_TOUCHING", "ACWX")</f>
        <v>N/A</v>
      </c>
      <c r="W12" t="str">
        <f>RTD("tos.rtd", , "STRIKE", "ACWX")</f>
        <v>N/A</v>
      </c>
    </row>
    <row r="13" spans="1:23" x14ac:dyDescent="0.45">
      <c r="A13" t="s">
        <v>34</v>
      </c>
      <c r="B13" t="str">
        <f>RTD("tos.rtd", , "DESCRIPTION", ".ACWX201120C50")</f>
        <v>N/A</v>
      </c>
      <c r="C13" t="str">
        <f>RTD("tos.rtd", , "PUT_CALL_RATIO", ".ACWX201120C50")</f>
        <v>N/A</v>
      </c>
      <c r="D13" t="str">
        <f>RTD("tos.rtd", , "IMPL_VOL", ".ACWX201120C50")</f>
        <v>N/A</v>
      </c>
      <c r="E13" t="str">
        <f>RTD("tos.rtd", , "LAST", ".ACWX201120C50")</f>
        <v>N/A</v>
      </c>
      <c r="F13" t="str">
        <f>RTD("tos.rtd", , "VOLUME", ".ACWX201120C50")</f>
        <v>N/A</v>
      </c>
      <c r="G13" t="str">
        <f>RTD("tos.rtd", , "OPEN_INT", ".ACWX201120C50")</f>
        <v>N/A</v>
      </c>
      <c r="H13" t="str">
        <f>RTD("tos.rtd", , "BID", ".ACWX201120C50")</f>
        <v>N/A</v>
      </c>
      <c r="I13" t="str">
        <f>RTD("tos.rtd", , "ASK", ".ACWX201120C50")</f>
        <v>N/A</v>
      </c>
      <c r="J13" t="str">
        <f>RTD("tos.rtd", , "HIGH", ".ACWX201120C50")</f>
        <v>N/A</v>
      </c>
      <c r="K13" t="str">
        <f>RTD("tos.rtd", , "LOW", ".ACWX201120C50")</f>
        <v>N/A</v>
      </c>
      <c r="L13" t="str">
        <f>RTD("tos.rtd", , "OPEN", ".ACWX201120C50")</f>
        <v>N/A</v>
      </c>
      <c r="M13" t="str">
        <f>RTD("tos.rtd", , "DELTA", ".ACWX201120C50")</f>
        <v>N/A</v>
      </c>
      <c r="N13" t="str">
        <f>RTD("tos.rtd", , "GAMMA", ".ACWX201120C50")</f>
        <v>N/A</v>
      </c>
      <c r="O13" t="str">
        <f>RTD("tos.rtd", , "THETA", ".ACWX201120C50")</f>
        <v>N/A</v>
      </c>
      <c r="P13" t="str">
        <f>RTD("tos.rtd", , "VEGA", ".ACWX201120C50")</f>
        <v>N/A</v>
      </c>
      <c r="Q13" t="str">
        <f>RTD("tos.rtd", , "RHO", ".ACWX201120C50")</f>
        <v>N/A</v>
      </c>
      <c r="R13" t="str">
        <f>RTD("tos.rtd", , "INTRINSIC", ".ACWX201120C50")</f>
        <v>N/A</v>
      </c>
      <c r="S13" t="str">
        <f>RTD("tos.rtd", , "EXTRINSIC", ".ACWX201120C50")</f>
        <v>N/A</v>
      </c>
      <c r="T13" t="str">
        <f>RTD("tos.rtd", , "PROB_OF_EXPIRING", ".ACWX201120C50")</f>
        <v>N/A</v>
      </c>
      <c r="U13" t="str">
        <f>RTD("tos.rtd", , "PROB_OTM", ".ACWX201120C50")</f>
        <v>N/A</v>
      </c>
      <c r="V13" t="str">
        <f>RTD("tos.rtd", , "PROB_OF_TOUCHING", ".ACWX201120C50")</f>
        <v>N/A</v>
      </c>
      <c r="W13" t="str">
        <f>RTD("tos.rtd", , "STRIKE", ".ACWX201120C50")</f>
        <v>N/A</v>
      </c>
    </row>
    <row r="14" spans="1:23" x14ac:dyDescent="0.45">
      <c r="A14" t="s">
        <v>35</v>
      </c>
      <c r="B14" t="str">
        <f>RTD("tos.rtd", , "DESCRIPTION", ".ACWX201120P50")</f>
        <v>N/A</v>
      </c>
      <c r="C14" t="str">
        <f>RTD("tos.rtd", , "PUT_CALL_RATIO", ".ACWX201120P50")</f>
        <v>N/A</v>
      </c>
      <c r="D14" t="str">
        <f>RTD("tos.rtd", , "IMPL_VOL", ".ACWX201120P50")</f>
        <v>N/A</v>
      </c>
      <c r="E14" t="str">
        <f>RTD("tos.rtd", , "LAST", ".ACWX201120P50")</f>
        <v>N/A</v>
      </c>
      <c r="F14" t="str">
        <f>RTD("tos.rtd", , "VOLUME", ".ACWX201120P50")</f>
        <v>N/A</v>
      </c>
      <c r="G14" t="str">
        <f>RTD("tos.rtd", , "OPEN_INT", ".ACWX201120P50")</f>
        <v>N/A</v>
      </c>
      <c r="H14" t="str">
        <f>RTD("tos.rtd", , "BID", ".ACWX201120P50")</f>
        <v>N/A</v>
      </c>
      <c r="I14" t="str">
        <f>RTD("tos.rtd", , "ASK", ".ACWX201120P50")</f>
        <v>N/A</v>
      </c>
      <c r="J14" t="str">
        <f>RTD("tos.rtd", , "HIGH", ".ACWX201120P50")</f>
        <v>N/A</v>
      </c>
      <c r="K14" t="str">
        <f>RTD("tos.rtd", , "LOW", ".ACWX201120P50")</f>
        <v>N/A</v>
      </c>
      <c r="L14" t="str">
        <f>RTD("tos.rtd", , "OPEN", ".ACWX201120P50")</f>
        <v>N/A</v>
      </c>
      <c r="M14" t="str">
        <f>RTD("tos.rtd", , "DELTA", ".ACWX201120P50")</f>
        <v>N/A</v>
      </c>
      <c r="N14" t="str">
        <f>RTD("tos.rtd", , "GAMMA", ".ACWX201120P50")</f>
        <v>N/A</v>
      </c>
      <c r="O14" t="str">
        <f>RTD("tos.rtd", , "THETA", ".ACWX201120P50")</f>
        <v>N/A</v>
      </c>
      <c r="P14" t="str">
        <f>RTD("tos.rtd", , "VEGA", ".ACWX201120P50")</f>
        <v>N/A</v>
      </c>
      <c r="Q14" t="str">
        <f>RTD("tos.rtd", , "RHO", ".ACWX201120P50")</f>
        <v>N/A</v>
      </c>
      <c r="R14" t="str">
        <f>RTD("tos.rtd", , "INTRINSIC", ".ACWX201120P50")</f>
        <v>N/A</v>
      </c>
      <c r="S14" t="str">
        <f>RTD("tos.rtd", , "EXTRINSIC", ".ACWX201120P50")</f>
        <v>N/A</v>
      </c>
      <c r="T14" t="str">
        <f>RTD("tos.rtd", , "PROB_OF_EXPIRING", ".ACWX201120P50")</f>
        <v>N/A</v>
      </c>
      <c r="U14" t="str">
        <f>RTD("tos.rtd", , "PROB_OTM", ".ACWX201120P50")</f>
        <v>N/A</v>
      </c>
      <c r="V14" t="str">
        <f>RTD("tos.rtd", , "PROB_OF_TOUCHING", ".ACWX201120P50")</f>
        <v>N/A</v>
      </c>
      <c r="W14" t="str">
        <f>RTD("tos.rtd", , "STRIKE", ".ACWX201120P50")</f>
        <v>N/A</v>
      </c>
    </row>
    <row r="15" spans="1:23" x14ac:dyDescent="0.45">
      <c r="A15" t="s">
        <v>36</v>
      </c>
      <c r="B15" t="str">
        <f>RTD("tos.rtd", , "DESCRIPTION", "AGG")</f>
        <v>N/A</v>
      </c>
      <c r="C15">
        <f>RTD("tos.rtd", , "PUT_CALL_RATIO", "AGG")</f>
        <v>0.246</v>
      </c>
      <c r="D15" t="str">
        <f>RTD("tos.rtd", , "IMPL_VOL", "AGG")</f>
        <v>7.29%</v>
      </c>
      <c r="E15">
        <f>RTD("tos.rtd", , "LAST", "AGG")</f>
        <v>117.62</v>
      </c>
      <c r="F15">
        <f>RTD("tos.rtd", , "VOLUME", "AGG")</f>
        <v>7740846</v>
      </c>
      <c r="G15">
        <f>RTD("tos.rtd", , "OPEN_INT", "AGG")</f>
        <v>0</v>
      </c>
      <c r="H15">
        <f>RTD("tos.rtd", , "BID", "AGG")</f>
        <v>117.31</v>
      </c>
      <c r="I15">
        <f>RTD("tos.rtd", , "ASK", "AGG")</f>
        <v>117.89</v>
      </c>
      <c r="J15">
        <f>RTD("tos.rtd", , "HIGH", "AGG")</f>
        <v>117.63</v>
      </c>
      <c r="K15">
        <f>RTD("tos.rtd", , "LOW", "AGG")</f>
        <v>117.33</v>
      </c>
      <c r="L15">
        <f>RTD("tos.rtd", , "OPEN", "AGG")</f>
        <v>117.37</v>
      </c>
      <c r="M15">
        <f>RTD("tos.rtd", , "DELTA", "AGG")</f>
        <v>1</v>
      </c>
      <c r="N15">
        <f>RTD("tos.rtd", , "GAMMA", "AGG")</f>
        <v>0</v>
      </c>
      <c r="O15">
        <f>RTD("tos.rtd", , "THETA", "AGG")</f>
        <v>0</v>
      </c>
      <c r="P15">
        <f>RTD("tos.rtd", , "VEGA", "AGG")</f>
        <v>0</v>
      </c>
      <c r="Q15">
        <f>RTD("tos.rtd", , "RHO", "AGG")</f>
        <v>0</v>
      </c>
      <c r="R15" t="str">
        <f>RTD("tos.rtd", , "INTRINSIC", "AGG")</f>
        <v>N/A</v>
      </c>
      <c r="S15" t="str">
        <f>RTD("tos.rtd", , "EXTRINSIC", "AGG")</f>
        <v>N/A</v>
      </c>
      <c r="T15" t="str">
        <f>RTD("tos.rtd", , "PROB_OF_EXPIRING", "AGG")</f>
        <v>N/A</v>
      </c>
      <c r="U15" t="str">
        <f>RTD("tos.rtd", , "PROB_OTM", "AGG")</f>
        <v>N/A</v>
      </c>
      <c r="V15" t="str">
        <f>RTD("tos.rtd", , "PROB_OF_TOUCHING", "AGG")</f>
        <v>N/A</v>
      </c>
      <c r="W15" t="str">
        <f>RTD("tos.rtd", , "STRIKE", "AGG")</f>
        <v>N/A</v>
      </c>
    </row>
    <row r="16" spans="1:23" x14ac:dyDescent="0.45">
      <c r="A16" t="s">
        <v>37</v>
      </c>
      <c r="B16" t="str">
        <f>RTD("tos.rtd", , "DESCRIPTION", ".AGG201120C117")</f>
        <v>N/A</v>
      </c>
      <c r="C16" t="str">
        <f>RTD("tos.rtd", , "PUT_CALL_RATIO", ".AGG201120C117")</f>
        <v>N/A</v>
      </c>
      <c r="D16" t="str">
        <f>RTD("tos.rtd", , "IMPL_VOL", ".AGG201120C117")</f>
        <v>N/A</v>
      </c>
      <c r="E16" t="str">
        <f>RTD("tos.rtd", , "LAST", ".AGG201120C117")</f>
        <v>N/A</v>
      </c>
      <c r="F16" t="str">
        <f>RTD("tos.rtd", , "VOLUME", ".AGG201120C117")</f>
        <v>N/A</v>
      </c>
      <c r="G16" t="str">
        <f>RTD("tos.rtd", , "OPEN_INT", ".AGG201120C117")</f>
        <v>N/A</v>
      </c>
      <c r="H16" t="str">
        <f>RTD("tos.rtd", , "BID", ".AGG201120C117")</f>
        <v>N/A</v>
      </c>
      <c r="I16" t="str">
        <f>RTD("tos.rtd", , "ASK", ".AGG201120C117")</f>
        <v>N/A</v>
      </c>
      <c r="J16" t="str">
        <f>RTD("tos.rtd", , "HIGH", ".AGG201120C117")</f>
        <v>N/A</v>
      </c>
      <c r="K16" t="str">
        <f>RTD("tos.rtd", , "LOW", ".AGG201120C117")</f>
        <v>N/A</v>
      </c>
      <c r="L16" t="str">
        <f>RTD("tos.rtd", , "OPEN", ".AGG201120C117")</f>
        <v>N/A</v>
      </c>
      <c r="M16" t="str">
        <f>RTD("tos.rtd", , "DELTA", ".AGG201120C117")</f>
        <v>N/A</v>
      </c>
      <c r="N16" t="str">
        <f>RTD("tos.rtd", , "GAMMA", ".AGG201120C117")</f>
        <v>N/A</v>
      </c>
      <c r="O16" t="str">
        <f>RTD("tos.rtd", , "THETA", ".AGG201120C117")</f>
        <v>N/A</v>
      </c>
      <c r="P16" t="str">
        <f>RTD("tos.rtd", , "VEGA", ".AGG201120C117")</f>
        <v>N/A</v>
      </c>
      <c r="Q16" t="str">
        <f>RTD("tos.rtd", , "RHO", ".AGG201120C117")</f>
        <v>N/A</v>
      </c>
      <c r="R16" t="str">
        <f>RTD("tos.rtd", , "INTRINSIC", ".AGG201120C117")</f>
        <v>N/A</v>
      </c>
      <c r="S16" t="str">
        <f>RTD("tos.rtd", , "EXTRINSIC", ".AGG201120C117")</f>
        <v>N/A</v>
      </c>
      <c r="T16" t="str">
        <f>RTD("tos.rtd", , "PROB_OF_EXPIRING", ".AGG201120C117")</f>
        <v>N/A</v>
      </c>
      <c r="U16" t="str">
        <f>RTD("tos.rtd", , "PROB_OTM", ".AGG201120C117")</f>
        <v>N/A</v>
      </c>
      <c r="V16" t="str">
        <f>RTD("tos.rtd", , "PROB_OF_TOUCHING", ".AGG201120C117")</f>
        <v>N/A</v>
      </c>
      <c r="W16" t="str">
        <f>RTD("tos.rtd", , "STRIKE", ".AGG201120C117")</f>
        <v>N/A</v>
      </c>
    </row>
    <row r="17" spans="1:23" x14ac:dyDescent="0.45">
      <c r="A17" t="s">
        <v>38</v>
      </c>
      <c r="B17" t="str">
        <f>RTD("tos.rtd", , "DESCRIPTION", ".AGG201120P117")</f>
        <v>N/A</v>
      </c>
      <c r="C17" t="str">
        <f>RTD("tos.rtd", , "PUT_CALL_RATIO", ".AGG201120P117")</f>
        <v>N/A</v>
      </c>
      <c r="D17" t="str">
        <f>RTD("tos.rtd", , "IMPL_VOL", ".AGG201120P117")</f>
        <v>N/A</v>
      </c>
      <c r="E17" t="str">
        <f>RTD("tos.rtd", , "LAST", ".AGG201120P117")</f>
        <v>N/A</v>
      </c>
      <c r="F17" t="str">
        <f>RTD("tos.rtd", , "VOLUME", ".AGG201120P117")</f>
        <v>N/A</v>
      </c>
      <c r="G17" t="str">
        <f>RTD("tos.rtd", , "OPEN_INT", ".AGG201120P117")</f>
        <v>N/A</v>
      </c>
      <c r="H17" t="str">
        <f>RTD("tos.rtd", , "BID", ".AGG201120P117")</f>
        <v>N/A</v>
      </c>
      <c r="I17" t="str">
        <f>RTD("tos.rtd", , "ASK", ".AGG201120P117")</f>
        <v>N/A</v>
      </c>
      <c r="J17" t="str">
        <f>RTD("tos.rtd", , "HIGH", ".AGG201120P117")</f>
        <v>N/A</v>
      </c>
      <c r="K17" t="str">
        <f>RTD("tos.rtd", , "LOW", ".AGG201120P117")</f>
        <v>N/A</v>
      </c>
      <c r="L17" t="str">
        <f>RTD("tos.rtd", , "OPEN", ".AGG201120P117")</f>
        <v>N/A</v>
      </c>
      <c r="M17" t="str">
        <f>RTD("tos.rtd", , "DELTA", ".AGG201120P117")</f>
        <v>N/A</v>
      </c>
      <c r="N17" t="str">
        <f>RTD("tos.rtd", , "GAMMA", ".AGG201120P117")</f>
        <v>N/A</v>
      </c>
      <c r="O17" t="str">
        <f>RTD("tos.rtd", , "THETA", ".AGG201120P117")</f>
        <v>N/A</v>
      </c>
      <c r="P17" t="str">
        <f>RTD("tos.rtd", , "VEGA", ".AGG201120P117")</f>
        <v>N/A</v>
      </c>
      <c r="Q17" t="str">
        <f>RTD("tos.rtd", , "RHO", ".AGG201120P117")</f>
        <v>N/A</v>
      </c>
      <c r="R17" t="str">
        <f>RTD("tos.rtd", , "INTRINSIC", ".AGG201120P117")</f>
        <v>N/A</v>
      </c>
      <c r="S17" t="str">
        <f>RTD("tos.rtd", , "EXTRINSIC", ".AGG201120P117")</f>
        <v>N/A</v>
      </c>
      <c r="T17" t="str">
        <f>RTD("tos.rtd", , "PROB_OF_EXPIRING", ".AGG201120P117")</f>
        <v>N/A</v>
      </c>
      <c r="U17" t="str">
        <f>RTD("tos.rtd", , "PROB_OTM", ".AGG201120P117")</f>
        <v>N/A</v>
      </c>
      <c r="V17" t="str">
        <f>RTD("tos.rtd", , "PROB_OF_TOUCHING", ".AGG201120P117")</f>
        <v>N/A</v>
      </c>
      <c r="W17" t="str">
        <f>RTD("tos.rtd", , "STRIKE", ".AGG201120P117")</f>
        <v>N/A</v>
      </c>
    </row>
    <row r="18" spans="1:23" x14ac:dyDescent="0.45">
      <c r="A18" t="s">
        <v>39</v>
      </c>
      <c r="B18" t="str">
        <f>RTD("tos.rtd", , "DESCRIPTION", "AMLP")</f>
        <v>N/A</v>
      </c>
      <c r="C18">
        <f>RTD("tos.rtd", , "PUT_CALL_RATIO", "AMLP")</f>
        <v>0.28000000000000003</v>
      </c>
      <c r="D18" t="str">
        <f>RTD("tos.rtd", , "IMPL_VOL", "AMLP")</f>
        <v>43.43%</v>
      </c>
      <c r="E18">
        <f>RTD("tos.rtd", , "LAST", "AMLP")</f>
        <v>22.45</v>
      </c>
      <c r="F18">
        <f>RTD("tos.rtd", , "VOLUME", "AMLP")</f>
        <v>3190391</v>
      </c>
      <c r="G18">
        <f>RTD("tos.rtd", , "OPEN_INT", "AMLP")</f>
        <v>0</v>
      </c>
      <c r="H18">
        <f>RTD("tos.rtd", , "BID", "AMLP")</f>
        <v>22.06</v>
      </c>
      <c r="I18">
        <f>RTD("tos.rtd", , "ASK", "AMLP")</f>
        <v>22.45</v>
      </c>
      <c r="J18">
        <f>RTD("tos.rtd", , "HIGH", "AMLP")</f>
        <v>22.92</v>
      </c>
      <c r="K18">
        <f>RTD("tos.rtd", , "LOW", "AMLP")</f>
        <v>22.16</v>
      </c>
      <c r="L18">
        <f>RTD("tos.rtd", , "OPEN", "AMLP")</f>
        <v>22.51</v>
      </c>
      <c r="M18">
        <f>RTD("tos.rtd", , "DELTA", "AMLP")</f>
        <v>1</v>
      </c>
      <c r="N18">
        <f>RTD("tos.rtd", , "GAMMA", "AMLP")</f>
        <v>0</v>
      </c>
      <c r="O18">
        <f>RTD("tos.rtd", , "THETA", "AMLP")</f>
        <v>0</v>
      </c>
      <c r="P18">
        <f>RTD("tos.rtd", , "VEGA", "AMLP")</f>
        <v>0</v>
      </c>
      <c r="Q18">
        <f>RTD("tos.rtd", , "RHO", "AMLP")</f>
        <v>0</v>
      </c>
      <c r="R18" t="str">
        <f>RTD("tos.rtd", , "INTRINSIC", "AMLP")</f>
        <v>N/A</v>
      </c>
      <c r="S18" t="str">
        <f>RTD("tos.rtd", , "EXTRINSIC", "AMLP")</f>
        <v>N/A</v>
      </c>
      <c r="T18" t="str">
        <f>RTD("tos.rtd", , "PROB_OF_EXPIRING", "AMLP")</f>
        <v>N/A</v>
      </c>
      <c r="U18" t="str">
        <f>RTD("tos.rtd", , "PROB_OTM", "AMLP")</f>
        <v>N/A</v>
      </c>
      <c r="V18" t="str">
        <f>RTD("tos.rtd", , "PROB_OF_TOUCHING", "AMLP")</f>
        <v>N/A</v>
      </c>
      <c r="W18" t="str">
        <f>RTD("tos.rtd", , "STRIKE", "AMLP")</f>
        <v>N/A</v>
      </c>
    </row>
    <row r="19" spans="1:23" x14ac:dyDescent="0.45">
      <c r="A19" t="s">
        <v>40</v>
      </c>
      <c r="B19" t="str">
        <f>RTD("tos.rtd", , "DESCRIPTION", ".AMLP201120C23")</f>
        <v>N/A</v>
      </c>
      <c r="C19" t="str">
        <f>RTD("tos.rtd", , "PUT_CALL_RATIO", ".AMLP201120C23")</f>
        <v>N/A</v>
      </c>
      <c r="D19" t="str">
        <f>RTD("tos.rtd", , "IMPL_VOL", ".AMLP201120C23")</f>
        <v>N/A</v>
      </c>
      <c r="E19" t="str">
        <f>RTD("tos.rtd", , "LAST", ".AMLP201120C23")</f>
        <v>N/A</v>
      </c>
      <c r="F19" t="str">
        <f>RTD("tos.rtd", , "VOLUME", ".AMLP201120C23")</f>
        <v>N/A</v>
      </c>
      <c r="G19" t="str">
        <f>RTD("tos.rtd", , "OPEN_INT", ".AMLP201120C23")</f>
        <v>N/A</v>
      </c>
      <c r="H19" t="str">
        <f>RTD("tos.rtd", , "BID", ".AMLP201120C23")</f>
        <v>N/A</v>
      </c>
      <c r="I19" t="str">
        <f>RTD("tos.rtd", , "ASK", ".AMLP201120C23")</f>
        <v>N/A</v>
      </c>
      <c r="J19" t="str">
        <f>RTD("tos.rtd", , "HIGH", ".AMLP201120C23")</f>
        <v>N/A</v>
      </c>
      <c r="K19" t="str">
        <f>RTD("tos.rtd", , "LOW", ".AMLP201120C23")</f>
        <v>N/A</v>
      </c>
      <c r="L19" t="str">
        <f>RTD("tos.rtd", , "OPEN", ".AMLP201120C23")</f>
        <v>N/A</v>
      </c>
      <c r="M19" t="str">
        <f>RTD("tos.rtd", , "DELTA", ".AMLP201120C23")</f>
        <v>N/A</v>
      </c>
      <c r="N19" t="str">
        <f>RTD("tos.rtd", , "GAMMA", ".AMLP201120C23")</f>
        <v>N/A</v>
      </c>
      <c r="O19" t="str">
        <f>RTD("tos.rtd", , "THETA", ".AMLP201120C23")</f>
        <v>N/A</v>
      </c>
      <c r="P19" t="str">
        <f>RTD("tos.rtd", , "VEGA", ".AMLP201120C23")</f>
        <v>N/A</v>
      </c>
      <c r="Q19" t="str">
        <f>RTD("tos.rtd", , "RHO", ".AMLP201120C23")</f>
        <v>N/A</v>
      </c>
      <c r="R19" t="str">
        <f>RTD("tos.rtd", , "INTRINSIC", ".AMLP201120C23")</f>
        <v>N/A</v>
      </c>
      <c r="S19" t="str">
        <f>RTD("tos.rtd", , "EXTRINSIC", ".AMLP201120C23")</f>
        <v>N/A</v>
      </c>
      <c r="T19" t="str">
        <f>RTD("tos.rtd", , "PROB_OF_EXPIRING", ".AMLP201120C23")</f>
        <v>N/A</v>
      </c>
      <c r="U19" t="str">
        <f>RTD("tos.rtd", , "PROB_OTM", ".AMLP201120C23")</f>
        <v>N/A</v>
      </c>
      <c r="V19" t="str">
        <f>RTD("tos.rtd", , "PROB_OF_TOUCHING", ".AMLP201120C23")</f>
        <v>N/A</v>
      </c>
      <c r="W19" t="str">
        <f>RTD("tos.rtd", , "STRIKE", ".AMLP201120C23")</f>
        <v>N/A</v>
      </c>
    </row>
    <row r="20" spans="1:23" x14ac:dyDescent="0.45">
      <c r="A20" t="s">
        <v>41</v>
      </c>
      <c r="B20" t="str">
        <f>RTD("tos.rtd", , "DESCRIPTION", ".AMLP201120P23")</f>
        <v>N/A</v>
      </c>
      <c r="C20" t="str">
        <f>RTD("tos.rtd", , "PUT_CALL_RATIO", ".AMLP201120P23")</f>
        <v>N/A</v>
      </c>
      <c r="D20" t="str">
        <f>RTD("tos.rtd", , "IMPL_VOL", ".AMLP201120P23")</f>
        <v>N/A</v>
      </c>
      <c r="E20" t="str">
        <f>RTD("tos.rtd", , "LAST", ".AMLP201120P23")</f>
        <v>N/A</v>
      </c>
      <c r="F20" t="str">
        <f>RTD("tos.rtd", , "VOLUME", ".AMLP201120P23")</f>
        <v>N/A</v>
      </c>
      <c r="G20" t="str">
        <f>RTD("tos.rtd", , "OPEN_INT", ".AMLP201120P23")</f>
        <v>N/A</v>
      </c>
      <c r="H20" t="str">
        <f>RTD("tos.rtd", , "BID", ".AMLP201120P23")</f>
        <v>N/A</v>
      </c>
      <c r="I20" t="str">
        <f>RTD("tos.rtd", , "ASK", ".AMLP201120P23")</f>
        <v>N/A</v>
      </c>
      <c r="J20" t="str">
        <f>RTD("tos.rtd", , "HIGH", ".AMLP201120P23")</f>
        <v>N/A</v>
      </c>
      <c r="K20" t="str">
        <f>RTD("tos.rtd", , "LOW", ".AMLP201120P23")</f>
        <v>N/A</v>
      </c>
      <c r="L20" t="str">
        <f>RTD("tos.rtd", , "OPEN", ".AMLP201120P23")</f>
        <v>N/A</v>
      </c>
      <c r="M20" t="str">
        <f>RTD("tos.rtd", , "DELTA", ".AMLP201120P23")</f>
        <v>N/A</v>
      </c>
      <c r="N20" t="str">
        <f>RTD("tos.rtd", , "GAMMA", ".AMLP201120P23")</f>
        <v>N/A</v>
      </c>
      <c r="O20" t="str">
        <f>RTD("tos.rtd", , "THETA", ".AMLP201120P23")</f>
        <v>N/A</v>
      </c>
      <c r="P20" t="str">
        <f>RTD("tos.rtd", , "VEGA", ".AMLP201120P23")</f>
        <v>N/A</v>
      </c>
      <c r="Q20" t="str">
        <f>RTD("tos.rtd", , "RHO", ".AMLP201120P23")</f>
        <v>N/A</v>
      </c>
      <c r="R20" t="str">
        <f>RTD("tos.rtd", , "INTRINSIC", ".AMLP201120P23")</f>
        <v>N/A</v>
      </c>
      <c r="S20" t="str">
        <f>RTD("tos.rtd", , "EXTRINSIC", ".AMLP201120P23")</f>
        <v>N/A</v>
      </c>
      <c r="T20" t="str">
        <f>RTD("tos.rtd", , "PROB_OF_EXPIRING", ".AMLP201120P23")</f>
        <v>N/A</v>
      </c>
      <c r="U20" t="str">
        <f>RTD("tos.rtd", , "PROB_OTM", ".AMLP201120P23")</f>
        <v>N/A</v>
      </c>
      <c r="V20" t="str">
        <f>RTD("tos.rtd", , "PROB_OF_TOUCHING", ".AMLP201120P23")</f>
        <v>N/A</v>
      </c>
      <c r="W20" t="str">
        <f>RTD("tos.rtd", , "STRIKE", ".AMLP201120P23")</f>
        <v>N/A</v>
      </c>
    </row>
    <row r="21" spans="1:23" x14ac:dyDescent="0.45">
      <c r="A21" t="s">
        <v>42</v>
      </c>
      <c r="B21" t="str">
        <f>RTD("tos.rtd", , "DESCRIPTION", ".AMLP201120C23.5")</f>
        <v>N/A</v>
      </c>
      <c r="C21" t="str">
        <f>RTD("tos.rtd", , "PUT_CALL_RATIO", ".AMLP201120C23.5")</f>
        <v>N/A</v>
      </c>
      <c r="D21" t="str">
        <f>RTD("tos.rtd", , "IMPL_VOL", ".AMLP201120C23.5")</f>
        <v>N/A</v>
      </c>
      <c r="E21" t="str">
        <f>RTD("tos.rtd", , "LAST", ".AMLP201120C23.5")</f>
        <v>N/A</v>
      </c>
      <c r="F21" t="str">
        <f>RTD("tos.rtd", , "VOLUME", ".AMLP201120C23.5")</f>
        <v>N/A</v>
      </c>
      <c r="G21" t="str">
        <f>RTD("tos.rtd", , "OPEN_INT", ".AMLP201120C23.5")</f>
        <v>N/A</v>
      </c>
      <c r="H21" t="str">
        <f>RTD("tos.rtd", , "BID", ".AMLP201120C23.5")</f>
        <v>N/A</v>
      </c>
      <c r="I21" t="str">
        <f>RTD("tos.rtd", , "ASK", ".AMLP201120C23.5")</f>
        <v>N/A</v>
      </c>
      <c r="J21" t="str">
        <f>RTD("tos.rtd", , "HIGH", ".AMLP201120C23.5")</f>
        <v>N/A</v>
      </c>
      <c r="K21" t="str">
        <f>RTD("tos.rtd", , "LOW", ".AMLP201120C23.5")</f>
        <v>N/A</v>
      </c>
      <c r="L21" t="str">
        <f>RTD("tos.rtd", , "OPEN", ".AMLP201120C23.5")</f>
        <v>N/A</v>
      </c>
      <c r="M21" t="str">
        <f>RTD("tos.rtd", , "DELTA", ".AMLP201120C23.5")</f>
        <v>N/A</v>
      </c>
      <c r="N21" t="str">
        <f>RTD("tos.rtd", , "GAMMA", ".AMLP201120C23.5")</f>
        <v>N/A</v>
      </c>
      <c r="O21" t="str">
        <f>RTD("tos.rtd", , "THETA", ".AMLP201120C23.5")</f>
        <v>N/A</v>
      </c>
      <c r="P21" t="str">
        <f>RTD("tos.rtd", , "VEGA", ".AMLP201120C23.5")</f>
        <v>N/A</v>
      </c>
      <c r="Q21" t="str">
        <f>RTD("tos.rtd", , "RHO", ".AMLP201120C23.5")</f>
        <v>N/A</v>
      </c>
      <c r="R21" t="str">
        <f>RTD("tos.rtd", , "INTRINSIC", ".AMLP201120C23.5")</f>
        <v>N/A</v>
      </c>
      <c r="S21" t="str">
        <f>RTD("tos.rtd", , "EXTRINSIC", ".AMLP201120C23.5")</f>
        <v>N/A</v>
      </c>
      <c r="T21" t="str">
        <f>RTD("tos.rtd", , "PROB_OF_EXPIRING", ".AMLP201120C23.5")</f>
        <v>N/A</v>
      </c>
      <c r="U21" t="str">
        <f>RTD("tos.rtd", , "PROB_OTM", ".AMLP201120C23.5")</f>
        <v>N/A</v>
      </c>
      <c r="V21" t="str">
        <f>RTD("tos.rtd", , "PROB_OF_TOUCHING", ".AMLP201120C23.5")</f>
        <v>N/A</v>
      </c>
      <c r="W21" t="str">
        <f>RTD("tos.rtd", , "STRIKE", ".AMLP201120C23.5")</f>
        <v>N/A</v>
      </c>
    </row>
    <row r="22" spans="1:23" x14ac:dyDescent="0.45">
      <c r="A22" t="s">
        <v>43</v>
      </c>
      <c r="B22" t="str">
        <f>RTD("tos.rtd", , "DESCRIPTION", ".AMLP201120P23.5")</f>
        <v>N/A</v>
      </c>
      <c r="C22" t="str">
        <f>RTD("tos.rtd", , "PUT_CALL_RATIO", ".AMLP201120P23.5")</f>
        <v>N/A</v>
      </c>
      <c r="D22" t="str">
        <f>RTD("tos.rtd", , "IMPL_VOL", ".AMLP201120P23.5")</f>
        <v>N/A</v>
      </c>
      <c r="E22">
        <f>RTD("tos.rtd", , "LAST", ".AMLP201120P23.5")</f>
        <v>0.79</v>
      </c>
      <c r="F22">
        <f>RTD("tos.rtd", , "VOLUME", ".AMLP201120P23.5")</f>
        <v>0</v>
      </c>
      <c r="G22">
        <f>RTD("tos.rtd", , "OPEN_INT", ".AMLP201120P23.5")</f>
        <v>2</v>
      </c>
      <c r="H22">
        <f>RTD("tos.rtd", , "BID", ".AMLP201120P23.5")</f>
        <v>1.0900000000000001</v>
      </c>
      <c r="I22">
        <f>RTD("tos.rtd", , "ASK", ".AMLP201120P23.5")</f>
        <v>1.39</v>
      </c>
      <c r="J22">
        <f>RTD("tos.rtd", , "HIGH", ".AMLP201120P23.5")</f>
        <v>0</v>
      </c>
      <c r="K22">
        <f>RTD("tos.rtd", , "LOW", ".AMLP201120P23.5")</f>
        <v>0</v>
      </c>
      <c r="L22">
        <f>RTD("tos.rtd", , "OPEN", ".AMLP201120P23.5")</f>
        <v>0</v>
      </c>
      <c r="M22" t="str">
        <f>RTD("tos.rtd", , "DELTA", ".AMLP201120P23.5")</f>
        <v>N/A</v>
      </c>
      <c r="N22" t="str">
        <f>RTD("tos.rtd", , "GAMMA", ".AMLP201120P23.5")</f>
        <v>N/A</v>
      </c>
      <c r="O22" t="str">
        <f>RTD("tos.rtd", , "THETA", ".AMLP201120P23.5")</f>
        <v>N/A</v>
      </c>
      <c r="P22" t="str">
        <f>RTD("tos.rtd", , "VEGA", ".AMLP201120P23.5")</f>
        <v>N/A</v>
      </c>
      <c r="Q22" t="str">
        <f>RTD("tos.rtd", , "RHO", ".AMLP201120P23.5")</f>
        <v>N/A</v>
      </c>
      <c r="R22" t="str">
        <f>RTD("tos.rtd", , "INTRINSIC", ".AMLP201120P23.5")</f>
        <v>N/A</v>
      </c>
      <c r="S22" t="str">
        <f>RTD("tos.rtd", , "EXTRINSIC", ".AMLP201120P23.5")</f>
        <v>N/A</v>
      </c>
      <c r="T22" t="str">
        <f>RTD("tos.rtd", , "PROB_OF_EXPIRING", ".AMLP201120P23.5")</f>
        <v>N/A</v>
      </c>
      <c r="U22" t="str">
        <f>RTD("tos.rtd", , "PROB_OTM", ".AMLP201120P23.5")</f>
        <v>N/A</v>
      </c>
      <c r="V22" t="str">
        <f>RTD("tos.rtd", , "PROB_OF_TOUCHING", ".AMLP201120P23.5")</f>
        <v>N/A</v>
      </c>
      <c r="W22" t="str">
        <f>RTD("tos.rtd", , "STRIKE", ".AMLP201120P23.5")</f>
        <v>N/A</v>
      </c>
    </row>
    <row r="23" spans="1:23" x14ac:dyDescent="0.45">
      <c r="A23" t="s">
        <v>44</v>
      </c>
      <c r="B23" t="str">
        <f>RTD("tos.rtd", , "DESCRIPTION", ".AMLP201120C24")</f>
        <v>N/A</v>
      </c>
      <c r="C23" t="str">
        <f>RTD("tos.rtd", , "PUT_CALL_RATIO", ".AMLP201120C24")</f>
        <v>N/A</v>
      </c>
      <c r="D23" t="str">
        <f>RTD("tos.rtd", , "IMPL_VOL", ".AMLP201120C24")</f>
        <v>N/A</v>
      </c>
      <c r="E23" t="str">
        <f>RTD("tos.rtd", , "LAST", ".AMLP201120C24")</f>
        <v>N/A</v>
      </c>
      <c r="F23" t="str">
        <f>RTD("tos.rtd", , "VOLUME", ".AMLP201120C24")</f>
        <v>N/A</v>
      </c>
      <c r="G23" t="str">
        <f>RTD("tos.rtd", , "OPEN_INT", ".AMLP201120C24")</f>
        <v>N/A</v>
      </c>
      <c r="H23" t="str">
        <f>RTD("tos.rtd", , "BID", ".AMLP201120C24")</f>
        <v>N/A</v>
      </c>
      <c r="I23" t="str">
        <f>RTD("tos.rtd", , "ASK", ".AMLP201120C24")</f>
        <v>N/A</v>
      </c>
      <c r="J23" t="str">
        <f>RTD("tos.rtd", , "HIGH", ".AMLP201120C24")</f>
        <v>N/A</v>
      </c>
      <c r="K23" t="str">
        <f>RTD("tos.rtd", , "LOW", ".AMLP201120C24")</f>
        <v>N/A</v>
      </c>
      <c r="L23" t="str">
        <f>RTD("tos.rtd", , "OPEN", ".AMLP201120C24")</f>
        <v>N/A</v>
      </c>
      <c r="M23" t="str">
        <f>RTD("tos.rtd", , "DELTA", ".AMLP201120C24")</f>
        <v>N/A</v>
      </c>
      <c r="N23" t="str">
        <f>RTD("tos.rtd", , "GAMMA", ".AMLP201120C24")</f>
        <v>N/A</v>
      </c>
      <c r="O23" t="str">
        <f>RTD("tos.rtd", , "THETA", ".AMLP201120C24")</f>
        <v>N/A</v>
      </c>
      <c r="P23" t="str">
        <f>RTD("tos.rtd", , "VEGA", ".AMLP201120C24")</f>
        <v>N/A</v>
      </c>
      <c r="Q23" t="str">
        <f>RTD("tos.rtd", , "RHO", ".AMLP201120C24")</f>
        <v>N/A</v>
      </c>
      <c r="R23" t="str">
        <f>RTD("tos.rtd", , "INTRINSIC", ".AMLP201120C24")</f>
        <v>N/A</v>
      </c>
      <c r="S23" t="str">
        <f>RTD("tos.rtd", , "EXTRINSIC", ".AMLP201120C24")</f>
        <v>N/A</v>
      </c>
      <c r="T23" t="str">
        <f>RTD("tos.rtd", , "PROB_OF_EXPIRING", ".AMLP201120C24")</f>
        <v>N/A</v>
      </c>
      <c r="U23" t="str">
        <f>RTD("tos.rtd", , "PROB_OTM", ".AMLP201120C24")</f>
        <v>N/A</v>
      </c>
      <c r="V23" t="str">
        <f>RTD("tos.rtd", , "PROB_OF_TOUCHING", ".AMLP201120C24")</f>
        <v>N/A</v>
      </c>
      <c r="W23" t="str">
        <f>RTD("tos.rtd", , "STRIKE", ".AMLP201120C24")</f>
        <v>N/A</v>
      </c>
    </row>
    <row r="24" spans="1:23" x14ac:dyDescent="0.45">
      <c r="A24" t="s">
        <v>45</v>
      </c>
      <c r="B24" t="str">
        <f>RTD("tos.rtd", , "DESCRIPTION", ".AMLP201120P24")</f>
        <v>N/A</v>
      </c>
      <c r="C24" t="str">
        <f>RTD("tos.rtd", , "PUT_CALL_RATIO", ".AMLP201120P24")</f>
        <v>N/A</v>
      </c>
      <c r="D24" t="str">
        <f>RTD("tos.rtd", , "IMPL_VOL", ".AMLP201120P24")</f>
        <v>N/A</v>
      </c>
      <c r="E24" t="str">
        <f>RTD("tos.rtd", , "LAST", ".AMLP201120P24")</f>
        <v>N/A</v>
      </c>
      <c r="F24" t="str">
        <f>RTD("tos.rtd", , "VOLUME", ".AMLP201120P24")</f>
        <v>N/A</v>
      </c>
      <c r="G24" t="str">
        <f>RTD("tos.rtd", , "OPEN_INT", ".AMLP201120P24")</f>
        <v>N/A</v>
      </c>
      <c r="H24" t="str">
        <f>RTD("tos.rtd", , "BID", ".AMLP201120P24")</f>
        <v>N/A</v>
      </c>
      <c r="I24" t="str">
        <f>RTD("tos.rtd", , "ASK", ".AMLP201120P24")</f>
        <v>N/A</v>
      </c>
      <c r="J24" t="str">
        <f>RTD("tos.rtd", , "HIGH", ".AMLP201120P24")</f>
        <v>N/A</v>
      </c>
      <c r="K24" t="str">
        <f>RTD("tos.rtd", , "LOW", ".AMLP201120P24")</f>
        <v>N/A</v>
      </c>
      <c r="L24" t="str">
        <f>RTD("tos.rtd", , "OPEN", ".AMLP201120P24")</f>
        <v>N/A</v>
      </c>
      <c r="M24" t="str">
        <f>RTD("tos.rtd", , "DELTA", ".AMLP201120P24")</f>
        <v>N/A</v>
      </c>
      <c r="N24" t="str">
        <f>RTD("tos.rtd", , "GAMMA", ".AMLP201120P24")</f>
        <v>N/A</v>
      </c>
      <c r="O24" t="str">
        <f>RTD("tos.rtd", , "THETA", ".AMLP201120P24")</f>
        <v>N/A</v>
      </c>
      <c r="P24" t="str">
        <f>RTD("tos.rtd", , "VEGA", ".AMLP201120P24")</f>
        <v>N/A</v>
      </c>
      <c r="Q24" t="str">
        <f>RTD("tos.rtd", , "RHO", ".AMLP201120P24")</f>
        <v>N/A</v>
      </c>
      <c r="R24" t="str">
        <f>RTD("tos.rtd", , "INTRINSIC", ".AMLP201120P24")</f>
        <v>N/A</v>
      </c>
      <c r="S24" t="str">
        <f>RTD("tos.rtd", , "EXTRINSIC", ".AMLP201120P24")</f>
        <v>N/A</v>
      </c>
      <c r="T24" t="str">
        <f>RTD("tos.rtd", , "PROB_OF_EXPIRING", ".AMLP201120P24")</f>
        <v>N/A</v>
      </c>
      <c r="U24" t="str">
        <f>RTD("tos.rtd", , "PROB_OTM", ".AMLP201120P24")</f>
        <v>N/A</v>
      </c>
      <c r="V24" t="str">
        <f>RTD("tos.rtd", , "PROB_OF_TOUCHING", ".AMLP201120P24")</f>
        <v>N/A</v>
      </c>
      <c r="W24" t="str">
        <f>RTD("tos.rtd", , "STRIKE", ".AMLP201120P24")</f>
        <v>N/A</v>
      </c>
    </row>
    <row r="25" spans="1:23" x14ac:dyDescent="0.45">
      <c r="A25" t="s">
        <v>46</v>
      </c>
      <c r="B25" t="str">
        <f>RTD("tos.rtd", , "DESCRIPTION", "ARKK")</f>
        <v>N/A</v>
      </c>
      <c r="C25">
        <f>RTD("tos.rtd", , "PUT_CALL_RATIO", "ARKK")</f>
        <v>1.0409999999999999</v>
      </c>
      <c r="D25" t="str">
        <f>RTD("tos.rtd", , "IMPL_VOL", "ARKK")</f>
        <v>41.82%</v>
      </c>
      <c r="E25">
        <f>RTD("tos.rtd", , "LAST", "ARKK")</f>
        <v>98.89</v>
      </c>
      <c r="F25">
        <f>RTD("tos.rtd", , "VOLUME", "ARKK")</f>
        <v>2493790</v>
      </c>
      <c r="G25">
        <f>RTD("tos.rtd", , "OPEN_INT", "ARKK")</f>
        <v>0</v>
      </c>
      <c r="H25">
        <f>RTD("tos.rtd", , "BID", "ARKK")</f>
        <v>98.68</v>
      </c>
      <c r="I25">
        <f>RTD("tos.rtd", , "ASK", "ARKK")</f>
        <v>99.3</v>
      </c>
      <c r="J25">
        <f>RTD("tos.rtd", , "HIGH", "ARKK")</f>
        <v>100.4</v>
      </c>
      <c r="K25">
        <f>RTD("tos.rtd", , "LOW", "ARKK")</f>
        <v>98.32</v>
      </c>
      <c r="L25">
        <f>RTD("tos.rtd", , "OPEN", "ARKK")</f>
        <v>99.6</v>
      </c>
      <c r="M25">
        <f>RTD("tos.rtd", , "DELTA", "ARKK")</f>
        <v>1</v>
      </c>
      <c r="N25">
        <f>RTD("tos.rtd", , "GAMMA", "ARKK")</f>
        <v>0</v>
      </c>
      <c r="O25">
        <f>RTD("tos.rtd", , "THETA", "ARKK")</f>
        <v>0</v>
      </c>
      <c r="P25">
        <f>RTD("tos.rtd", , "VEGA", "ARKK")</f>
        <v>0</v>
      </c>
      <c r="Q25">
        <f>RTD("tos.rtd", , "RHO", "ARKK")</f>
        <v>0</v>
      </c>
      <c r="R25" t="str">
        <f>RTD("tos.rtd", , "INTRINSIC", "ARKK")</f>
        <v>N/A</v>
      </c>
      <c r="S25" t="str">
        <f>RTD("tos.rtd", , "EXTRINSIC", "ARKK")</f>
        <v>N/A</v>
      </c>
      <c r="T25" t="str">
        <f>RTD("tos.rtd", , "PROB_OF_EXPIRING", "ARKK")</f>
        <v>N/A</v>
      </c>
      <c r="U25" t="str">
        <f>RTD("tos.rtd", , "PROB_OTM", "ARKK")</f>
        <v>N/A</v>
      </c>
      <c r="V25" t="str">
        <f>RTD("tos.rtd", , "PROB_OF_TOUCHING", "ARKK")</f>
        <v>N/A</v>
      </c>
      <c r="W25" t="str">
        <f>RTD("tos.rtd", , "STRIKE", "ARKK")</f>
        <v>N/A</v>
      </c>
    </row>
    <row r="26" spans="1:23" x14ac:dyDescent="0.45">
      <c r="A26" t="s">
        <v>47</v>
      </c>
      <c r="B26" t="str">
        <f>RTD("tos.rtd", , "DESCRIPTION", ".ARKK201120C97")</f>
        <v>N/A</v>
      </c>
      <c r="C26" t="str">
        <f>RTD("tos.rtd", , "PUT_CALL_RATIO", ".ARKK201120C97")</f>
        <v>N/A</v>
      </c>
      <c r="D26" t="str">
        <f>RTD("tos.rtd", , "IMPL_VOL", ".ARKK201120C97")</f>
        <v>N/A</v>
      </c>
      <c r="E26">
        <f>RTD("tos.rtd", , "LAST", ".ARKK201120C97")</f>
        <v>3.32</v>
      </c>
      <c r="F26">
        <f>RTD("tos.rtd", , "VOLUME", ".ARKK201120C97")</f>
        <v>8</v>
      </c>
      <c r="G26">
        <f>RTD("tos.rtd", , "OPEN_INT", ".ARKK201120C97")</f>
        <v>83</v>
      </c>
      <c r="H26">
        <f>RTD("tos.rtd", , "BID", ".ARKK201120C97")</f>
        <v>3.1</v>
      </c>
      <c r="I26">
        <f>RTD("tos.rtd", , "ASK", ".ARKK201120C97")</f>
        <v>3.5</v>
      </c>
      <c r="J26">
        <f>RTD("tos.rtd", , "HIGH", ".ARKK201120C97")</f>
        <v>4.24</v>
      </c>
      <c r="K26">
        <f>RTD("tos.rtd", , "LOW", ".ARKK201120C97")</f>
        <v>3.32</v>
      </c>
      <c r="L26">
        <f>RTD("tos.rtd", , "OPEN", ".ARKK201120C97")</f>
        <v>4.0999999999999996</v>
      </c>
      <c r="M26" t="str">
        <f>RTD("tos.rtd", , "DELTA", ".ARKK201120C97")</f>
        <v>N/A</v>
      </c>
      <c r="N26" t="str">
        <f>RTD("tos.rtd", , "GAMMA", ".ARKK201120C97")</f>
        <v>N/A</v>
      </c>
      <c r="O26" t="str">
        <f>RTD("tos.rtd", , "THETA", ".ARKK201120C97")</f>
        <v>N/A</v>
      </c>
      <c r="P26" t="str">
        <f>RTD("tos.rtd", , "VEGA", ".ARKK201120C97")</f>
        <v>N/A</v>
      </c>
      <c r="Q26" t="str">
        <f>RTD("tos.rtd", , "RHO", ".ARKK201120C97")</f>
        <v>N/A</v>
      </c>
      <c r="R26" t="str">
        <f>RTD("tos.rtd", , "INTRINSIC", ".ARKK201120C97")</f>
        <v>N/A</v>
      </c>
      <c r="S26" t="str">
        <f>RTD("tos.rtd", , "EXTRINSIC", ".ARKK201120C97")</f>
        <v>N/A</v>
      </c>
      <c r="T26" t="str">
        <f>RTD("tos.rtd", , "PROB_OF_EXPIRING", ".ARKK201120C97")</f>
        <v>N/A</v>
      </c>
      <c r="U26" t="str">
        <f>RTD("tos.rtd", , "PROB_OTM", ".ARKK201120C97")</f>
        <v>N/A</v>
      </c>
      <c r="V26" t="str">
        <f>RTD("tos.rtd", , "PROB_OF_TOUCHING", ".ARKK201120C97")</f>
        <v>N/A</v>
      </c>
      <c r="W26" t="str">
        <f>RTD("tos.rtd", , "STRIKE", ".ARKK201120C97")</f>
        <v>N/A</v>
      </c>
    </row>
    <row r="27" spans="1:23" x14ac:dyDescent="0.45">
      <c r="A27" t="s">
        <v>48</v>
      </c>
      <c r="B27" t="str">
        <f>RTD("tos.rtd", , "DESCRIPTION", ".ARKK201120P97")</f>
        <v>N/A</v>
      </c>
      <c r="C27" t="str">
        <f>RTD("tos.rtd", , "PUT_CALL_RATIO", ".ARKK201120P97")</f>
        <v>N/A</v>
      </c>
      <c r="D27" t="str">
        <f>RTD("tos.rtd", , "IMPL_VOL", ".ARKK201120P97")</f>
        <v>N/A</v>
      </c>
      <c r="E27">
        <f>RTD("tos.rtd", , "LAST", ".ARKK201120P97")</f>
        <v>1.75</v>
      </c>
      <c r="F27">
        <f>RTD("tos.rtd", , "VOLUME", ".ARKK201120P97")</f>
        <v>42</v>
      </c>
      <c r="G27">
        <f>RTD("tos.rtd", , "OPEN_INT", ".ARKK201120P97")</f>
        <v>237</v>
      </c>
      <c r="H27">
        <f>RTD("tos.rtd", , "BID", ".ARKK201120P97")</f>
        <v>1.35</v>
      </c>
      <c r="I27">
        <f>RTD("tos.rtd", , "ASK", ".ARKK201120P97")</f>
        <v>1.75</v>
      </c>
      <c r="J27">
        <f>RTD("tos.rtd", , "HIGH", ".ARKK201120P97")</f>
        <v>1.75</v>
      </c>
      <c r="K27">
        <f>RTD("tos.rtd", , "LOW", ".ARKK201120P97")</f>
        <v>1.1000000000000001</v>
      </c>
      <c r="L27">
        <f>RTD("tos.rtd", , "OPEN", ".ARKK201120P97")</f>
        <v>1.35</v>
      </c>
      <c r="M27" t="str">
        <f>RTD("tos.rtd", , "DELTA", ".ARKK201120P97")</f>
        <v>N/A</v>
      </c>
      <c r="N27" t="str">
        <f>RTD("tos.rtd", , "GAMMA", ".ARKK201120P97")</f>
        <v>N/A</v>
      </c>
      <c r="O27" t="str">
        <f>RTD("tos.rtd", , "THETA", ".ARKK201120P97")</f>
        <v>N/A</v>
      </c>
      <c r="P27" t="str">
        <f>RTD("tos.rtd", , "VEGA", ".ARKK201120P97")</f>
        <v>N/A</v>
      </c>
      <c r="Q27" t="str">
        <f>RTD("tos.rtd", , "RHO", ".ARKK201120P97")</f>
        <v>N/A</v>
      </c>
      <c r="R27" t="str">
        <f>RTD("tos.rtd", , "INTRINSIC", ".ARKK201120P97")</f>
        <v>N/A</v>
      </c>
      <c r="S27" t="str">
        <f>RTD("tos.rtd", , "EXTRINSIC", ".ARKK201120P97")</f>
        <v>N/A</v>
      </c>
      <c r="T27" t="str">
        <f>RTD("tos.rtd", , "PROB_OF_EXPIRING", ".ARKK201120P97")</f>
        <v>N/A</v>
      </c>
      <c r="U27" t="str">
        <f>RTD("tos.rtd", , "PROB_OTM", ".ARKK201120P97")</f>
        <v>N/A</v>
      </c>
      <c r="V27" t="str">
        <f>RTD("tos.rtd", , "PROB_OF_TOUCHING", ".ARKK201120P97")</f>
        <v>N/A</v>
      </c>
      <c r="W27" t="str">
        <f>RTD("tos.rtd", , "STRIKE", ".ARKK201120P97")</f>
        <v>N/A</v>
      </c>
    </row>
    <row r="28" spans="1:23" x14ac:dyDescent="0.45">
      <c r="A28" t="s">
        <v>49</v>
      </c>
      <c r="B28" t="str">
        <f>RTD("tos.rtd", , "DESCRIPTION", ".ARKK201120C98")</f>
        <v>N/A</v>
      </c>
      <c r="C28" t="str">
        <f>RTD("tos.rtd", , "PUT_CALL_RATIO", ".ARKK201120C98")</f>
        <v>N/A</v>
      </c>
      <c r="D28" t="str">
        <f>RTD("tos.rtd", , "IMPL_VOL", ".ARKK201120C98")</f>
        <v>N/A</v>
      </c>
      <c r="E28">
        <f>RTD("tos.rtd", , "LAST", ".ARKK201120C98")</f>
        <v>2.8</v>
      </c>
      <c r="F28">
        <f>RTD("tos.rtd", , "VOLUME", ".ARKK201120C98")</f>
        <v>44</v>
      </c>
      <c r="G28">
        <f>RTD("tos.rtd", , "OPEN_INT", ".ARKK201120C98")</f>
        <v>166</v>
      </c>
      <c r="H28">
        <f>RTD("tos.rtd", , "BID", ".ARKK201120C98")</f>
        <v>2.6</v>
      </c>
      <c r="I28">
        <f>RTD("tos.rtd", , "ASK", ".ARKK201120C98")</f>
        <v>2.9</v>
      </c>
      <c r="J28">
        <f>RTD("tos.rtd", , "HIGH", ".ARKK201120C98")</f>
        <v>3.56</v>
      </c>
      <c r="K28">
        <f>RTD("tos.rtd", , "LOW", ".ARKK201120C98")</f>
        <v>2.75</v>
      </c>
      <c r="L28">
        <f>RTD("tos.rtd", , "OPEN", ".ARKK201120C98")</f>
        <v>2.81</v>
      </c>
      <c r="M28" t="str">
        <f>RTD("tos.rtd", , "DELTA", ".ARKK201120C98")</f>
        <v>N/A</v>
      </c>
      <c r="N28" t="str">
        <f>RTD("tos.rtd", , "GAMMA", ".ARKK201120C98")</f>
        <v>N/A</v>
      </c>
      <c r="O28" t="str">
        <f>RTD("tos.rtd", , "THETA", ".ARKK201120C98")</f>
        <v>N/A</v>
      </c>
      <c r="P28" t="str">
        <f>RTD("tos.rtd", , "VEGA", ".ARKK201120C98")</f>
        <v>N/A</v>
      </c>
      <c r="Q28" t="str">
        <f>RTD("tos.rtd", , "RHO", ".ARKK201120C98")</f>
        <v>N/A</v>
      </c>
      <c r="R28" t="str">
        <f>RTD("tos.rtd", , "INTRINSIC", ".ARKK201120C98")</f>
        <v>N/A</v>
      </c>
      <c r="S28" t="str">
        <f>RTD("tos.rtd", , "EXTRINSIC", ".ARKK201120C98")</f>
        <v>N/A</v>
      </c>
      <c r="T28" t="str">
        <f>RTD("tos.rtd", , "PROB_OF_EXPIRING", ".ARKK201120C98")</f>
        <v>N/A</v>
      </c>
      <c r="U28" t="str">
        <f>RTD("tos.rtd", , "PROB_OTM", ".ARKK201120C98")</f>
        <v>N/A</v>
      </c>
      <c r="V28" t="str">
        <f>RTD("tos.rtd", , "PROB_OF_TOUCHING", ".ARKK201120C98")</f>
        <v>N/A</v>
      </c>
      <c r="W28" t="str">
        <f>RTD("tos.rtd", , "STRIKE", ".ARKK201120C98")</f>
        <v>N/A</v>
      </c>
    </row>
    <row r="29" spans="1:23" x14ac:dyDescent="0.45">
      <c r="A29" t="s">
        <v>50</v>
      </c>
      <c r="B29" t="str">
        <f>RTD("tos.rtd", , "DESCRIPTION", ".ARKK201120P98")</f>
        <v>N/A</v>
      </c>
      <c r="C29" t="str">
        <f>RTD("tos.rtd", , "PUT_CALL_RATIO", ".ARKK201120P98")</f>
        <v>N/A</v>
      </c>
      <c r="D29" t="str">
        <f>RTD("tos.rtd", , "IMPL_VOL", ".ARKK201120P98")</f>
        <v>N/A</v>
      </c>
      <c r="E29">
        <f>RTD("tos.rtd", , "LAST", ".ARKK201120P98")</f>
        <v>2.0499999999999998</v>
      </c>
      <c r="F29">
        <f>RTD("tos.rtd", , "VOLUME", ".ARKK201120P98")</f>
        <v>359</v>
      </c>
      <c r="G29">
        <f>RTD("tos.rtd", , "OPEN_INT", ".ARKK201120P98")</f>
        <v>2200</v>
      </c>
      <c r="H29">
        <f>RTD("tos.rtd", , "BID", ".ARKK201120P98")</f>
        <v>1.8</v>
      </c>
      <c r="I29">
        <f>RTD("tos.rtd", , "ASK", ".ARKK201120P98")</f>
        <v>2.1</v>
      </c>
      <c r="J29">
        <f>RTD("tos.rtd", , "HIGH", ".ARKK201120P98")</f>
        <v>2.2000000000000002</v>
      </c>
      <c r="K29">
        <f>RTD("tos.rtd", , "LOW", ".ARKK201120P98")</f>
        <v>1.48</v>
      </c>
      <c r="L29">
        <f>RTD("tos.rtd", , "OPEN", ".ARKK201120P98")</f>
        <v>1.5</v>
      </c>
      <c r="M29" t="str">
        <f>RTD("tos.rtd", , "DELTA", ".ARKK201120P98")</f>
        <v>N/A</v>
      </c>
      <c r="N29" t="str">
        <f>RTD("tos.rtd", , "GAMMA", ".ARKK201120P98")</f>
        <v>N/A</v>
      </c>
      <c r="O29" t="str">
        <f>RTD("tos.rtd", , "THETA", ".ARKK201120P98")</f>
        <v>N/A</v>
      </c>
      <c r="P29" t="str">
        <f>RTD("tos.rtd", , "VEGA", ".ARKK201120P98")</f>
        <v>N/A</v>
      </c>
      <c r="Q29" t="str">
        <f>RTD("tos.rtd", , "RHO", ".ARKK201120P98")</f>
        <v>N/A</v>
      </c>
      <c r="R29" t="str">
        <f>RTD("tos.rtd", , "INTRINSIC", ".ARKK201120P98")</f>
        <v>N/A</v>
      </c>
      <c r="S29" t="str">
        <f>RTD("tos.rtd", , "EXTRINSIC", ".ARKK201120P98")</f>
        <v>N/A</v>
      </c>
      <c r="T29" t="str">
        <f>RTD("tos.rtd", , "PROB_OF_EXPIRING", ".ARKK201120P98")</f>
        <v>N/A</v>
      </c>
      <c r="U29" t="str">
        <f>RTD("tos.rtd", , "PROB_OTM", ".ARKK201120P98")</f>
        <v>N/A</v>
      </c>
      <c r="V29" t="str">
        <f>RTD("tos.rtd", , "PROB_OF_TOUCHING", ".ARKK201120P98")</f>
        <v>N/A</v>
      </c>
      <c r="W29" t="str">
        <f>RTD("tos.rtd", , "STRIKE", ".ARKK201120P98")</f>
        <v>N/A</v>
      </c>
    </row>
    <row r="30" spans="1:23" x14ac:dyDescent="0.45">
      <c r="A30" t="s">
        <v>51</v>
      </c>
      <c r="B30" t="str">
        <f>RTD("tos.rtd", , "DESCRIPTION", ".ARKK201120C99")</f>
        <v>N/A</v>
      </c>
      <c r="C30" t="str">
        <f>RTD("tos.rtd", , "PUT_CALL_RATIO", ".ARKK201120C99")</f>
        <v>N/A</v>
      </c>
      <c r="D30" t="str">
        <f>RTD("tos.rtd", , "IMPL_VOL", ".ARKK201120C99")</f>
        <v>N/A</v>
      </c>
      <c r="E30">
        <f>RTD("tos.rtd", , "LAST", ".ARKK201120C99")</f>
        <v>2.25</v>
      </c>
      <c r="F30">
        <f>RTD("tos.rtd", , "VOLUME", ".ARKK201120C99")</f>
        <v>35</v>
      </c>
      <c r="G30">
        <f>RTD("tos.rtd", , "OPEN_INT", ".ARKK201120C99")</f>
        <v>245</v>
      </c>
      <c r="H30">
        <f>RTD("tos.rtd", , "BID", ".ARKK201120C99")</f>
        <v>2.15</v>
      </c>
      <c r="I30">
        <f>RTD("tos.rtd", , "ASK", ".ARKK201120C99")</f>
        <v>2.35</v>
      </c>
      <c r="J30">
        <f>RTD("tos.rtd", , "HIGH", ".ARKK201120C99")</f>
        <v>3.3</v>
      </c>
      <c r="K30">
        <f>RTD("tos.rtd", , "LOW", ".ARKK201120C99")</f>
        <v>2</v>
      </c>
      <c r="L30">
        <f>RTD("tos.rtd", , "OPEN", ".ARKK201120C99")</f>
        <v>2.38</v>
      </c>
      <c r="M30" t="str">
        <f>RTD("tos.rtd", , "DELTA", ".ARKK201120C99")</f>
        <v>N/A</v>
      </c>
      <c r="N30" t="str">
        <f>RTD("tos.rtd", , "GAMMA", ".ARKK201120C99")</f>
        <v>N/A</v>
      </c>
      <c r="O30" t="str">
        <f>RTD("tos.rtd", , "THETA", ".ARKK201120C99")</f>
        <v>N/A</v>
      </c>
      <c r="P30" t="str">
        <f>RTD("tos.rtd", , "VEGA", ".ARKK201120C99")</f>
        <v>N/A</v>
      </c>
      <c r="Q30" t="str">
        <f>RTD("tos.rtd", , "RHO", ".ARKK201120C99")</f>
        <v>N/A</v>
      </c>
      <c r="R30" t="str">
        <f>RTD("tos.rtd", , "INTRINSIC", ".ARKK201120C99")</f>
        <v>N/A</v>
      </c>
      <c r="S30" t="str">
        <f>RTD("tos.rtd", , "EXTRINSIC", ".ARKK201120C99")</f>
        <v>N/A</v>
      </c>
      <c r="T30" t="str">
        <f>RTD("tos.rtd", , "PROB_OF_EXPIRING", ".ARKK201120C99")</f>
        <v>N/A</v>
      </c>
      <c r="U30" t="str">
        <f>RTD("tos.rtd", , "PROB_OTM", ".ARKK201120C99")</f>
        <v>N/A</v>
      </c>
      <c r="V30" t="str">
        <f>RTD("tos.rtd", , "PROB_OF_TOUCHING", ".ARKK201120C99")</f>
        <v>N/A</v>
      </c>
      <c r="W30" t="str">
        <f>RTD("tos.rtd", , "STRIKE", ".ARKK201120C99")</f>
        <v>N/A</v>
      </c>
    </row>
    <row r="31" spans="1:23" x14ac:dyDescent="0.45">
      <c r="A31" t="s">
        <v>52</v>
      </c>
      <c r="B31" t="str">
        <f>RTD("tos.rtd", , "DESCRIPTION", ".ARKK201120P99")</f>
        <v>N/A</v>
      </c>
      <c r="C31" t="str">
        <f>RTD("tos.rtd", , "PUT_CALL_RATIO", ".ARKK201120P99")</f>
        <v>N/A</v>
      </c>
      <c r="D31" t="str">
        <f>RTD("tos.rtd", , "IMPL_VOL", ".ARKK201120P99")</f>
        <v>N/A</v>
      </c>
      <c r="E31">
        <f>RTD("tos.rtd", , "LAST", ".ARKK201120P99")</f>
        <v>2.2999999999999998</v>
      </c>
      <c r="F31">
        <f>RTD("tos.rtd", , "VOLUME", ".ARKK201120P99")</f>
        <v>12</v>
      </c>
      <c r="G31">
        <f>RTD("tos.rtd", , "OPEN_INT", ".ARKK201120P99")</f>
        <v>145</v>
      </c>
      <c r="H31">
        <f>RTD("tos.rtd", , "BID", ".ARKK201120P99")</f>
        <v>2.25</v>
      </c>
      <c r="I31">
        <f>RTD("tos.rtd", , "ASK", ".ARKK201120P99")</f>
        <v>2.65</v>
      </c>
      <c r="J31">
        <f>RTD("tos.rtd", , "HIGH", ".ARKK201120P99")</f>
        <v>2.75</v>
      </c>
      <c r="K31">
        <f>RTD("tos.rtd", , "LOW", ".ARKK201120P99")</f>
        <v>1.9</v>
      </c>
      <c r="L31">
        <f>RTD("tos.rtd", , "OPEN", ".ARKK201120P99")</f>
        <v>2.25</v>
      </c>
      <c r="M31" t="str">
        <f>RTD("tos.rtd", , "DELTA", ".ARKK201120P99")</f>
        <v>N/A</v>
      </c>
      <c r="N31" t="str">
        <f>RTD("tos.rtd", , "GAMMA", ".ARKK201120P99")</f>
        <v>N/A</v>
      </c>
      <c r="O31" t="str">
        <f>RTD("tos.rtd", , "THETA", ".ARKK201120P99")</f>
        <v>N/A</v>
      </c>
      <c r="P31" t="str">
        <f>RTD("tos.rtd", , "VEGA", ".ARKK201120P99")</f>
        <v>N/A</v>
      </c>
      <c r="Q31" t="str">
        <f>RTD("tos.rtd", , "RHO", ".ARKK201120P99")</f>
        <v>N/A</v>
      </c>
      <c r="R31" t="str">
        <f>RTD("tos.rtd", , "INTRINSIC", ".ARKK201120P99")</f>
        <v>N/A</v>
      </c>
      <c r="S31" t="str">
        <f>RTD("tos.rtd", , "EXTRINSIC", ".ARKK201120P99")</f>
        <v>N/A</v>
      </c>
      <c r="T31" t="str">
        <f>RTD("tos.rtd", , "PROB_OF_EXPIRING", ".ARKK201120P99")</f>
        <v>N/A</v>
      </c>
      <c r="U31" t="str">
        <f>RTD("tos.rtd", , "PROB_OTM", ".ARKK201120P99")</f>
        <v>N/A</v>
      </c>
      <c r="V31" t="str">
        <f>RTD("tos.rtd", , "PROB_OF_TOUCHING", ".ARKK201120P99")</f>
        <v>N/A</v>
      </c>
      <c r="W31" t="str">
        <f>RTD("tos.rtd", , "STRIKE", ".ARKK201120P99")</f>
        <v>N/A</v>
      </c>
    </row>
    <row r="32" spans="1:23" x14ac:dyDescent="0.45">
      <c r="A32" t="s">
        <v>53</v>
      </c>
      <c r="B32" t="str">
        <f>RTD("tos.rtd", , "DESCRIPTION", ".ARKK201120C100")</f>
        <v>N/A</v>
      </c>
      <c r="C32" t="str">
        <f>RTD("tos.rtd", , "PUT_CALL_RATIO", ".ARKK201120C100")</f>
        <v>N/A</v>
      </c>
      <c r="D32" t="str">
        <f>RTD("tos.rtd", , "IMPL_VOL", ".ARKK201120C100")</f>
        <v>N/A</v>
      </c>
      <c r="E32">
        <f>RTD("tos.rtd", , "LAST", ".ARKK201120C100")</f>
        <v>1.79</v>
      </c>
      <c r="F32">
        <f>RTD("tos.rtd", , "VOLUME", ".ARKK201120C100")</f>
        <v>224</v>
      </c>
      <c r="G32">
        <f>RTD("tos.rtd", , "OPEN_INT", ".ARKK201120C100")</f>
        <v>754</v>
      </c>
      <c r="H32">
        <f>RTD("tos.rtd", , "BID", ".ARKK201120C100")</f>
        <v>1.5</v>
      </c>
      <c r="I32">
        <f>RTD("tos.rtd", , "ASK", ".ARKK201120C100")</f>
        <v>1.85</v>
      </c>
      <c r="J32">
        <f>RTD("tos.rtd", , "HIGH", ".ARKK201120C100")</f>
        <v>2.59</v>
      </c>
      <c r="K32">
        <f>RTD("tos.rtd", , "LOW", ".ARKK201120C100")</f>
        <v>1.7</v>
      </c>
      <c r="L32">
        <f>RTD("tos.rtd", , "OPEN", ".ARKK201120C100")</f>
        <v>2.29</v>
      </c>
      <c r="M32" t="str">
        <f>RTD("tos.rtd", , "DELTA", ".ARKK201120C100")</f>
        <v>N/A</v>
      </c>
      <c r="N32" t="str">
        <f>RTD("tos.rtd", , "GAMMA", ".ARKK201120C100")</f>
        <v>N/A</v>
      </c>
      <c r="O32" t="str">
        <f>RTD("tos.rtd", , "THETA", ".ARKK201120C100")</f>
        <v>N/A</v>
      </c>
      <c r="P32" t="str">
        <f>RTD("tos.rtd", , "VEGA", ".ARKK201120C100")</f>
        <v>N/A</v>
      </c>
      <c r="Q32" t="str">
        <f>RTD("tos.rtd", , "RHO", ".ARKK201120C100")</f>
        <v>N/A</v>
      </c>
      <c r="R32" t="str">
        <f>RTD("tos.rtd", , "INTRINSIC", ".ARKK201120C100")</f>
        <v>N/A</v>
      </c>
      <c r="S32" t="str">
        <f>RTD("tos.rtd", , "EXTRINSIC", ".ARKK201120C100")</f>
        <v>N/A</v>
      </c>
      <c r="T32" t="str">
        <f>RTD("tos.rtd", , "PROB_OF_EXPIRING", ".ARKK201120C100")</f>
        <v>N/A</v>
      </c>
      <c r="U32" t="str">
        <f>RTD("tos.rtd", , "PROB_OTM", ".ARKK201120C100")</f>
        <v>N/A</v>
      </c>
      <c r="V32" t="str">
        <f>RTD("tos.rtd", , "PROB_OF_TOUCHING", ".ARKK201120C100")</f>
        <v>N/A</v>
      </c>
      <c r="W32" t="str">
        <f>RTD("tos.rtd", , "STRIKE", ".ARKK201120C100")</f>
        <v>N/A</v>
      </c>
    </row>
    <row r="33" spans="1:23" x14ac:dyDescent="0.45">
      <c r="A33" t="s">
        <v>54</v>
      </c>
      <c r="B33" t="str">
        <f>RTD("tos.rtd", , "DESCRIPTION", ".ARKK201120P100")</f>
        <v>N/A</v>
      </c>
      <c r="C33" t="str">
        <f>RTD("tos.rtd", , "PUT_CALL_RATIO", ".ARKK201120P100")</f>
        <v>N/A</v>
      </c>
      <c r="D33" t="str">
        <f>RTD("tos.rtd", , "IMPL_VOL", ".ARKK201120P100")</f>
        <v>N/A</v>
      </c>
      <c r="E33">
        <f>RTD("tos.rtd", , "LAST", ".ARKK201120P100")</f>
        <v>3</v>
      </c>
      <c r="F33">
        <f>RTD("tos.rtd", , "VOLUME", ".ARKK201120P100")</f>
        <v>295</v>
      </c>
      <c r="G33">
        <f>RTD("tos.rtd", , "OPEN_INT", ".ARKK201120P100")</f>
        <v>2298</v>
      </c>
      <c r="H33">
        <f>RTD("tos.rtd", , "BID", ".ARKK201120P100")</f>
        <v>2.8</v>
      </c>
      <c r="I33">
        <f>RTD("tos.rtd", , "ASK", ".ARKK201120P100")</f>
        <v>3.1</v>
      </c>
      <c r="J33">
        <f>RTD("tos.rtd", , "HIGH", ".ARKK201120P100")</f>
        <v>3</v>
      </c>
      <c r="K33">
        <f>RTD("tos.rtd", , "LOW", ".ARKK201120P100")</f>
        <v>2.2000000000000002</v>
      </c>
      <c r="L33">
        <f>RTD("tos.rtd", , "OPEN", ".ARKK201120P100")</f>
        <v>2.61</v>
      </c>
      <c r="M33" t="str">
        <f>RTD("tos.rtd", , "DELTA", ".ARKK201120P100")</f>
        <v>N/A</v>
      </c>
      <c r="N33" t="str">
        <f>RTD("tos.rtd", , "GAMMA", ".ARKK201120P100")</f>
        <v>N/A</v>
      </c>
      <c r="O33" t="str">
        <f>RTD("tos.rtd", , "THETA", ".ARKK201120P100")</f>
        <v>N/A</v>
      </c>
      <c r="P33" t="str">
        <f>RTD("tos.rtd", , "VEGA", ".ARKK201120P100")</f>
        <v>N/A</v>
      </c>
      <c r="Q33" t="str">
        <f>RTD("tos.rtd", , "RHO", ".ARKK201120P100")</f>
        <v>N/A</v>
      </c>
      <c r="R33" t="str">
        <f>RTD("tos.rtd", , "INTRINSIC", ".ARKK201120P100")</f>
        <v>N/A</v>
      </c>
      <c r="S33" t="str">
        <f>RTD("tos.rtd", , "EXTRINSIC", ".ARKK201120P100")</f>
        <v>N/A</v>
      </c>
      <c r="T33" t="str">
        <f>RTD("tos.rtd", , "PROB_OF_EXPIRING", ".ARKK201120P100")</f>
        <v>N/A</v>
      </c>
      <c r="U33" t="str">
        <f>RTD("tos.rtd", , "PROB_OTM", ".ARKK201120P100")</f>
        <v>N/A</v>
      </c>
      <c r="V33" t="str">
        <f>RTD("tos.rtd", , "PROB_OF_TOUCHING", ".ARKK201120P100")</f>
        <v>N/A</v>
      </c>
      <c r="W33" t="str">
        <f>RTD("tos.rtd", , "STRIKE", ".ARKK201120P100")</f>
        <v>N/A</v>
      </c>
    </row>
    <row r="34" spans="1:23" x14ac:dyDescent="0.45">
      <c r="A34" t="s">
        <v>55</v>
      </c>
      <c r="B34" t="str">
        <f>RTD("tos.rtd", , "DESCRIPTION", "ARKW")</f>
        <v>N/A</v>
      </c>
      <c r="C34">
        <f>RTD("tos.rtd", , "PUT_CALL_RATIO", "ARKW")</f>
        <v>4.4999999999999998E-2</v>
      </c>
      <c r="D34" t="str">
        <f>RTD("tos.rtd", , "IMPL_VOL", "ARKW")</f>
        <v>34.39%</v>
      </c>
      <c r="E34">
        <f>RTD("tos.rtd", , "LAST", "ARKW")</f>
        <v>118.08</v>
      </c>
      <c r="F34">
        <f>RTD("tos.rtd", , "VOLUME", "ARKW")</f>
        <v>1197061</v>
      </c>
      <c r="G34">
        <f>RTD("tos.rtd", , "OPEN_INT", "ARKW")</f>
        <v>0</v>
      </c>
      <c r="H34">
        <f>RTD("tos.rtd", , "BID", "ARKW")</f>
        <v>118.16</v>
      </c>
      <c r="I34">
        <f>RTD("tos.rtd", , "ASK", "ARKW")</f>
        <v>118.25</v>
      </c>
      <c r="J34">
        <f>RTD("tos.rtd", , "HIGH", "ARKW")</f>
        <v>119.92829999999999</v>
      </c>
      <c r="K34">
        <f>RTD("tos.rtd", , "LOW", "ARKW")</f>
        <v>117.5401</v>
      </c>
      <c r="L34">
        <f>RTD("tos.rtd", , "OPEN", "ARKW")</f>
        <v>118.8</v>
      </c>
      <c r="M34">
        <f>RTD("tos.rtd", , "DELTA", "ARKW")</f>
        <v>1</v>
      </c>
      <c r="N34">
        <f>RTD("tos.rtd", , "GAMMA", "ARKW")</f>
        <v>0</v>
      </c>
      <c r="O34">
        <f>RTD("tos.rtd", , "THETA", "ARKW")</f>
        <v>0</v>
      </c>
      <c r="P34">
        <f>RTD("tos.rtd", , "VEGA", "ARKW")</f>
        <v>0</v>
      </c>
      <c r="Q34">
        <f>RTD("tos.rtd", , "RHO", "ARKW")</f>
        <v>0</v>
      </c>
      <c r="R34" t="str">
        <f>RTD("tos.rtd", , "INTRINSIC", "ARKW")</f>
        <v>N/A</v>
      </c>
      <c r="S34" t="str">
        <f>RTD("tos.rtd", , "EXTRINSIC", "ARKW")</f>
        <v>N/A</v>
      </c>
      <c r="T34" t="str">
        <f>RTD("tos.rtd", , "PROB_OF_EXPIRING", "ARKW")</f>
        <v>N/A</v>
      </c>
      <c r="U34" t="str">
        <f>RTD("tos.rtd", , "PROB_OTM", "ARKW")</f>
        <v>N/A</v>
      </c>
      <c r="V34" t="str">
        <f>RTD("tos.rtd", , "PROB_OF_TOUCHING", "ARKW")</f>
        <v>N/A</v>
      </c>
      <c r="W34" t="str">
        <f>RTD("tos.rtd", , "STRIKE", "ARKW")</f>
        <v>N/A</v>
      </c>
    </row>
    <row r="35" spans="1:23" x14ac:dyDescent="0.45">
      <c r="A35" t="s">
        <v>56</v>
      </c>
      <c r="B35" t="str">
        <f>RTD("tos.rtd", , "DESCRIPTION", ".ARKW201120C116")</f>
        <v>N/A</v>
      </c>
      <c r="C35" t="str">
        <f>RTD("tos.rtd", , "PUT_CALL_RATIO", ".ARKW201120C116")</f>
        <v>N/A</v>
      </c>
      <c r="D35" t="str">
        <f>RTD("tos.rtd", , "IMPL_VOL", ".ARKW201120C116")</f>
        <v>N/A</v>
      </c>
      <c r="E35">
        <f>RTD("tos.rtd", , "LAST", ".ARKW201120C116")</f>
        <v>4.0999999999999996</v>
      </c>
      <c r="F35">
        <f>RTD("tos.rtd", , "VOLUME", ".ARKW201120C116")</f>
        <v>1</v>
      </c>
      <c r="G35">
        <f>RTD("tos.rtd", , "OPEN_INT", ".ARKW201120C116")</f>
        <v>24</v>
      </c>
      <c r="H35">
        <f>RTD("tos.rtd", , "BID", ".ARKW201120C116")</f>
        <v>3.3</v>
      </c>
      <c r="I35">
        <f>RTD("tos.rtd", , "ASK", ".ARKW201120C116")</f>
        <v>5.0999999999999996</v>
      </c>
      <c r="J35">
        <f>RTD("tos.rtd", , "HIGH", ".ARKW201120C116")</f>
        <v>4.0999999999999996</v>
      </c>
      <c r="K35">
        <f>RTD("tos.rtd", , "LOW", ".ARKW201120C116")</f>
        <v>4.0999999999999996</v>
      </c>
      <c r="L35">
        <f>RTD("tos.rtd", , "OPEN", ".ARKW201120C116")</f>
        <v>4.0999999999999996</v>
      </c>
      <c r="M35" t="str">
        <f>RTD("tos.rtd", , "DELTA", ".ARKW201120C116")</f>
        <v>N/A</v>
      </c>
      <c r="N35" t="str">
        <f>RTD("tos.rtd", , "GAMMA", ".ARKW201120C116")</f>
        <v>N/A</v>
      </c>
      <c r="O35" t="str">
        <f>RTD("tos.rtd", , "THETA", ".ARKW201120C116")</f>
        <v>N/A</v>
      </c>
      <c r="P35" t="str">
        <f>RTD("tos.rtd", , "VEGA", ".ARKW201120C116")</f>
        <v>N/A</v>
      </c>
      <c r="Q35" t="str">
        <f>RTD("tos.rtd", , "RHO", ".ARKW201120C116")</f>
        <v>N/A</v>
      </c>
      <c r="R35" t="str">
        <f>RTD("tos.rtd", , "INTRINSIC", ".ARKW201120C116")</f>
        <v>N/A</v>
      </c>
      <c r="S35" t="str">
        <f>RTD("tos.rtd", , "EXTRINSIC", ".ARKW201120C116")</f>
        <v>N/A</v>
      </c>
      <c r="T35" t="str">
        <f>RTD("tos.rtd", , "PROB_OF_EXPIRING", ".ARKW201120C116")</f>
        <v>N/A</v>
      </c>
      <c r="U35" t="str">
        <f>RTD("tos.rtd", , "PROB_OTM", ".ARKW201120C116")</f>
        <v>N/A</v>
      </c>
      <c r="V35" t="str">
        <f>RTD("tos.rtd", , "PROB_OF_TOUCHING", ".ARKW201120C116")</f>
        <v>N/A</v>
      </c>
      <c r="W35" t="str">
        <f>RTD("tos.rtd", , "STRIKE", ".ARKW201120C116")</f>
        <v>N/A</v>
      </c>
    </row>
    <row r="36" spans="1:23" x14ac:dyDescent="0.45">
      <c r="A36" t="s">
        <v>57</v>
      </c>
      <c r="B36" t="str">
        <f>RTD("tos.rtd", , "DESCRIPTION", ".ARKW201120P116")</f>
        <v>N/A</v>
      </c>
      <c r="C36" t="str">
        <f>RTD("tos.rtd", , "PUT_CALL_RATIO", ".ARKW201120P116")</f>
        <v>N/A</v>
      </c>
      <c r="D36" t="str">
        <f>RTD("tos.rtd", , "IMPL_VOL", ".ARKW201120P116")</f>
        <v>N/A</v>
      </c>
      <c r="E36" t="str">
        <f>RTD("tos.rtd", , "LAST", ".ARKW201120P116")</f>
        <v>N/A</v>
      </c>
      <c r="F36" t="str">
        <f>RTD("tos.rtd", , "VOLUME", ".ARKW201120P116")</f>
        <v>N/A</v>
      </c>
      <c r="G36" t="str">
        <f>RTD("tos.rtd", , "OPEN_INT", ".ARKW201120P116")</f>
        <v>N/A</v>
      </c>
      <c r="H36" t="str">
        <f>RTD("tos.rtd", , "BID", ".ARKW201120P116")</f>
        <v>N/A</v>
      </c>
      <c r="I36" t="str">
        <f>RTD("tos.rtd", , "ASK", ".ARKW201120P116")</f>
        <v>N/A</v>
      </c>
      <c r="J36" t="str">
        <f>RTD("tos.rtd", , "HIGH", ".ARKW201120P116")</f>
        <v>N/A</v>
      </c>
      <c r="K36" t="str">
        <f>RTD("tos.rtd", , "LOW", ".ARKW201120P116")</f>
        <v>N/A</v>
      </c>
      <c r="L36" t="str">
        <f>RTD("tos.rtd", , "OPEN", ".ARKW201120P116")</f>
        <v>N/A</v>
      </c>
      <c r="M36" t="str">
        <f>RTD("tos.rtd", , "DELTA", ".ARKW201120P116")</f>
        <v>N/A</v>
      </c>
      <c r="N36" t="str">
        <f>RTD("tos.rtd", , "GAMMA", ".ARKW201120P116")</f>
        <v>N/A</v>
      </c>
      <c r="O36" t="str">
        <f>RTD("tos.rtd", , "THETA", ".ARKW201120P116")</f>
        <v>N/A</v>
      </c>
      <c r="P36" t="str">
        <f>RTD("tos.rtd", , "VEGA", ".ARKW201120P116")</f>
        <v>N/A</v>
      </c>
      <c r="Q36" t="str">
        <f>RTD("tos.rtd", , "RHO", ".ARKW201120P116")</f>
        <v>N/A</v>
      </c>
      <c r="R36" t="str">
        <f>RTD("tos.rtd", , "INTRINSIC", ".ARKW201120P116")</f>
        <v>N/A</v>
      </c>
      <c r="S36" t="str">
        <f>RTD("tos.rtd", , "EXTRINSIC", ".ARKW201120P116")</f>
        <v>N/A</v>
      </c>
      <c r="T36" t="str">
        <f>RTD("tos.rtd", , "PROB_OF_EXPIRING", ".ARKW201120P116")</f>
        <v>N/A</v>
      </c>
      <c r="U36" t="str">
        <f>RTD("tos.rtd", , "PROB_OTM", ".ARKW201120P116")</f>
        <v>N/A</v>
      </c>
      <c r="V36" t="str">
        <f>RTD("tos.rtd", , "PROB_OF_TOUCHING", ".ARKW201120P116")</f>
        <v>N/A</v>
      </c>
      <c r="W36" t="str">
        <f>RTD("tos.rtd", , "STRIKE", ".ARKW201120P116")</f>
        <v>N/A</v>
      </c>
    </row>
    <row r="37" spans="1:23" x14ac:dyDescent="0.45">
      <c r="A37" t="s">
        <v>58</v>
      </c>
      <c r="B37" t="str">
        <f>RTD("tos.rtd", , "DESCRIPTION", ".ARKW201120C117")</f>
        <v>N/A</v>
      </c>
      <c r="C37" t="str">
        <f>RTD("tos.rtd", , "PUT_CALL_RATIO", ".ARKW201120C117")</f>
        <v>N/A</v>
      </c>
      <c r="D37" t="str">
        <f>RTD("tos.rtd", , "IMPL_VOL", ".ARKW201120C117")</f>
        <v>N/A</v>
      </c>
      <c r="E37">
        <f>RTD("tos.rtd", , "LAST", ".ARKW201120C117")</f>
        <v>2.95</v>
      </c>
      <c r="F37">
        <f>RTD("tos.rtd", , "VOLUME", ".ARKW201120C117")</f>
        <v>0</v>
      </c>
      <c r="G37">
        <f>RTD("tos.rtd", , "OPEN_INT", ".ARKW201120C117")</f>
        <v>5</v>
      </c>
      <c r="H37">
        <f>RTD("tos.rtd", , "BID", ".ARKW201120C117")</f>
        <v>2.4500000000000002</v>
      </c>
      <c r="I37">
        <f>RTD("tos.rtd", , "ASK", ".ARKW201120C117")</f>
        <v>3.5</v>
      </c>
      <c r="J37">
        <f>RTD("tos.rtd", , "HIGH", ".ARKW201120C117")</f>
        <v>0</v>
      </c>
      <c r="K37">
        <f>RTD("tos.rtd", , "LOW", ".ARKW201120C117")</f>
        <v>0</v>
      </c>
      <c r="L37">
        <f>RTD("tos.rtd", , "OPEN", ".ARKW201120C117")</f>
        <v>0</v>
      </c>
      <c r="M37" t="str">
        <f>RTD("tos.rtd", , "DELTA", ".ARKW201120C117")</f>
        <v>N/A</v>
      </c>
      <c r="N37" t="str">
        <f>RTD("tos.rtd", , "GAMMA", ".ARKW201120C117")</f>
        <v>N/A</v>
      </c>
      <c r="O37" t="str">
        <f>RTD("tos.rtd", , "THETA", ".ARKW201120C117")</f>
        <v>N/A</v>
      </c>
      <c r="P37" t="str">
        <f>RTD("tos.rtd", , "VEGA", ".ARKW201120C117")</f>
        <v>N/A</v>
      </c>
      <c r="Q37" t="str">
        <f>RTD("tos.rtd", , "RHO", ".ARKW201120C117")</f>
        <v>N/A</v>
      </c>
      <c r="R37" t="str">
        <f>RTD("tos.rtd", , "INTRINSIC", ".ARKW201120C117")</f>
        <v>N/A</v>
      </c>
      <c r="S37" t="str">
        <f>RTD("tos.rtd", , "EXTRINSIC", ".ARKW201120C117")</f>
        <v>N/A</v>
      </c>
      <c r="T37" t="str">
        <f>RTD("tos.rtd", , "PROB_OF_EXPIRING", ".ARKW201120C117")</f>
        <v>N/A</v>
      </c>
      <c r="U37" t="str">
        <f>RTD("tos.rtd", , "PROB_OTM", ".ARKW201120C117")</f>
        <v>N/A</v>
      </c>
      <c r="V37" t="str">
        <f>RTD("tos.rtd", , "PROB_OF_TOUCHING", ".ARKW201120C117")</f>
        <v>N/A</v>
      </c>
      <c r="W37" t="str">
        <f>RTD("tos.rtd", , "STRIKE", ".ARKW201120C117")</f>
        <v>N/A</v>
      </c>
    </row>
    <row r="38" spans="1:23" x14ac:dyDescent="0.45">
      <c r="A38" t="s">
        <v>59</v>
      </c>
      <c r="B38" t="str">
        <f>RTD("tos.rtd", , "DESCRIPTION", ".ARKW201120P117")</f>
        <v>N/A</v>
      </c>
      <c r="C38" t="str">
        <f>RTD("tos.rtd", , "PUT_CALL_RATIO", ".ARKW201120P117")</f>
        <v>N/A</v>
      </c>
      <c r="D38" t="str">
        <f>RTD("tos.rtd", , "IMPL_VOL", ".ARKW201120P117")</f>
        <v>N/A</v>
      </c>
      <c r="E38" t="str">
        <f>RTD("tos.rtd", , "LAST", ".ARKW201120P117")</f>
        <v>N/A</v>
      </c>
      <c r="F38" t="str">
        <f>RTD("tos.rtd", , "VOLUME", ".ARKW201120P117")</f>
        <v>N/A</v>
      </c>
      <c r="G38" t="str">
        <f>RTD("tos.rtd", , "OPEN_INT", ".ARKW201120P117")</f>
        <v>N/A</v>
      </c>
      <c r="H38" t="str">
        <f>RTD("tos.rtd", , "BID", ".ARKW201120P117")</f>
        <v>N/A</v>
      </c>
      <c r="I38" t="str">
        <f>RTD("tos.rtd", , "ASK", ".ARKW201120P117")</f>
        <v>N/A</v>
      </c>
      <c r="J38" t="str">
        <f>RTD("tos.rtd", , "HIGH", ".ARKW201120P117")</f>
        <v>N/A</v>
      </c>
      <c r="K38" t="str">
        <f>RTD("tos.rtd", , "LOW", ".ARKW201120P117")</f>
        <v>N/A</v>
      </c>
      <c r="L38" t="str">
        <f>RTD("tos.rtd", , "OPEN", ".ARKW201120P117")</f>
        <v>N/A</v>
      </c>
      <c r="M38" t="str">
        <f>RTD("tos.rtd", , "DELTA", ".ARKW201120P117")</f>
        <v>N/A</v>
      </c>
      <c r="N38" t="str">
        <f>RTD("tos.rtd", , "GAMMA", ".ARKW201120P117")</f>
        <v>N/A</v>
      </c>
      <c r="O38" t="str">
        <f>RTD("tos.rtd", , "THETA", ".ARKW201120P117")</f>
        <v>N/A</v>
      </c>
      <c r="P38" t="str">
        <f>RTD("tos.rtd", , "VEGA", ".ARKW201120P117")</f>
        <v>N/A</v>
      </c>
      <c r="Q38" t="str">
        <f>RTD("tos.rtd", , "RHO", ".ARKW201120P117")</f>
        <v>N/A</v>
      </c>
      <c r="R38" t="str">
        <f>RTD("tos.rtd", , "INTRINSIC", ".ARKW201120P117")</f>
        <v>N/A</v>
      </c>
      <c r="S38" t="str">
        <f>RTD("tos.rtd", , "EXTRINSIC", ".ARKW201120P117")</f>
        <v>N/A</v>
      </c>
      <c r="T38" t="str">
        <f>RTD("tos.rtd", , "PROB_OF_EXPIRING", ".ARKW201120P117")</f>
        <v>N/A</v>
      </c>
      <c r="U38" t="str">
        <f>RTD("tos.rtd", , "PROB_OTM", ".ARKW201120P117")</f>
        <v>N/A</v>
      </c>
      <c r="V38" t="str">
        <f>RTD("tos.rtd", , "PROB_OF_TOUCHING", ".ARKW201120P117")</f>
        <v>N/A</v>
      </c>
      <c r="W38" t="str">
        <f>RTD("tos.rtd", , "STRIKE", ".ARKW201120P117")</f>
        <v>N/A</v>
      </c>
    </row>
    <row r="39" spans="1:23" x14ac:dyDescent="0.45">
      <c r="A39" t="s">
        <v>60</v>
      </c>
      <c r="B39" t="str">
        <f>RTD("tos.rtd", , "DESCRIPTION", ".ARKW201120C118")</f>
        <v>N/A</v>
      </c>
      <c r="C39" t="str">
        <f>RTD("tos.rtd", , "PUT_CALL_RATIO", ".ARKW201120C118")</f>
        <v>N/A</v>
      </c>
      <c r="D39" t="str">
        <f>RTD("tos.rtd", , "IMPL_VOL", ".ARKW201120C118")</f>
        <v>N/A</v>
      </c>
      <c r="E39" t="str">
        <f>RTD("tos.rtd", , "LAST", ".ARKW201120C118")</f>
        <v>N/A</v>
      </c>
      <c r="F39" t="str">
        <f>RTD("tos.rtd", , "VOLUME", ".ARKW201120C118")</f>
        <v>N/A</v>
      </c>
      <c r="G39" t="str">
        <f>RTD("tos.rtd", , "OPEN_INT", ".ARKW201120C118")</f>
        <v>N/A</v>
      </c>
      <c r="H39" t="str">
        <f>RTD("tos.rtd", , "BID", ".ARKW201120C118")</f>
        <v>N/A</v>
      </c>
      <c r="I39" t="str">
        <f>RTD("tos.rtd", , "ASK", ".ARKW201120C118")</f>
        <v>N/A</v>
      </c>
      <c r="J39" t="str">
        <f>RTD("tos.rtd", , "HIGH", ".ARKW201120C118")</f>
        <v>N/A</v>
      </c>
      <c r="K39" t="str">
        <f>RTD("tos.rtd", , "LOW", ".ARKW201120C118")</f>
        <v>N/A</v>
      </c>
      <c r="L39" t="str">
        <f>RTD("tos.rtd", , "OPEN", ".ARKW201120C118")</f>
        <v>N/A</v>
      </c>
      <c r="M39" t="str">
        <f>RTD("tos.rtd", , "DELTA", ".ARKW201120C118")</f>
        <v>N/A</v>
      </c>
      <c r="N39" t="str">
        <f>RTD("tos.rtd", , "GAMMA", ".ARKW201120C118")</f>
        <v>N/A</v>
      </c>
      <c r="O39" t="str">
        <f>RTD("tos.rtd", , "THETA", ".ARKW201120C118")</f>
        <v>N/A</v>
      </c>
      <c r="P39" t="str">
        <f>RTD("tos.rtd", , "VEGA", ".ARKW201120C118")</f>
        <v>N/A</v>
      </c>
      <c r="Q39" t="str">
        <f>RTD("tos.rtd", , "RHO", ".ARKW201120C118")</f>
        <v>N/A</v>
      </c>
      <c r="R39" t="str">
        <f>RTD("tos.rtd", , "INTRINSIC", ".ARKW201120C118")</f>
        <v>N/A</v>
      </c>
      <c r="S39" t="str">
        <f>RTD("tos.rtd", , "EXTRINSIC", ".ARKW201120C118")</f>
        <v>N/A</v>
      </c>
      <c r="T39" t="str">
        <f>RTD("tos.rtd", , "PROB_OF_EXPIRING", ".ARKW201120C118")</f>
        <v>N/A</v>
      </c>
      <c r="U39" t="str">
        <f>RTD("tos.rtd", , "PROB_OTM", ".ARKW201120C118")</f>
        <v>N/A</v>
      </c>
      <c r="V39" t="str">
        <f>RTD("tos.rtd", , "PROB_OF_TOUCHING", ".ARKW201120C118")</f>
        <v>N/A</v>
      </c>
      <c r="W39" t="str">
        <f>RTD("tos.rtd", , "STRIKE", ".ARKW201120C118")</f>
        <v>N/A</v>
      </c>
    </row>
    <row r="40" spans="1:23" x14ac:dyDescent="0.45">
      <c r="A40" t="s">
        <v>61</v>
      </c>
      <c r="B40" t="str">
        <f>RTD("tos.rtd", , "DESCRIPTION", ".ARKW201120P118")</f>
        <v>N/A</v>
      </c>
      <c r="C40" t="str">
        <f>RTD("tos.rtd", , "PUT_CALL_RATIO", ".ARKW201120P118")</f>
        <v>N/A</v>
      </c>
      <c r="D40" t="str">
        <f>RTD("tos.rtd", , "IMPL_VOL", ".ARKW201120P118")</f>
        <v>N/A</v>
      </c>
      <c r="E40" t="str">
        <f>RTD("tos.rtd", , "LAST", ".ARKW201120P118")</f>
        <v>N/A</v>
      </c>
      <c r="F40" t="str">
        <f>RTD("tos.rtd", , "VOLUME", ".ARKW201120P118")</f>
        <v>N/A</v>
      </c>
      <c r="G40" t="str">
        <f>RTD("tos.rtd", , "OPEN_INT", ".ARKW201120P118")</f>
        <v>N/A</v>
      </c>
      <c r="H40" t="str">
        <f>RTD("tos.rtd", , "BID", ".ARKW201120P118")</f>
        <v>N/A</v>
      </c>
      <c r="I40" t="str">
        <f>RTD("tos.rtd", , "ASK", ".ARKW201120P118")</f>
        <v>N/A</v>
      </c>
      <c r="J40" t="str">
        <f>RTD("tos.rtd", , "HIGH", ".ARKW201120P118")</f>
        <v>N/A</v>
      </c>
      <c r="K40" t="str">
        <f>RTD("tos.rtd", , "LOW", ".ARKW201120P118")</f>
        <v>N/A</v>
      </c>
      <c r="L40" t="str">
        <f>RTD("tos.rtd", , "OPEN", ".ARKW201120P118")</f>
        <v>N/A</v>
      </c>
      <c r="M40" t="str">
        <f>RTD("tos.rtd", , "DELTA", ".ARKW201120P118")</f>
        <v>N/A</v>
      </c>
      <c r="N40" t="str">
        <f>RTD("tos.rtd", , "GAMMA", ".ARKW201120P118")</f>
        <v>N/A</v>
      </c>
      <c r="O40" t="str">
        <f>RTD("tos.rtd", , "THETA", ".ARKW201120P118")</f>
        <v>N/A</v>
      </c>
      <c r="P40" t="str">
        <f>RTD("tos.rtd", , "VEGA", ".ARKW201120P118")</f>
        <v>N/A</v>
      </c>
      <c r="Q40" t="str">
        <f>RTD("tos.rtd", , "RHO", ".ARKW201120P118")</f>
        <v>N/A</v>
      </c>
      <c r="R40" t="str">
        <f>RTD("tos.rtd", , "INTRINSIC", ".ARKW201120P118")</f>
        <v>N/A</v>
      </c>
      <c r="S40" t="str">
        <f>RTD("tos.rtd", , "EXTRINSIC", ".ARKW201120P118")</f>
        <v>N/A</v>
      </c>
      <c r="T40" t="str">
        <f>RTD("tos.rtd", , "PROB_OF_EXPIRING", ".ARKW201120P118")</f>
        <v>N/A</v>
      </c>
      <c r="U40" t="str">
        <f>RTD("tos.rtd", , "PROB_OTM", ".ARKW201120P118")</f>
        <v>N/A</v>
      </c>
      <c r="V40" t="str">
        <f>RTD("tos.rtd", , "PROB_OF_TOUCHING", ".ARKW201120P118")</f>
        <v>N/A</v>
      </c>
      <c r="W40" t="str">
        <f>RTD("tos.rtd", , "STRIKE", ".ARKW201120P118")</f>
        <v>N/A</v>
      </c>
    </row>
    <row r="41" spans="1:23" x14ac:dyDescent="0.45">
      <c r="A41" t="s">
        <v>62</v>
      </c>
      <c r="B41" t="str">
        <f>RTD("tos.rtd", , "DESCRIPTION", ".ARKW201120C119")</f>
        <v>N/A</v>
      </c>
      <c r="C41" t="str">
        <f>RTD("tos.rtd", , "PUT_CALL_RATIO", ".ARKW201120C119")</f>
        <v>N/A</v>
      </c>
      <c r="D41" t="str">
        <f>RTD("tos.rtd", , "IMPL_VOL", ".ARKW201120C119")</f>
        <v>N/A</v>
      </c>
      <c r="E41">
        <f>RTD("tos.rtd", , "LAST", ".ARKW201120C119")</f>
        <v>1.9</v>
      </c>
      <c r="F41">
        <f>RTD("tos.rtd", , "VOLUME", ".ARKW201120C119")</f>
        <v>39</v>
      </c>
      <c r="G41">
        <f>RTD("tos.rtd", , "OPEN_INT", ".ARKW201120C119")</f>
        <v>47</v>
      </c>
      <c r="H41">
        <f>RTD("tos.rtd", , "BID", ".ARKW201120C119")</f>
        <v>1.4</v>
      </c>
      <c r="I41">
        <f>RTD("tos.rtd", , "ASK", ".ARKW201120C119")</f>
        <v>2.35</v>
      </c>
      <c r="J41">
        <f>RTD("tos.rtd", , "HIGH", ".ARKW201120C119")</f>
        <v>2.9</v>
      </c>
      <c r="K41">
        <f>RTD("tos.rtd", , "LOW", ".ARKW201120C119")</f>
        <v>1.9</v>
      </c>
      <c r="L41">
        <f>RTD("tos.rtd", , "OPEN", ".ARKW201120C119")</f>
        <v>2.4500000000000002</v>
      </c>
      <c r="M41" t="str">
        <f>RTD("tos.rtd", , "DELTA", ".ARKW201120C119")</f>
        <v>N/A</v>
      </c>
      <c r="N41" t="str">
        <f>RTD("tos.rtd", , "GAMMA", ".ARKW201120C119")</f>
        <v>N/A</v>
      </c>
      <c r="O41" t="str">
        <f>RTD("tos.rtd", , "THETA", ".ARKW201120C119")</f>
        <v>N/A</v>
      </c>
      <c r="P41" t="str">
        <f>RTD("tos.rtd", , "VEGA", ".ARKW201120C119")</f>
        <v>N/A</v>
      </c>
      <c r="Q41" t="str">
        <f>RTD("tos.rtd", , "RHO", ".ARKW201120C119")</f>
        <v>N/A</v>
      </c>
      <c r="R41" t="str">
        <f>RTD("tos.rtd", , "INTRINSIC", ".ARKW201120C119")</f>
        <v>N/A</v>
      </c>
      <c r="S41" t="str">
        <f>RTD("tos.rtd", , "EXTRINSIC", ".ARKW201120C119")</f>
        <v>N/A</v>
      </c>
      <c r="T41" t="str">
        <f>RTD("tos.rtd", , "PROB_OF_EXPIRING", ".ARKW201120C119")</f>
        <v>N/A</v>
      </c>
      <c r="U41" t="str">
        <f>RTD("tos.rtd", , "PROB_OTM", ".ARKW201120C119")</f>
        <v>N/A</v>
      </c>
      <c r="V41" t="str">
        <f>RTD("tos.rtd", , "PROB_OF_TOUCHING", ".ARKW201120C119")</f>
        <v>N/A</v>
      </c>
      <c r="W41" t="str">
        <f>RTD("tos.rtd", , "STRIKE", ".ARKW201120C119")</f>
        <v>N/A</v>
      </c>
    </row>
    <row r="42" spans="1:23" x14ac:dyDescent="0.45">
      <c r="A42" t="s">
        <v>63</v>
      </c>
      <c r="B42" t="str">
        <f>RTD("tos.rtd", , "DESCRIPTION", ".ARKW201120P119")</f>
        <v>N/A</v>
      </c>
      <c r="C42" t="str">
        <f>RTD("tos.rtd", , "PUT_CALL_RATIO", ".ARKW201120P119")</f>
        <v>N/A</v>
      </c>
      <c r="D42" t="str">
        <f>RTD("tos.rtd", , "IMPL_VOL", ".ARKW201120P119")</f>
        <v>N/A</v>
      </c>
      <c r="E42" t="str">
        <f>RTD("tos.rtd", , "LAST", ".ARKW201120P119")</f>
        <v>N/A</v>
      </c>
      <c r="F42" t="str">
        <f>RTD("tos.rtd", , "VOLUME", ".ARKW201120P119")</f>
        <v>N/A</v>
      </c>
      <c r="G42" t="str">
        <f>RTD("tos.rtd", , "OPEN_INT", ".ARKW201120P119")</f>
        <v>N/A</v>
      </c>
      <c r="H42" t="str">
        <f>RTD("tos.rtd", , "BID", ".ARKW201120P119")</f>
        <v>N/A</v>
      </c>
      <c r="I42" t="str">
        <f>RTD("tos.rtd", , "ASK", ".ARKW201120P119")</f>
        <v>N/A</v>
      </c>
      <c r="J42" t="str">
        <f>RTD("tos.rtd", , "HIGH", ".ARKW201120P119")</f>
        <v>N/A</v>
      </c>
      <c r="K42" t="str">
        <f>RTD("tos.rtd", , "LOW", ".ARKW201120P119")</f>
        <v>N/A</v>
      </c>
      <c r="L42" t="str">
        <f>RTD("tos.rtd", , "OPEN", ".ARKW201120P119")</f>
        <v>N/A</v>
      </c>
      <c r="M42" t="str">
        <f>RTD("tos.rtd", , "DELTA", ".ARKW201120P119")</f>
        <v>N/A</v>
      </c>
      <c r="N42" t="str">
        <f>RTD("tos.rtd", , "GAMMA", ".ARKW201120P119")</f>
        <v>N/A</v>
      </c>
      <c r="O42" t="str">
        <f>RTD("tos.rtd", , "THETA", ".ARKW201120P119")</f>
        <v>N/A</v>
      </c>
      <c r="P42" t="str">
        <f>RTD("tos.rtd", , "VEGA", ".ARKW201120P119")</f>
        <v>N/A</v>
      </c>
      <c r="Q42" t="str">
        <f>RTD("tos.rtd", , "RHO", ".ARKW201120P119")</f>
        <v>N/A</v>
      </c>
      <c r="R42" t="str">
        <f>RTD("tos.rtd", , "INTRINSIC", ".ARKW201120P119")</f>
        <v>N/A</v>
      </c>
      <c r="S42" t="str">
        <f>RTD("tos.rtd", , "EXTRINSIC", ".ARKW201120P119")</f>
        <v>N/A</v>
      </c>
      <c r="T42" t="str">
        <f>RTD("tos.rtd", , "PROB_OF_EXPIRING", ".ARKW201120P119")</f>
        <v>N/A</v>
      </c>
      <c r="U42" t="str">
        <f>RTD("tos.rtd", , "PROB_OTM", ".ARKW201120P119")</f>
        <v>N/A</v>
      </c>
      <c r="V42" t="str">
        <f>RTD("tos.rtd", , "PROB_OF_TOUCHING", ".ARKW201120P119")</f>
        <v>N/A</v>
      </c>
      <c r="W42" t="str">
        <f>RTD("tos.rtd", , "STRIKE", ".ARKW201120P119")</f>
        <v>N/A</v>
      </c>
    </row>
    <row r="43" spans="1:23" x14ac:dyDescent="0.45">
      <c r="A43" t="s">
        <v>64</v>
      </c>
      <c r="B43" t="str">
        <f>RTD("tos.rtd", , "DESCRIPTION", "ASHR")</f>
        <v>DBX ETF TRUST XTRACK HRVST CSI ETF</v>
      </c>
      <c r="C43">
        <f>RTD("tos.rtd", , "PUT_CALL_RATIO", "ASHR")</f>
        <v>4.3520000000000003</v>
      </c>
      <c r="D43" t="str">
        <f>RTD("tos.rtd", , "IMPL_VOL", "ASHR")</f>
        <v>30.88%</v>
      </c>
      <c r="E43">
        <f>RTD("tos.rtd", , "LAST", "ASHR")</f>
        <v>37.54</v>
      </c>
      <c r="F43">
        <f>RTD("tos.rtd", , "VOLUME", "ASHR")</f>
        <v>2592182</v>
      </c>
      <c r="G43">
        <f>RTD("tos.rtd", , "OPEN_INT", "ASHR")</f>
        <v>0</v>
      </c>
      <c r="H43">
        <f>RTD("tos.rtd", , "BID", "ASHR")</f>
        <v>37.51</v>
      </c>
      <c r="I43">
        <f>RTD("tos.rtd", , "ASK", "ASHR")</f>
        <v>37.950000000000003</v>
      </c>
      <c r="J43">
        <f>RTD("tos.rtd", , "HIGH", "ASHR")</f>
        <v>37.969200000000001</v>
      </c>
      <c r="K43">
        <f>RTD("tos.rtd", , "LOW", "ASHR")</f>
        <v>37.534999999999997</v>
      </c>
      <c r="L43">
        <f>RTD("tos.rtd", , "OPEN", "ASHR")</f>
        <v>37.89</v>
      </c>
      <c r="M43">
        <f>RTD("tos.rtd", , "DELTA", "ASHR")</f>
        <v>1</v>
      </c>
      <c r="N43">
        <f>RTD("tos.rtd", , "GAMMA", "ASHR")</f>
        <v>0</v>
      </c>
      <c r="O43">
        <f>RTD("tos.rtd", , "THETA", "ASHR")</f>
        <v>0</v>
      </c>
      <c r="P43">
        <f>RTD("tos.rtd", , "VEGA", "ASHR")</f>
        <v>0</v>
      </c>
      <c r="Q43">
        <f>RTD("tos.rtd", , "RHO", "ASHR")</f>
        <v>0</v>
      </c>
      <c r="R43" t="str">
        <f>RTD("tos.rtd", , "INTRINSIC", "ASHR")</f>
        <v>N/A</v>
      </c>
      <c r="S43" t="str">
        <f>RTD("tos.rtd", , "EXTRINSIC", "ASHR")</f>
        <v>N/A</v>
      </c>
      <c r="T43" t="str">
        <f>RTD("tos.rtd", , "PROB_OF_EXPIRING", "ASHR")</f>
        <v>N/A</v>
      </c>
      <c r="U43" t="str">
        <f>RTD("tos.rtd", , "PROB_OTM", "ASHR")</f>
        <v>N/A</v>
      </c>
      <c r="V43" t="str">
        <f>RTD("tos.rtd", , "PROB_OF_TOUCHING", "ASHR")</f>
        <v>N/A</v>
      </c>
      <c r="W43" t="str">
        <f>RTD("tos.rtd", , "STRIKE", "ASHR")</f>
        <v>N/A</v>
      </c>
    </row>
    <row r="44" spans="1:23" x14ac:dyDescent="0.45">
      <c r="A44" t="s">
        <v>65</v>
      </c>
      <c r="B44" t="str">
        <f>RTD("tos.rtd", , "DESCRIPTION", ".ASHR201120C37.5")</f>
        <v>N/A</v>
      </c>
      <c r="C44" t="str">
        <f>RTD("tos.rtd", , "PUT_CALL_RATIO", ".ASHR201120C37.5")</f>
        <v>N/A</v>
      </c>
      <c r="D44" t="str">
        <f>RTD("tos.rtd", , "IMPL_VOL", ".ASHR201120C37.5")</f>
        <v>N/A</v>
      </c>
      <c r="E44" t="str">
        <f>RTD("tos.rtd", , "LAST", ".ASHR201120C37.5")</f>
        <v>N/A</v>
      </c>
      <c r="F44" t="str">
        <f>RTD("tos.rtd", , "VOLUME", ".ASHR201120C37.5")</f>
        <v>N/A</v>
      </c>
      <c r="G44" t="str">
        <f>RTD("tos.rtd", , "OPEN_INT", ".ASHR201120C37.5")</f>
        <v>N/A</v>
      </c>
      <c r="H44" t="str">
        <f>RTD("tos.rtd", , "BID", ".ASHR201120C37.5")</f>
        <v>N/A</v>
      </c>
      <c r="I44" t="str">
        <f>RTD("tos.rtd", , "ASK", ".ASHR201120C37.5")</f>
        <v>N/A</v>
      </c>
      <c r="J44" t="str">
        <f>RTD("tos.rtd", , "HIGH", ".ASHR201120C37.5")</f>
        <v>N/A</v>
      </c>
      <c r="K44" t="str">
        <f>RTD("tos.rtd", , "LOW", ".ASHR201120C37.5")</f>
        <v>N/A</v>
      </c>
      <c r="L44" t="str">
        <f>RTD("tos.rtd", , "OPEN", ".ASHR201120C37.5")</f>
        <v>N/A</v>
      </c>
      <c r="M44" t="str">
        <f>RTD("tos.rtd", , "DELTA", ".ASHR201120C37.5")</f>
        <v>N/A</v>
      </c>
      <c r="N44" t="str">
        <f>RTD("tos.rtd", , "GAMMA", ".ASHR201120C37.5")</f>
        <v>N/A</v>
      </c>
      <c r="O44" t="str">
        <f>RTD("tos.rtd", , "THETA", ".ASHR201120C37.5")</f>
        <v>N/A</v>
      </c>
      <c r="P44" t="str">
        <f>RTD("tos.rtd", , "VEGA", ".ASHR201120C37.5")</f>
        <v>N/A</v>
      </c>
      <c r="Q44" t="str">
        <f>RTD("tos.rtd", , "RHO", ".ASHR201120C37.5")</f>
        <v>N/A</v>
      </c>
      <c r="R44" t="str">
        <f>RTD("tos.rtd", , "INTRINSIC", ".ASHR201120C37.5")</f>
        <v>N/A</v>
      </c>
      <c r="S44" t="str">
        <f>RTD("tos.rtd", , "EXTRINSIC", ".ASHR201120C37.5")</f>
        <v>N/A</v>
      </c>
      <c r="T44" t="str">
        <f>RTD("tos.rtd", , "PROB_OF_EXPIRING", ".ASHR201120C37.5")</f>
        <v>N/A</v>
      </c>
      <c r="U44" t="str">
        <f>RTD("tos.rtd", , "PROB_OTM", ".ASHR201120C37.5")</f>
        <v>N/A</v>
      </c>
      <c r="V44" t="str">
        <f>RTD("tos.rtd", , "PROB_OF_TOUCHING", ".ASHR201120C37.5")</f>
        <v>N/A</v>
      </c>
      <c r="W44" t="str">
        <f>RTD("tos.rtd", , "STRIKE", ".ASHR201120C37.5")</f>
        <v>N/A</v>
      </c>
    </row>
    <row r="45" spans="1:23" x14ac:dyDescent="0.45">
      <c r="A45" t="s">
        <v>66</v>
      </c>
      <c r="B45" t="str">
        <f>RTD("tos.rtd", , "DESCRIPTION", ".ASHR201120P37.5")</f>
        <v>N/A</v>
      </c>
      <c r="C45" t="str">
        <f>RTD("tos.rtd", , "PUT_CALL_RATIO", ".ASHR201120P37.5")</f>
        <v>N/A</v>
      </c>
      <c r="D45" t="str">
        <f>RTD("tos.rtd", , "IMPL_VOL", ".ASHR201120P37.5")</f>
        <v>N/A</v>
      </c>
      <c r="E45" t="str">
        <f>RTD("tos.rtd", , "LAST", ".ASHR201120P37.5")</f>
        <v>N/A</v>
      </c>
      <c r="F45" t="str">
        <f>RTD("tos.rtd", , "VOLUME", ".ASHR201120P37.5")</f>
        <v>N/A</v>
      </c>
      <c r="G45" t="str">
        <f>RTD("tos.rtd", , "OPEN_INT", ".ASHR201120P37.5")</f>
        <v>N/A</v>
      </c>
      <c r="H45" t="str">
        <f>RTD("tos.rtd", , "BID", ".ASHR201120P37.5")</f>
        <v>N/A</v>
      </c>
      <c r="I45" t="str">
        <f>RTD("tos.rtd", , "ASK", ".ASHR201120P37.5")</f>
        <v>N/A</v>
      </c>
      <c r="J45" t="str">
        <f>RTD("tos.rtd", , "HIGH", ".ASHR201120P37.5")</f>
        <v>N/A</v>
      </c>
      <c r="K45" t="str">
        <f>RTD("tos.rtd", , "LOW", ".ASHR201120P37.5")</f>
        <v>N/A</v>
      </c>
      <c r="L45" t="str">
        <f>RTD("tos.rtd", , "OPEN", ".ASHR201120P37.5")</f>
        <v>N/A</v>
      </c>
      <c r="M45" t="str">
        <f>RTD("tos.rtd", , "DELTA", ".ASHR201120P37.5")</f>
        <v>N/A</v>
      </c>
      <c r="N45" t="str">
        <f>RTD("tos.rtd", , "GAMMA", ".ASHR201120P37.5")</f>
        <v>N/A</v>
      </c>
      <c r="O45" t="str">
        <f>RTD("tos.rtd", , "THETA", ".ASHR201120P37.5")</f>
        <v>N/A</v>
      </c>
      <c r="P45" t="str">
        <f>RTD("tos.rtd", , "VEGA", ".ASHR201120P37.5")</f>
        <v>N/A</v>
      </c>
      <c r="Q45" t="str">
        <f>RTD("tos.rtd", , "RHO", ".ASHR201120P37.5")</f>
        <v>N/A</v>
      </c>
      <c r="R45" t="str">
        <f>RTD("tos.rtd", , "INTRINSIC", ".ASHR201120P37.5")</f>
        <v>N/A</v>
      </c>
      <c r="S45" t="str">
        <f>RTD("tos.rtd", , "EXTRINSIC", ".ASHR201120P37.5")</f>
        <v>N/A</v>
      </c>
      <c r="T45" t="str">
        <f>RTD("tos.rtd", , "PROB_OF_EXPIRING", ".ASHR201120P37.5")</f>
        <v>N/A</v>
      </c>
      <c r="U45" t="str">
        <f>RTD("tos.rtd", , "PROB_OTM", ".ASHR201120P37.5")</f>
        <v>N/A</v>
      </c>
      <c r="V45" t="str">
        <f>RTD("tos.rtd", , "PROB_OF_TOUCHING", ".ASHR201120P37.5")</f>
        <v>N/A</v>
      </c>
      <c r="W45" t="str">
        <f>RTD("tos.rtd", , "STRIKE", ".ASHR201120P37.5")</f>
        <v>N/A</v>
      </c>
    </row>
    <row r="46" spans="1:23" x14ac:dyDescent="0.45">
      <c r="A46" t="s">
        <v>67</v>
      </c>
      <c r="B46" t="str">
        <f>RTD("tos.rtd", , "DESCRIPTION", ".ASHR201120C38")</f>
        <v>N/A</v>
      </c>
      <c r="C46" t="str">
        <f>RTD("tos.rtd", , "PUT_CALL_RATIO", ".ASHR201120C38")</f>
        <v>N/A</v>
      </c>
      <c r="D46" t="str">
        <f>RTD("tos.rtd", , "IMPL_VOL", ".ASHR201120C38")</f>
        <v>N/A</v>
      </c>
      <c r="E46">
        <f>RTD("tos.rtd", , "LAST", ".ASHR201120C38")</f>
        <v>0.38</v>
      </c>
      <c r="F46">
        <f>RTD("tos.rtd", , "VOLUME", ".ASHR201120C38")</f>
        <v>554</v>
      </c>
      <c r="G46">
        <f>RTD("tos.rtd", , "OPEN_INT", ".ASHR201120C38")</f>
        <v>9447</v>
      </c>
      <c r="H46">
        <f>RTD("tos.rtd", , "BID", ".ASHR201120C38")</f>
        <v>0.35</v>
      </c>
      <c r="I46">
        <f>RTD("tos.rtd", , "ASK", ".ASHR201120C38")</f>
        <v>0.42</v>
      </c>
      <c r="J46">
        <f>RTD("tos.rtd", , "HIGH", ".ASHR201120C38")</f>
        <v>0.45</v>
      </c>
      <c r="K46">
        <f>RTD("tos.rtd", , "LOW", ".ASHR201120C38")</f>
        <v>0.38</v>
      </c>
      <c r="L46">
        <f>RTD("tos.rtd", , "OPEN", ".ASHR201120C38")</f>
        <v>0.43</v>
      </c>
      <c r="M46" t="str">
        <f>RTD("tos.rtd", , "DELTA", ".ASHR201120C38")</f>
        <v>N/A</v>
      </c>
      <c r="N46" t="str">
        <f>RTD("tos.rtd", , "GAMMA", ".ASHR201120C38")</f>
        <v>N/A</v>
      </c>
      <c r="O46" t="str">
        <f>RTD("tos.rtd", , "THETA", ".ASHR201120C38")</f>
        <v>N/A</v>
      </c>
      <c r="P46" t="str">
        <f>RTD("tos.rtd", , "VEGA", ".ASHR201120C38")</f>
        <v>N/A</v>
      </c>
      <c r="Q46" t="str">
        <f>RTD("tos.rtd", , "RHO", ".ASHR201120C38")</f>
        <v>N/A</v>
      </c>
      <c r="R46" t="str">
        <f>RTD("tos.rtd", , "INTRINSIC", ".ASHR201120C38")</f>
        <v>N/A</v>
      </c>
      <c r="S46" t="str">
        <f>RTD("tos.rtd", , "EXTRINSIC", ".ASHR201120C38")</f>
        <v>N/A</v>
      </c>
      <c r="T46" t="str">
        <f>RTD("tos.rtd", , "PROB_OF_EXPIRING", ".ASHR201120C38")</f>
        <v>N/A</v>
      </c>
      <c r="U46" t="str">
        <f>RTD("tos.rtd", , "PROB_OTM", ".ASHR201120C38")</f>
        <v>N/A</v>
      </c>
      <c r="V46" t="str">
        <f>RTD("tos.rtd", , "PROB_OF_TOUCHING", ".ASHR201120C38")</f>
        <v>N/A</v>
      </c>
      <c r="W46" t="str">
        <f>RTD("tos.rtd", , "STRIKE", ".ASHR201120C38")</f>
        <v>N/A</v>
      </c>
    </row>
    <row r="47" spans="1:23" x14ac:dyDescent="0.45">
      <c r="A47" t="s">
        <v>68</v>
      </c>
      <c r="B47" t="str">
        <f>RTD("tos.rtd", , "DESCRIPTION", ".ASHR201120P38")</f>
        <v>N/A</v>
      </c>
      <c r="C47" t="str">
        <f>RTD("tos.rtd", , "PUT_CALL_RATIO", ".ASHR201120P38")</f>
        <v>N/A</v>
      </c>
      <c r="D47" t="str">
        <f>RTD("tos.rtd", , "IMPL_VOL", ".ASHR201120P38")</f>
        <v>N/A</v>
      </c>
      <c r="E47" t="str">
        <f>RTD("tos.rtd", , "LAST", ".ASHR201120P38")</f>
        <v>N/A</v>
      </c>
      <c r="F47" t="str">
        <f>RTD("tos.rtd", , "VOLUME", ".ASHR201120P38")</f>
        <v>N/A</v>
      </c>
      <c r="G47" t="str">
        <f>RTD("tos.rtd", , "OPEN_INT", ".ASHR201120P38")</f>
        <v>N/A</v>
      </c>
      <c r="H47" t="str">
        <f>RTD("tos.rtd", , "BID", ".ASHR201120P38")</f>
        <v>N/A</v>
      </c>
      <c r="I47" t="str">
        <f>RTD("tos.rtd", , "ASK", ".ASHR201120P38")</f>
        <v>N/A</v>
      </c>
      <c r="J47" t="str">
        <f>RTD("tos.rtd", , "HIGH", ".ASHR201120P38")</f>
        <v>N/A</v>
      </c>
      <c r="K47" t="str">
        <f>RTD("tos.rtd", , "LOW", ".ASHR201120P38")</f>
        <v>N/A</v>
      </c>
      <c r="L47" t="str">
        <f>RTD("tos.rtd", , "OPEN", ".ASHR201120P38")</f>
        <v>N/A</v>
      </c>
      <c r="M47" t="str">
        <f>RTD("tos.rtd", , "DELTA", ".ASHR201120P38")</f>
        <v>N/A</v>
      </c>
      <c r="N47" t="str">
        <f>RTD("tos.rtd", , "GAMMA", ".ASHR201120P38")</f>
        <v>N/A</v>
      </c>
      <c r="O47" t="str">
        <f>RTD("tos.rtd", , "THETA", ".ASHR201120P38")</f>
        <v>N/A</v>
      </c>
      <c r="P47" t="str">
        <f>RTD("tos.rtd", , "VEGA", ".ASHR201120P38")</f>
        <v>N/A</v>
      </c>
      <c r="Q47" t="str">
        <f>RTD("tos.rtd", , "RHO", ".ASHR201120P38")</f>
        <v>N/A</v>
      </c>
      <c r="R47" t="str">
        <f>RTD("tos.rtd", , "INTRINSIC", ".ASHR201120P38")</f>
        <v>N/A</v>
      </c>
      <c r="S47" t="str">
        <f>RTD("tos.rtd", , "EXTRINSIC", ".ASHR201120P38")</f>
        <v>N/A</v>
      </c>
      <c r="T47" t="str">
        <f>RTD("tos.rtd", , "PROB_OF_EXPIRING", ".ASHR201120P38")</f>
        <v>N/A</v>
      </c>
      <c r="U47" t="str">
        <f>RTD("tos.rtd", , "PROB_OTM", ".ASHR201120P38")</f>
        <v>N/A</v>
      </c>
      <c r="V47" t="str">
        <f>RTD("tos.rtd", , "PROB_OF_TOUCHING", ".ASHR201120P38")</f>
        <v>N/A</v>
      </c>
      <c r="W47" t="str">
        <f>RTD("tos.rtd", , "STRIKE", ".ASHR201120P38")</f>
        <v>N/A</v>
      </c>
    </row>
    <row r="48" spans="1:23" x14ac:dyDescent="0.45">
      <c r="A48" t="s">
        <v>69</v>
      </c>
      <c r="B48" t="str">
        <f>RTD("tos.rtd", , "DESCRIPTION", "BKLN")</f>
        <v>N/A</v>
      </c>
      <c r="C48">
        <f>RTD("tos.rtd", , "PUT_CALL_RATIO", "BKLN")</f>
        <v>46.817999999999998</v>
      </c>
      <c r="D48" t="str">
        <f>RTD("tos.rtd", , "IMPL_VOL", "BKLN")</f>
        <v>4.94%</v>
      </c>
      <c r="E48">
        <f>RTD("tos.rtd", , "LAST", "BKLN")</f>
        <v>21.96</v>
      </c>
      <c r="F48">
        <f>RTD("tos.rtd", , "VOLUME", "BKLN")</f>
        <v>3478396</v>
      </c>
      <c r="G48">
        <f>RTD("tos.rtd", , "OPEN_INT", "BKLN")</f>
        <v>0</v>
      </c>
      <c r="H48">
        <f>RTD("tos.rtd", , "BID", "BKLN")</f>
        <v>21.9</v>
      </c>
      <c r="I48">
        <f>RTD("tos.rtd", , "ASK", "BKLN")</f>
        <v>22.1</v>
      </c>
      <c r="J48">
        <f>RTD("tos.rtd", , "HIGH", "BKLN")</f>
        <v>22.04</v>
      </c>
      <c r="K48">
        <f>RTD("tos.rtd", , "LOW", "BKLN")</f>
        <v>21.94</v>
      </c>
      <c r="L48">
        <f>RTD("tos.rtd", , "OPEN", "BKLN")</f>
        <v>22.04</v>
      </c>
      <c r="M48">
        <f>RTD("tos.rtd", , "DELTA", "BKLN")</f>
        <v>1</v>
      </c>
      <c r="N48">
        <f>RTD("tos.rtd", , "GAMMA", "BKLN")</f>
        <v>0</v>
      </c>
      <c r="O48">
        <f>RTD("tos.rtd", , "THETA", "BKLN")</f>
        <v>0</v>
      </c>
      <c r="P48">
        <f>RTD("tos.rtd", , "VEGA", "BKLN")</f>
        <v>0</v>
      </c>
      <c r="Q48">
        <f>RTD("tos.rtd", , "RHO", "BKLN")</f>
        <v>0</v>
      </c>
      <c r="R48" t="str">
        <f>RTD("tos.rtd", , "INTRINSIC", "BKLN")</f>
        <v>N/A</v>
      </c>
      <c r="S48" t="str">
        <f>RTD("tos.rtd", , "EXTRINSIC", "BKLN")</f>
        <v>N/A</v>
      </c>
      <c r="T48" t="str">
        <f>RTD("tos.rtd", , "PROB_OF_EXPIRING", "BKLN")</f>
        <v>N/A</v>
      </c>
      <c r="U48" t="str">
        <f>RTD("tos.rtd", , "PROB_OTM", "BKLN")</f>
        <v>N/A</v>
      </c>
      <c r="V48" t="str">
        <f>RTD("tos.rtd", , "PROB_OF_TOUCHING", "BKLN")</f>
        <v>N/A</v>
      </c>
      <c r="W48" t="str">
        <f>RTD("tos.rtd", , "STRIKE", "BKLN")</f>
        <v>N/A</v>
      </c>
    </row>
    <row r="49" spans="1:23" x14ac:dyDescent="0.45">
      <c r="A49" t="s">
        <v>70</v>
      </c>
      <c r="B49" t="str">
        <f>RTD("tos.rtd", , "DESCRIPTION", ".BKLN201120C22")</f>
        <v>N/A</v>
      </c>
      <c r="C49" t="str">
        <f>RTD("tos.rtd", , "PUT_CALL_RATIO", ".BKLN201120C22")</f>
        <v>N/A</v>
      </c>
      <c r="D49" t="str">
        <f>RTD("tos.rtd", , "IMPL_VOL", ".BKLN201120C22")</f>
        <v>N/A</v>
      </c>
      <c r="E49" t="str">
        <f>RTD("tos.rtd", , "LAST", ".BKLN201120C22")</f>
        <v>N/A</v>
      </c>
      <c r="F49" t="str">
        <f>RTD("tos.rtd", , "VOLUME", ".BKLN201120C22")</f>
        <v>N/A</v>
      </c>
      <c r="G49" t="str">
        <f>RTD("tos.rtd", , "OPEN_INT", ".BKLN201120C22")</f>
        <v>N/A</v>
      </c>
      <c r="H49" t="str">
        <f>RTD("tos.rtd", , "BID", ".BKLN201120C22")</f>
        <v>N/A</v>
      </c>
      <c r="I49" t="str">
        <f>RTD("tos.rtd", , "ASK", ".BKLN201120C22")</f>
        <v>N/A</v>
      </c>
      <c r="J49" t="str">
        <f>RTD("tos.rtd", , "HIGH", ".BKLN201120C22")</f>
        <v>N/A</v>
      </c>
      <c r="K49" t="str">
        <f>RTD("tos.rtd", , "LOW", ".BKLN201120C22")</f>
        <v>N/A</v>
      </c>
      <c r="L49" t="str">
        <f>RTD("tos.rtd", , "OPEN", ".BKLN201120C22")</f>
        <v>N/A</v>
      </c>
      <c r="M49" t="str">
        <f>RTD("tos.rtd", , "DELTA", ".BKLN201120C22")</f>
        <v>N/A</v>
      </c>
      <c r="N49" t="str">
        <f>RTD("tos.rtd", , "GAMMA", ".BKLN201120C22")</f>
        <v>N/A</v>
      </c>
      <c r="O49" t="str">
        <f>RTD("tos.rtd", , "THETA", ".BKLN201120C22")</f>
        <v>N/A</v>
      </c>
      <c r="P49" t="str">
        <f>RTD("tos.rtd", , "VEGA", ".BKLN201120C22")</f>
        <v>N/A</v>
      </c>
      <c r="Q49" t="str">
        <f>RTD("tos.rtd", , "RHO", ".BKLN201120C22")</f>
        <v>N/A</v>
      </c>
      <c r="R49" t="str">
        <f>RTD("tos.rtd", , "INTRINSIC", ".BKLN201120C22")</f>
        <v>N/A</v>
      </c>
      <c r="S49" t="str">
        <f>RTD("tos.rtd", , "EXTRINSIC", ".BKLN201120C22")</f>
        <v>N/A</v>
      </c>
      <c r="T49" t="str">
        <f>RTD("tos.rtd", , "PROB_OF_EXPIRING", ".BKLN201120C22")</f>
        <v>N/A</v>
      </c>
      <c r="U49" t="str">
        <f>RTD("tos.rtd", , "PROB_OTM", ".BKLN201120C22")</f>
        <v>N/A</v>
      </c>
      <c r="V49" t="str">
        <f>RTD("tos.rtd", , "PROB_OF_TOUCHING", ".BKLN201120C22")</f>
        <v>N/A</v>
      </c>
      <c r="W49" t="str">
        <f>RTD("tos.rtd", , "STRIKE", ".BKLN201120C22")</f>
        <v>N/A</v>
      </c>
    </row>
    <row r="50" spans="1:23" x14ac:dyDescent="0.45">
      <c r="A50" t="s">
        <v>71</v>
      </c>
      <c r="B50" t="str">
        <f>RTD("tos.rtd", , "DESCRIPTION", ".BKLN201120P22")</f>
        <v>N/A</v>
      </c>
      <c r="C50" t="str">
        <f>RTD("tos.rtd", , "PUT_CALL_RATIO", ".BKLN201120P22")</f>
        <v>N/A</v>
      </c>
      <c r="D50" t="str">
        <f>RTD("tos.rtd", , "IMPL_VOL", ".BKLN201120P22")</f>
        <v>N/A</v>
      </c>
      <c r="E50" t="str">
        <f>RTD("tos.rtd", , "LAST", ".BKLN201120P22")</f>
        <v>N/A</v>
      </c>
      <c r="F50" t="str">
        <f>RTD("tos.rtd", , "VOLUME", ".BKLN201120P22")</f>
        <v>N/A</v>
      </c>
      <c r="G50" t="str">
        <f>RTD("tos.rtd", , "OPEN_INT", ".BKLN201120P22")</f>
        <v>N/A</v>
      </c>
      <c r="H50" t="str">
        <f>RTD("tos.rtd", , "BID", ".BKLN201120P22")</f>
        <v>N/A</v>
      </c>
      <c r="I50" t="str">
        <f>RTD("tos.rtd", , "ASK", ".BKLN201120P22")</f>
        <v>N/A</v>
      </c>
      <c r="J50" t="str">
        <f>RTD("tos.rtd", , "HIGH", ".BKLN201120P22")</f>
        <v>N/A</v>
      </c>
      <c r="K50" t="str">
        <f>RTD("tos.rtd", , "LOW", ".BKLN201120P22")</f>
        <v>N/A</v>
      </c>
      <c r="L50" t="str">
        <f>RTD("tos.rtd", , "OPEN", ".BKLN201120P22")</f>
        <v>N/A</v>
      </c>
      <c r="M50" t="str">
        <f>RTD("tos.rtd", , "DELTA", ".BKLN201120P22")</f>
        <v>N/A</v>
      </c>
      <c r="N50" t="str">
        <f>RTD("tos.rtd", , "GAMMA", ".BKLN201120P22")</f>
        <v>N/A</v>
      </c>
      <c r="O50" t="str">
        <f>RTD("tos.rtd", , "THETA", ".BKLN201120P22")</f>
        <v>N/A</v>
      </c>
      <c r="P50" t="str">
        <f>RTD("tos.rtd", , "VEGA", ".BKLN201120P22")</f>
        <v>N/A</v>
      </c>
      <c r="Q50" t="str">
        <f>RTD("tos.rtd", , "RHO", ".BKLN201120P22")</f>
        <v>N/A</v>
      </c>
      <c r="R50" t="str">
        <f>RTD("tos.rtd", , "INTRINSIC", ".BKLN201120P22")</f>
        <v>N/A</v>
      </c>
      <c r="S50" t="str">
        <f>RTD("tos.rtd", , "EXTRINSIC", ".BKLN201120P22")</f>
        <v>N/A</v>
      </c>
      <c r="T50" t="str">
        <f>RTD("tos.rtd", , "PROB_OF_EXPIRING", ".BKLN201120P22")</f>
        <v>N/A</v>
      </c>
      <c r="U50" t="str">
        <f>RTD("tos.rtd", , "PROB_OTM", ".BKLN201120P22")</f>
        <v>N/A</v>
      </c>
      <c r="V50" t="str">
        <f>RTD("tos.rtd", , "PROB_OF_TOUCHING", ".BKLN201120P22")</f>
        <v>N/A</v>
      </c>
      <c r="W50" t="str">
        <f>RTD("tos.rtd", , "STRIKE", ".BKLN201120P22")</f>
        <v>N/A</v>
      </c>
    </row>
    <row r="51" spans="1:23" x14ac:dyDescent="0.45">
      <c r="A51" t="s">
        <v>72</v>
      </c>
      <c r="B51" t="str">
        <f>RTD("tos.rtd", , "DESCRIPTION", "BZQ")</f>
        <v>N/A</v>
      </c>
      <c r="C51">
        <f>RTD("tos.rtd", , "PUT_CALL_RATIO", "BZQ")</f>
        <v>0.17599999999999999</v>
      </c>
      <c r="D51" t="str">
        <f>RTD("tos.rtd", , "IMPL_VOL", "BZQ")</f>
        <v>82.20%</v>
      </c>
      <c r="E51">
        <f>RTD("tos.rtd", , "LAST", "BZQ")</f>
        <v>13.21</v>
      </c>
      <c r="F51">
        <f>RTD("tos.rtd", , "VOLUME", "BZQ")</f>
        <v>1037780</v>
      </c>
      <c r="G51">
        <f>RTD("tos.rtd", , "OPEN_INT", "BZQ")</f>
        <v>0</v>
      </c>
      <c r="H51">
        <f>RTD("tos.rtd", , "BID", "BZQ")</f>
        <v>11.4</v>
      </c>
      <c r="I51">
        <f>RTD("tos.rtd", , "ASK", "BZQ")</f>
        <v>13.35</v>
      </c>
      <c r="J51">
        <f>RTD("tos.rtd", , "HIGH", "BZQ")</f>
        <v>13.41</v>
      </c>
      <c r="K51">
        <f>RTD("tos.rtd", , "LOW", "BZQ")</f>
        <v>12.58</v>
      </c>
      <c r="L51">
        <f>RTD("tos.rtd", , "OPEN", "BZQ")</f>
        <v>12.64</v>
      </c>
      <c r="M51">
        <f>RTD("tos.rtd", , "DELTA", "BZQ")</f>
        <v>1</v>
      </c>
      <c r="N51">
        <f>RTD("tos.rtd", , "GAMMA", "BZQ")</f>
        <v>0</v>
      </c>
      <c r="O51">
        <f>RTD("tos.rtd", , "THETA", "BZQ")</f>
        <v>0</v>
      </c>
      <c r="P51">
        <f>RTD("tos.rtd", , "VEGA", "BZQ")</f>
        <v>0</v>
      </c>
      <c r="Q51">
        <f>RTD("tos.rtd", , "RHO", "BZQ")</f>
        <v>0</v>
      </c>
      <c r="R51" t="str">
        <f>RTD("tos.rtd", , "INTRINSIC", "BZQ")</f>
        <v>N/A</v>
      </c>
      <c r="S51" t="str">
        <f>RTD("tos.rtd", , "EXTRINSIC", "BZQ")</f>
        <v>N/A</v>
      </c>
      <c r="T51" t="str">
        <f>RTD("tos.rtd", , "PROB_OF_EXPIRING", "BZQ")</f>
        <v>N/A</v>
      </c>
      <c r="U51" t="str">
        <f>RTD("tos.rtd", , "PROB_OTM", "BZQ")</f>
        <v>N/A</v>
      </c>
      <c r="V51" t="str">
        <f>RTD("tos.rtd", , "PROB_OF_TOUCHING", "BZQ")</f>
        <v>N/A</v>
      </c>
      <c r="W51" t="str">
        <f>RTD("tos.rtd", , "STRIKE", "BZQ")</f>
        <v>N/A</v>
      </c>
    </row>
    <row r="52" spans="1:23" x14ac:dyDescent="0.45">
      <c r="A52" t="s">
        <v>73</v>
      </c>
      <c r="B52" t="str">
        <f>RTD("tos.rtd", , "DESCRIPTION", ".BZQ201120C12")</f>
        <v>N/A</v>
      </c>
      <c r="C52" t="str">
        <f>RTD("tos.rtd", , "PUT_CALL_RATIO", ".BZQ201120C12")</f>
        <v>N/A</v>
      </c>
      <c r="D52" t="str">
        <f>RTD("tos.rtd", , "IMPL_VOL", ".BZQ201120C12")</f>
        <v>N/A</v>
      </c>
      <c r="E52" t="str">
        <f>RTD("tos.rtd", , "LAST", ".BZQ201120C12")</f>
        <v>N/A</v>
      </c>
      <c r="F52" t="str">
        <f>RTD("tos.rtd", , "VOLUME", ".BZQ201120C12")</f>
        <v>N/A</v>
      </c>
      <c r="G52" t="str">
        <f>RTD("tos.rtd", , "OPEN_INT", ".BZQ201120C12")</f>
        <v>N/A</v>
      </c>
      <c r="H52" t="str">
        <f>RTD("tos.rtd", , "BID", ".BZQ201120C12")</f>
        <v>N/A</v>
      </c>
      <c r="I52" t="str">
        <f>RTD("tos.rtd", , "ASK", ".BZQ201120C12")</f>
        <v>N/A</v>
      </c>
      <c r="J52" t="str">
        <f>RTD("tos.rtd", , "HIGH", ".BZQ201120C12")</f>
        <v>N/A</v>
      </c>
      <c r="K52" t="str">
        <f>RTD("tos.rtd", , "LOW", ".BZQ201120C12")</f>
        <v>N/A</v>
      </c>
      <c r="L52" t="str">
        <f>RTD("tos.rtd", , "OPEN", ".BZQ201120C12")</f>
        <v>N/A</v>
      </c>
      <c r="M52" t="str">
        <f>RTD("tos.rtd", , "DELTA", ".BZQ201120C12")</f>
        <v>N/A</v>
      </c>
      <c r="N52" t="str">
        <f>RTD("tos.rtd", , "GAMMA", ".BZQ201120C12")</f>
        <v>N/A</v>
      </c>
      <c r="O52" t="str">
        <f>RTD("tos.rtd", , "THETA", ".BZQ201120C12")</f>
        <v>N/A</v>
      </c>
      <c r="P52" t="str">
        <f>RTD("tos.rtd", , "VEGA", ".BZQ201120C12")</f>
        <v>N/A</v>
      </c>
      <c r="Q52" t="str">
        <f>RTD("tos.rtd", , "RHO", ".BZQ201120C12")</f>
        <v>N/A</v>
      </c>
      <c r="R52" t="str">
        <f>RTD("tos.rtd", , "INTRINSIC", ".BZQ201120C12")</f>
        <v>N/A</v>
      </c>
      <c r="S52" t="str">
        <f>RTD("tos.rtd", , "EXTRINSIC", ".BZQ201120C12")</f>
        <v>N/A</v>
      </c>
      <c r="T52" t="str">
        <f>RTD("tos.rtd", , "PROB_OF_EXPIRING", ".BZQ201120C12")</f>
        <v>N/A</v>
      </c>
      <c r="U52" t="str">
        <f>RTD("tos.rtd", , "PROB_OTM", ".BZQ201120C12")</f>
        <v>N/A</v>
      </c>
      <c r="V52" t="str">
        <f>RTD("tos.rtd", , "PROB_OF_TOUCHING", ".BZQ201120C12")</f>
        <v>N/A</v>
      </c>
      <c r="W52" t="str">
        <f>RTD("tos.rtd", , "STRIKE", ".BZQ201120C12")</f>
        <v>N/A</v>
      </c>
    </row>
    <row r="53" spans="1:23" x14ac:dyDescent="0.45">
      <c r="A53" t="s">
        <v>74</v>
      </c>
      <c r="B53" t="str">
        <f>RTD("tos.rtd", , "DESCRIPTION", ".BZQ201120P12")</f>
        <v>N/A</v>
      </c>
      <c r="C53" t="str">
        <f>RTD("tos.rtd", , "PUT_CALL_RATIO", ".BZQ201120P12")</f>
        <v>N/A</v>
      </c>
      <c r="D53" t="str">
        <f>RTD("tos.rtd", , "IMPL_VOL", ".BZQ201120P12")</f>
        <v>N/A</v>
      </c>
      <c r="E53" t="str">
        <f>RTD("tos.rtd", , "LAST", ".BZQ201120P12")</f>
        <v>N/A</v>
      </c>
      <c r="F53" t="str">
        <f>RTD("tos.rtd", , "VOLUME", ".BZQ201120P12")</f>
        <v>N/A</v>
      </c>
      <c r="G53" t="str">
        <f>RTD("tos.rtd", , "OPEN_INT", ".BZQ201120P12")</f>
        <v>N/A</v>
      </c>
      <c r="H53" t="str">
        <f>RTD("tos.rtd", , "BID", ".BZQ201120P12")</f>
        <v>N/A</v>
      </c>
      <c r="I53" t="str">
        <f>RTD("tos.rtd", , "ASK", ".BZQ201120P12")</f>
        <v>N/A</v>
      </c>
      <c r="J53" t="str">
        <f>RTD("tos.rtd", , "HIGH", ".BZQ201120P12")</f>
        <v>N/A</v>
      </c>
      <c r="K53" t="str">
        <f>RTD("tos.rtd", , "LOW", ".BZQ201120P12")</f>
        <v>N/A</v>
      </c>
      <c r="L53" t="str">
        <f>RTD("tos.rtd", , "OPEN", ".BZQ201120P12")</f>
        <v>N/A</v>
      </c>
      <c r="M53" t="str">
        <f>RTD("tos.rtd", , "DELTA", ".BZQ201120P12")</f>
        <v>N/A</v>
      </c>
      <c r="N53" t="str">
        <f>RTD("tos.rtd", , "GAMMA", ".BZQ201120P12")</f>
        <v>N/A</v>
      </c>
      <c r="O53" t="str">
        <f>RTD("tos.rtd", , "THETA", ".BZQ201120P12")</f>
        <v>N/A</v>
      </c>
      <c r="P53" t="str">
        <f>RTD("tos.rtd", , "VEGA", ".BZQ201120P12")</f>
        <v>N/A</v>
      </c>
      <c r="Q53" t="str">
        <f>RTD("tos.rtd", , "RHO", ".BZQ201120P12")</f>
        <v>N/A</v>
      </c>
      <c r="R53" t="str">
        <f>RTD("tos.rtd", , "INTRINSIC", ".BZQ201120P12")</f>
        <v>N/A</v>
      </c>
      <c r="S53" t="str">
        <f>RTD("tos.rtd", , "EXTRINSIC", ".BZQ201120P12")</f>
        <v>N/A</v>
      </c>
      <c r="T53" t="str">
        <f>RTD("tos.rtd", , "PROB_OF_EXPIRING", ".BZQ201120P12")</f>
        <v>N/A</v>
      </c>
      <c r="U53" t="str">
        <f>RTD("tos.rtd", , "PROB_OTM", ".BZQ201120P12")</f>
        <v>N/A</v>
      </c>
      <c r="V53" t="str">
        <f>RTD("tos.rtd", , "PROB_OF_TOUCHING", ".BZQ201120P12")</f>
        <v>N/A</v>
      </c>
      <c r="W53" t="str">
        <f>RTD("tos.rtd", , "STRIKE", ".BZQ201120P12")</f>
        <v>N/A</v>
      </c>
    </row>
    <row r="54" spans="1:23" x14ac:dyDescent="0.45">
      <c r="A54" t="s">
        <v>75</v>
      </c>
      <c r="B54" t="str">
        <f>RTD("tos.rtd", , "DESCRIPTION", "DFEN")</f>
        <v>N/A</v>
      </c>
      <c r="C54">
        <f>RTD("tos.rtd", , "PUT_CALL_RATIO", "DFEN")</f>
        <v>0.30099999999999999</v>
      </c>
      <c r="D54" t="str">
        <f>RTD("tos.rtd", , "IMPL_VOL", "DFEN")</f>
        <v>83.33%</v>
      </c>
      <c r="E54">
        <f>RTD("tos.rtd", , "LAST", "DFEN")</f>
        <v>13.03</v>
      </c>
      <c r="F54">
        <f>RTD("tos.rtd", , "VOLUME", "DFEN")</f>
        <v>4291719</v>
      </c>
      <c r="G54">
        <f>RTD("tos.rtd", , "OPEN_INT", "DFEN")</f>
        <v>0</v>
      </c>
      <c r="H54">
        <f>RTD("tos.rtd", , "BID", "DFEN")</f>
        <v>12.83</v>
      </c>
      <c r="I54">
        <f>RTD("tos.rtd", , "ASK", "DFEN")</f>
        <v>13.1</v>
      </c>
      <c r="J54">
        <f>RTD("tos.rtd", , "HIGH", "DFEN")</f>
        <v>13.5</v>
      </c>
      <c r="K54">
        <f>RTD("tos.rtd", , "LOW", "DFEN")</f>
        <v>12.74</v>
      </c>
      <c r="L54">
        <f>RTD("tos.rtd", , "OPEN", "DFEN")</f>
        <v>12.88</v>
      </c>
      <c r="M54">
        <f>RTD("tos.rtd", , "DELTA", "DFEN")</f>
        <v>1</v>
      </c>
      <c r="N54">
        <f>RTD("tos.rtd", , "GAMMA", "DFEN")</f>
        <v>0</v>
      </c>
      <c r="O54">
        <f>RTD("tos.rtd", , "THETA", "DFEN")</f>
        <v>0</v>
      </c>
      <c r="P54">
        <f>RTD("tos.rtd", , "VEGA", "DFEN")</f>
        <v>0</v>
      </c>
      <c r="Q54">
        <f>RTD("tos.rtd", , "RHO", "DFEN")</f>
        <v>0</v>
      </c>
      <c r="R54" t="str">
        <f>RTD("tos.rtd", , "INTRINSIC", "DFEN")</f>
        <v>N/A</v>
      </c>
      <c r="S54" t="str">
        <f>RTD("tos.rtd", , "EXTRINSIC", "DFEN")</f>
        <v>N/A</v>
      </c>
      <c r="T54" t="str">
        <f>RTD("tos.rtd", , "PROB_OF_EXPIRING", "DFEN")</f>
        <v>N/A</v>
      </c>
      <c r="U54" t="str">
        <f>RTD("tos.rtd", , "PROB_OTM", "DFEN")</f>
        <v>N/A</v>
      </c>
      <c r="V54" t="str">
        <f>RTD("tos.rtd", , "PROB_OF_TOUCHING", "DFEN")</f>
        <v>N/A</v>
      </c>
      <c r="W54" t="str">
        <f>RTD("tos.rtd", , "STRIKE", "DFEN")</f>
        <v>N/A</v>
      </c>
    </row>
    <row r="55" spans="1:23" x14ac:dyDescent="0.45">
      <c r="A55" t="s">
        <v>76</v>
      </c>
      <c r="B55" t="str">
        <f>RTD("tos.rtd", , "DESCRIPTION", ".DFEN201120C13")</f>
        <v>N/A</v>
      </c>
      <c r="C55" t="str">
        <f>RTD("tos.rtd", , "PUT_CALL_RATIO", ".DFEN201120C13")</f>
        <v>N/A</v>
      </c>
      <c r="D55" t="str">
        <f>RTD("tos.rtd", , "IMPL_VOL", ".DFEN201120C13")</f>
        <v>N/A</v>
      </c>
      <c r="E55">
        <f>RTD("tos.rtd", , "LAST", ".DFEN201120C13")</f>
        <v>0.65</v>
      </c>
      <c r="F55">
        <f>RTD("tos.rtd", , "VOLUME", ".DFEN201120C13")</f>
        <v>202</v>
      </c>
      <c r="G55">
        <f>RTD("tos.rtd", , "OPEN_INT", ".DFEN201120C13")</f>
        <v>783</v>
      </c>
      <c r="H55">
        <f>RTD("tos.rtd", , "BID", ".DFEN201120C13")</f>
        <v>0.6</v>
      </c>
      <c r="I55">
        <f>RTD("tos.rtd", , "ASK", ".DFEN201120C13")</f>
        <v>0.7</v>
      </c>
      <c r="J55">
        <f>RTD("tos.rtd", , "HIGH", ".DFEN201120C13")</f>
        <v>0.85</v>
      </c>
      <c r="K55">
        <f>RTD("tos.rtd", , "LOW", ".DFEN201120C13")</f>
        <v>0.6</v>
      </c>
      <c r="L55">
        <f>RTD("tos.rtd", , "OPEN", ".DFEN201120C13")</f>
        <v>0.85</v>
      </c>
      <c r="M55" t="str">
        <f>RTD("tos.rtd", , "DELTA", ".DFEN201120C13")</f>
        <v>N/A</v>
      </c>
      <c r="N55" t="str">
        <f>RTD("tos.rtd", , "GAMMA", ".DFEN201120C13")</f>
        <v>N/A</v>
      </c>
      <c r="O55" t="str">
        <f>RTD("tos.rtd", , "THETA", ".DFEN201120C13")</f>
        <v>N/A</v>
      </c>
      <c r="P55" t="str">
        <f>RTD("tos.rtd", , "VEGA", ".DFEN201120C13")</f>
        <v>N/A</v>
      </c>
      <c r="Q55" t="str">
        <f>RTD("tos.rtd", , "RHO", ".DFEN201120C13")</f>
        <v>N/A</v>
      </c>
      <c r="R55" t="str">
        <f>RTD("tos.rtd", , "INTRINSIC", ".DFEN201120C13")</f>
        <v>N/A</v>
      </c>
      <c r="S55" t="str">
        <f>RTD("tos.rtd", , "EXTRINSIC", ".DFEN201120C13")</f>
        <v>N/A</v>
      </c>
      <c r="T55" t="str">
        <f>RTD("tos.rtd", , "PROB_OF_EXPIRING", ".DFEN201120C13")</f>
        <v>N/A</v>
      </c>
      <c r="U55" t="str">
        <f>RTD("tos.rtd", , "PROB_OTM", ".DFEN201120C13")</f>
        <v>N/A</v>
      </c>
      <c r="V55" t="str">
        <f>RTD("tos.rtd", , "PROB_OF_TOUCHING", ".DFEN201120C13")</f>
        <v>N/A</v>
      </c>
      <c r="W55" t="str">
        <f>RTD("tos.rtd", , "STRIKE", ".DFEN201120C13")</f>
        <v>N/A</v>
      </c>
    </row>
    <row r="56" spans="1:23" x14ac:dyDescent="0.45">
      <c r="A56" t="s">
        <v>77</v>
      </c>
      <c r="B56" t="str">
        <f>RTD("tos.rtd", , "DESCRIPTION", ".DFEN201120P13")</f>
        <v>N/A</v>
      </c>
      <c r="C56" t="str">
        <f>RTD("tos.rtd", , "PUT_CALL_RATIO", ".DFEN201120P13")</f>
        <v>N/A</v>
      </c>
      <c r="D56" t="str">
        <f>RTD("tos.rtd", , "IMPL_VOL", ".DFEN201120P13")</f>
        <v>N/A</v>
      </c>
      <c r="E56">
        <f>RTD("tos.rtd", , "LAST", ".DFEN201120P13")</f>
        <v>0.7</v>
      </c>
      <c r="F56">
        <f>RTD("tos.rtd", , "VOLUME", ".DFEN201120P13")</f>
        <v>70</v>
      </c>
      <c r="G56">
        <f>RTD("tos.rtd", , "OPEN_INT", ".DFEN201120P13")</f>
        <v>726</v>
      </c>
      <c r="H56">
        <f>RTD("tos.rtd", , "BID", ".DFEN201120P13")</f>
        <v>0.6</v>
      </c>
      <c r="I56">
        <f>RTD("tos.rtd", , "ASK", ".DFEN201120P13")</f>
        <v>0.7</v>
      </c>
      <c r="J56">
        <f>RTD("tos.rtd", , "HIGH", ".DFEN201120P13")</f>
        <v>0.75</v>
      </c>
      <c r="K56">
        <f>RTD("tos.rtd", , "LOW", ".DFEN201120P13")</f>
        <v>0.38</v>
      </c>
      <c r="L56">
        <f>RTD("tos.rtd", , "OPEN", ".DFEN201120P13")</f>
        <v>0.6</v>
      </c>
      <c r="M56" t="str">
        <f>RTD("tos.rtd", , "DELTA", ".DFEN201120P13")</f>
        <v>N/A</v>
      </c>
      <c r="N56" t="str">
        <f>RTD("tos.rtd", , "GAMMA", ".DFEN201120P13")</f>
        <v>N/A</v>
      </c>
      <c r="O56" t="str">
        <f>RTD("tos.rtd", , "THETA", ".DFEN201120P13")</f>
        <v>N/A</v>
      </c>
      <c r="P56" t="str">
        <f>RTD("tos.rtd", , "VEGA", ".DFEN201120P13")</f>
        <v>N/A</v>
      </c>
      <c r="Q56" t="str">
        <f>RTD("tos.rtd", , "RHO", ".DFEN201120P13")</f>
        <v>N/A</v>
      </c>
      <c r="R56" t="str">
        <f>RTD("tos.rtd", , "INTRINSIC", ".DFEN201120P13")</f>
        <v>N/A</v>
      </c>
      <c r="S56" t="str">
        <f>RTD("tos.rtd", , "EXTRINSIC", ".DFEN201120P13")</f>
        <v>N/A</v>
      </c>
      <c r="T56" t="str">
        <f>RTD("tos.rtd", , "PROB_OF_EXPIRING", ".DFEN201120P13")</f>
        <v>N/A</v>
      </c>
      <c r="U56" t="str">
        <f>RTD("tos.rtd", , "PROB_OTM", ".DFEN201120P13")</f>
        <v>N/A</v>
      </c>
      <c r="V56" t="str">
        <f>RTD("tos.rtd", , "PROB_OF_TOUCHING", ".DFEN201120P13")</f>
        <v>N/A</v>
      </c>
      <c r="W56" t="str">
        <f>RTD("tos.rtd", , "STRIKE", ".DFEN201120P13")</f>
        <v>N/A</v>
      </c>
    </row>
    <row r="57" spans="1:23" x14ac:dyDescent="0.45">
      <c r="A57" t="s">
        <v>78</v>
      </c>
      <c r="B57" t="str">
        <f>RTD("tos.rtd", , "DESCRIPTION", ".DFEN201120C14")</f>
        <v>N/A</v>
      </c>
      <c r="C57" t="str">
        <f>RTD("tos.rtd", , "PUT_CALL_RATIO", ".DFEN201120C14")</f>
        <v>N/A</v>
      </c>
      <c r="D57" t="str">
        <f>RTD("tos.rtd", , "IMPL_VOL", ".DFEN201120C14")</f>
        <v>N/A</v>
      </c>
      <c r="E57">
        <f>RTD("tos.rtd", , "LAST", ".DFEN201120C14")</f>
        <v>0.3</v>
      </c>
      <c r="F57">
        <f>RTD("tos.rtd", , "VOLUME", ".DFEN201120C14")</f>
        <v>148</v>
      </c>
      <c r="G57">
        <f>RTD("tos.rtd", , "OPEN_INT", ".DFEN201120C14")</f>
        <v>1230</v>
      </c>
      <c r="H57">
        <f>RTD("tos.rtd", , "BID", ".DFEN201120C14")</f>
        <v>0.25</v>
      </c>
      <c r="I57">
        <f>RTD("tos.rtd", , "ASK", ".DFEN201120C14")</f>
        <v>0.3</v>
      </c>
      <c r="J57">
        <f>RTD("tos.rtd", , "HIGH", ".DFEN201120C14")</f>
        <v>0.3</v>
      </c>
      <c r="K57">
        <f>RTD("tos.rtd", , "LOW", ".DFEN201120C14")</f>
        <v>0.15</v>
      </c>
      <c r="L57">
        <f>RTD("tos.rtd", , "OPEN", ".DFEN201120C14")</f>
        <v>0.21</v>
      </c>
      <c r="M57" t="str">
        <f>RTD("tos.rtd", , "DELTA", ".DFEN201120C14")</f>
        <v>N/A</v>
      </c>
      <c r="N57" t="str">
        <f>RTD("tos.rtd", , "GAMMA", ".DFEN201120C14")</f>
        <v>N/A</v>
      </c>
      <c r="O57" t="str">
        <f>RTD("tos.rtd", , "THETA", ".DFEN201120C14")</f>
        <v>N/A</v>
      </c>
      <c r="P57" t="str">
        <f>RTD("tos.rtd", , "VEGA", ".DFEN201120C14")</f>
        <v>N/A</v>
      </c>
      <c r="Q57" t="str">
        <f>RTD("tos.rtd", , "RHO", ".DFEN201120C14")</f>
        <v>N/A</v>
      </c>
      <c r="R57" t="str">
        <f>RTD("tos.rtd", , "INTRINSIC", ".DFEN201120C14")</f>
        <v>N/A</v>
      </c>
      <c r="S57" t="str">
        <f>RTD("tos.rtd", , "EXTRINSIC", ".DFEN201120C14")</f>
        <v>N/A</v>
      </c>
      <c r="T57" t="str">
        <f>RTD("tos.rtd", , "PROB_OF_EXPIRING", ".DFEN201120C14")</f>
        <v>N/A</v>
      </c>
      <c r="U57" t="str">
        <f>RTD("tos.rtd", , "PROB_OTM", ".DFEN201120C14")</f>
        <v>N/A</v>
      </c>
      <c r="V57" t="str">
        <f>RTD("tos.rtd", , "PROB_OF_TOUCHING", ".DFEN201120C14")</f>
        <v>N/A</v>
      </c>
      <c r="W57" t="str">
        <f>RTD("tos.rtd", , "STRIKE", ".DFEN201120C14")</f>
        <v>N/A</v>
      </c>
    </row>
    <row r="58" spans="1:23" x14ac:dyDescent="0.45">
      <c r="A58" t="s">
        <v>79</v>
      </c>
      <c r="B58" t="str">
        <f>RTD("tos.rtd", , "DESCRIPTION", ".DFEN201120P14")</f>
        <v>N/A</v>
      </c>
      <c r="C58" t="str">
        <f>RTD("tos.rtd", , "PUT_CALL_RATIO", ".DFEN201120P14")</f>
        <v>N/A</v>
      </c>
      <c r="D58" t="str">
        <f>RTD("tos.rtd", , "IMPL_VOL", ".DFEN201120P14")</f>
        <v>N/A</v>
      </c>
      <c r="E58">
        <f>RTD("tos.rtd", , "LAST", ".DFEN201120P14")</f>
        <v>1.25</v>
      </c>
      <c r="F58">
        <f>RTD("tos.rtd", , "VOLUME", ".DFEN201120P14")</f>
        <v>9</v>
      </c>
      <c r="G58">
        <f>RTD("tos.rtd", , "OPEN_INT", ".DFEN201120P14")</f>
        <v>153</v>
      </c>
      <c r="H58">
        <f>RTD("tos.rtd", , "BID", ".DFEN201120P14")</f>
        <v>1.2</v>
      </c>
      <c r="I58">
        <f>RTD("tos.rtd", , "ASK", ".DFEN201120P14")</f>
        <v>1.4</v>
      </c>
      <c r="J58">
        <f>RTD("tos.rtd", , "HIGH", ".DFEN201120P14")</f>
        <v>1.25</v>
      </c>
      <c r="K58">
        <f>RTD("tos.rtd", , "LOW", ".DFEN201120P14")</f>
        <v>1.2</v>
      </c>
      <c r="L58">
        <f>RTD("tos.rtd", , "OPEN", ".DFEN201120P14")</f>
        <v>1.2</v>
      </c>
      <c r="M58" t="str">
        <f>RTD("tos.rtd", , "DELTA", ".DFEN201120P14")</f>
        <v>N/A</v>
      </c>
      <c r="N58" t="str">
        <f>RTD("tos.rtd", , "GAMMA", ".DFEN201120P14")</f>
        <v>N/A</v>
      </c>
      <c r="O58" t="str">
        <f>RTD("tos.rtd", , "THETA", ".DFEN201120P14")</f>
        <v>N/A</v>
      </c>
      <c r="P58" t="str">
        <f>RTD("tos.rtd", , "VEGA", ".DFEN201120P14")</f>
        <v>N/A</v>
      </c>
      <c r="Q58" t="str">
        <f>RTD("tos.rtd", , "RHO", ".DFEN201120P14")</f>
        <v>N/A</v>
      </c>
      <c r="R58" t="str">
        <f>RTD("tos.rtd", , "INTRINSIC", ".DFEN201120P14")</f>
        <v>N/A</v>
      </c>
      <c r="S58" t="str">
        <f>RTD("tos.rtd", , "EXTRINSIC", ".DFEN201120P14")</f>
        <v>N/A</v>
      </c>
      <c r="T58" t="str">
        <f>RTD("tos.rtd", , "PROB_OF_EXPIRING", ".DFEN201120P14")</f>
        <v>N/A</v>
      </c>
      <c r="U58" t="str">
        <f>RTD("tos.rtd", , "PROB_OTM", ".DFEN201120P14")</f>
        <v>N/A</v>
      </c>
      <c r="V58" t="str">
        <f>RTD("tos.rtd", , "PROB_OF_TOUCHING", ".DFEN201120P14")</f>
        <v>N/A</v>
      </c>
      <c r="W58" t="str">
        <f>RTD("tos.rtd", , "STRIKE", ".DFEN201120P14")</f>
        <v>N/A</v>
      </c>
    </row>
    <row r="59" spans="1:23" x14ac:dyDescent="0.45">
      <c r="A59" t="s">
        <v>80</v>
      </c>
      <c r="B59" t="str">
        <f>RTD("tos.rtd", , "DESCRIPTION", "DGRO")</f>
        <v>N/A</v>
      </c>
      <c r="C59">
        <f>RTD("tos.rtd", , "PUT_CALL_RATIO", "DGRO")</f>
        <v>0.625</v>
      </c>
      <c r="D59" t="str">
        <f>RTD("tos.rtd", , "IMPL_VOL", "DGRO")</f>
        <v>22.63%</v>
      </c>
      <c r="E59">
        <f>RTD("tos.rtd", , "LAST", "DGRO")</f>
        <v>42.44</v>
      </c>
      <c r="F59">
        <f>RTD("tos.rtd", , "VOLUME", "DGRO")</f>
        <v>1351671</v>
      </c>
      <c r="G59">
        <f>RTD("tos.rtd", , "OPEN_INT", "DGRO")</f>
        <v>0</v>
      </c>
      <c r="H59">
        <f>RTD("tos.rtd", , "BID", "DGRO")</f>
        <v>41.92</v>
      </c>
      <c r="I59">
        <f>RTD("tos.rtd", , "ASK", "DGRO")</f>
        <v>42.81</v>
      </c>
      <c r="J59">
        <f>RTD("tos.rtd", , "HIGH", "DGRO")</f>
        <v>42.79</v>
      </c>
      <c r="K59">
        <f>RTD("tos.rtd", , "LOW", "DGRO")</f>
        <v>42.1233</v>
      </c>
      <c r="L59">
        <f>RTD("tos.rtd", , "OPEN", "DGRO")</f>
        <v>42.76</v>
      </c>
      <c r="M59">
        <f>RTD("tos.rtd", , "DELTA", "DGRO")</f>
        <v>1</v>
      </c>
      <c r="N59">
        <f>RTD("tos.rtd", , "GAMMA", "DGRO")</f>
        <v>0</v>
      </c>
      <c r="O59">
        <f>RTD("tos.rtd", , "THETA", "DGRO")</f>
        <v>0</v>
      </c>
      <c r="P59">
        <f>RTD("tos.rtd", , "VEGA", "DGRO")</f>
        <v>0</v>
      </c>
      <c r="Q59">
        <f>RTD("tos.rtd", , "RHO", "DGRO")</f>
        <v>0</v>
      </c>
      <c r="R59" t="str">
        <f>RTD("tos.rtd", , "INTRINSIC", "DGRO")</f>
        <v>N/A</v>
      </c>
      <c r="S59" t="str">
        <f>RTD("tos.rtd", , "EXTRINSIC", "DGRO")</f>
        <v>N/A</v>
      </c>
      <c r="T59" t="str">
        <f>RTD("tos.rtd", , "PROB_OF_EXPIRING", "DGRO")</f>
        <v>N/A</v>
      </c>
      <c r="U59" t="str">
        <f>RTD("tos.rtd", , "PROB_OTM", "DGRO")</f>
        <v>N/A</v>
      </c>
      <c r="V59" t="str">
        <f>RTD("tos.rtd", , "PROB_OF_TOUCHING", "DGRO")</f>
        <v>N/A</v>
      </c>
      <c r="W59" t="str">
        <f>RTD("tos.rtd", , "STRIKE", "DGRO")</f>
        <v>N/A</v>
      </c>
    </row>
    <row r="60" spans="1:23" x14ac:dyDescent="0.45">
      <c r="A60" t="s">
        <v>81</v>
      </c>
      <c r="B60" t="str">
        <f>RTD("tos.rtd", , "DESCRIPTION", ".DGRO201120C43")</f>
        <v>N/A</v>
      </c>
      <c r="C60" t="str">
        <f>RTD("tos.rtd", , "PUT_CALL_RATIO", ".DGRO201120C43")</f>
        <v>N/A</v>
      </c>
      <c r="D60" t="str">
        <f>RTD("tos.rtd", , "IMPL_VOL", ".DGRO201120C43")</f>
        <v>N/A</v>
      </c>
      <c r="E60">
        <f>RTD("tos.rtd", , "LAST", ".DGRO201120C43")</f>
        <v>0.45</v>
      </c>
      <c r="F60">
        <f>RTD("tos.rtd", , "VOLUME", ".DGRO201120C43")</f>
        <v>0</v>
      </c>
      <c r="G60">
        <f>RTD("tos.rtd", , "OPEN_INT", ".DGRO201120C43")</f>
        <v>58</v>
      </c>
      <c r="H60">
        <f>RTD("tos.rtd", , "BID", ".DGRO201120C43")</f>
        <v>0.05</v>
      </c>
      <c r="I60">
        <f>RTD("tos.rtd", , "ASK", ".DGRO201120C43")</f>
        <v>0.25</v>
      </c>
      <c r="J60">
        <f>RTD("tos.rtd", , "HIGH", ".DGRO201120C43")</f>
        <v>0</v>
      </c>
      <c r="K60">
        <f>RTD("tos.rtd", , "LOW", ".DGRO201120C43")</f>
        <v>0</v>
      </c>
      <c r="L60">
        <f>RTD("tos.rtd", , "OPEN", ".DGRO201120C43")</f>
        <v>0</v>
      </c>
      <c r="M60" t="str">
        <f>RTD("tos.rtd", , "DELTA", ".DGRO201120C43")</f>
        <v>N/A</v>
      </c>
      <c r="N60" t="str">
        <f>RTD("tos.rtd", , "GAMMA", ".DGRO201120C43")</f>
        <v>N/A</v>
      </c>
      <c r="O60" t="str">
        <f>RTD("tos.rtd", , "THETA", ".DGRO201120C43")</f>
        <v>N/A</v>
      </c>
      <c r="P60" t="str">
        <f>RTD("tos.rtd", , "VEGA", ".DGRO201120C43")</f>
        <v>N/A</v>
      </c>
      <c r="Q60" t="str">
        <f>RTD("tos.rtd", , "RHO", ".DGRO201120C43")</f>
        <v>N/A</v>
      </c>
      <c r="R60" t="str">
        <f>RTD("tos.rtd", , "INTRINSIC", ".DGRO201120C43")</f>
        <v>N/A</v>
      </c>
      <c r="S60" t="str">
        <f>RTD("tos.rtd", , "EXTRINSIC", ".DGRO201120C43")</f>
        <v>N/A</v>
      </c>
      <c r="T60" t="str">
        <f>RTD("tos.rtd", , "PROB_OF_EXPIRING", ".DGRO201120C43")</f>
        <v>N/A</v>
      </c>
      <c r="U60" t="str">
        <f>RTD("tos.rtd", , "PROB_OTM", ".DGRO201120C43")</f>
        <v>N/A</v>
      </c>
      <c r="V60" t="str">
        <f>RTD("tos.rtd", , "PROB_OF_TOUCHING", ".DGRO201120C43")</f>
        <v>N/A</v>
      </c>
      <c r="W60" t="str">
        <f>RTD("tos.rtd", , "STRIKE", ".DGRO201120C43")</f>
        <v>N/A</v>
      </c>
    </row>
    <row r="61" spans="1:23" x14ac:dyDescent="0.45">
      <c r="A61" t="s">
        <v>82</v>
      </c>
      <c r="B61" t="str">
        <f>RTD("tos.rtd", , "DESCRIPTION", ".DGRO201120P43")</f>
        <v>N/A</v>
      </c>
      <c r="C61" t="str">
        <f>RTD("tos.rtd", , "PUT_CALL_RATIO", ".DGRO201120P43")</f>
        <v>N/A</v>
      </c>
      <c r="D61" t="str">
        <f>RTD("tos.rtd", , "IMPL_VOL", ".DGRO201120P43")</f>
        <v>N/A</v>
      </c>
      <c r="E61">
        <f>RTD("tos.rtd", , "LAST", ".DGRO201120P43")</f>
        <v>0.7</v>
      </c>
      <c r="F61">
        <f>RTD("tos.rtd", , "VOLUME", ".DGRO201120P43")</f>
        <v>1</v>
      </c>
      <c r="G61">
        <f>RTD("tos.rtd", , "OPEN_INT", ".DGRO201120P43")</f>
        <v>0</v>
      </c>
      <c r="H61">
        <f>RTD("tos.rtd", , "BID", ".DGRO201120P43")</f>
        <v>0.65</v>
      </c>
      <c r="I61">
        <f>RTD("tos.rtd", , "ASK", ".DGRO201120P43")</f>
        <v>1.25</v>
      </c>
      <c r="J61">
        <f>RTD("tos.rtd", , "HIGH", ".DGRO201120P43")</f>
        <v>0.7</v>
      </c>
      <c r="K61">
        <f>RTD("tos.rtd", , "LOW", ".DGRO201120P43")</f>
        <v>0.7</v>
      </c>
      <c r="L61">
        <f>RTD("tos.rtd", , "OPEN", ".DGRO201120P43")</f>
        <v>0.7</v>
      </c>
      <c r="M61" t="str">
        <f>RTD("tos.rtd", , "DELTA", ".DGRO201120P43")</f>
        <v>N/A</v>
      </c>
      <c r="N61" t="str">
        <f>RTD("tos.rtd", , "GAMMA", ".DGRO201120P43")</f>
        <v>N/A</v>
      </c>
      <c r="O61" t="str">
        <f>RTD("tos.rtd", , "THETA", ".DGRO201120P43")</f>
        <v>N/A</v>
      </c>
      <c r="P61" t="str">
        <f>RTD("tos.rtd", , "VEGA", ".DGRO201120P43")</f>
        <v>N/A</v>
      </c>
      <c r="Q61" t="str">
        <f>RTD("tos.rtd", , "RHO", ".DGRO201120P43")</f>
        <v>N/A</v>
      </c>
      <c r="R61" t="str">
        <f>RTD("tos.rtd", , "INTRINSIC", ".DGRO201120P43")</f>
        <v>N/A</v>
      </c>
      <c r="S61" t="str">
        <f>RTD("tos.rtd", , "EXTRINSIC", ".DGRO201120P43")</f>
        <v>N/A</v>
      </c>
      <c r="T61" t="str">
        <f>RTD("tos.rtd", , "PROB_OF_EXPIRING", ".DGRO201120P43")</f>
        <v>N/A</v>
      </c>
      <c r="U61" t="str">
        <f>RTD("tos.rtd", , "PROB_OTM", ".DGRO201120P43")</f>
        <v>N/A</v>
      </c>
      <c r="V61" t="str">
        <f>RTD("tos.rtd", , "PROB_OF_TOUCHING", ".DGRO201120P43")</f>
        <v>N/A</v>
      </c>
      <c r="W61" t="str">
        <f>RTD("tos.rtd", , "STRIKE", ".DGRO201120P43")</f>
        <v>N/A</v>
      </c>
    </row>
    <row r="62" spans="1:23" x14ac:dyDescent="0.45">
      <c r="A62" t="s">
        <v>83</v>
      </c>
      <c r="B62" t="str">
        <f>RTD("tos.rtd", , "DESCRIPTION", "DIA")</f>
        <v>SPDR DOW JONES IND UT SER 1 ETF</v>
      </c>
      <c r="C62">
        <f>RTD("tos.rtd", , "PUT_CALL_RATIO", "DIA")</f>
        <v>2.5870000000000002</v>
      </c>
      <c r="D62" t="str">
        <f>RTD("tos.rtd", , "IMPL_VOL", "DIA")</f>
        <v>25.89%</v>
      </c>
      <c r="E62">
        <f>RTD("tos.rtd", , "LAST", "DIA")</f>
        <v>291.05</v>
      </c>
      <c r="F62">
        <f>RTD("tos.rtd", , "VOLUME", "DIA")</f>
        <v>4401456</v>
      </c>
      <c r="G62">
        <f>RTD("tos.rtd", , "OPEN_INT", "DIA")</f>
        <v>0</v>
      </c>
      <c r="H62">
        <f>RTD("tos.rtd", , "BID", "DIA")</f>
        <v>290.7</v>
      </c>
      <c r="I62">
        <f>RTD("tos.rtd", , "ASK", "DIA")</f>
        <v>290.95999999999998</v>
      </c>
      <c r="J62">
        <f>RTD("tos.rtd", , "HIGH", "DIA")</f>
        <v>293.32</v>
      </c>
      <c r="K62">
        <f>RTD("tos.rtd", , "LOW", "DIA")</f>
        <v>289.19</v>
      </c>
      <c r="L62">
        <f>RTD("tos.rtd", , "OPEN", "DIA")</f>
        <v>292.22000000000003</v>
      </c>
      <c r="M62">
        <f>RTD("tos.rtd", , "DELTA", "DIA")</f>
        <v>1</v>
      </c>
      <c r="N62">
        <f>RTD("tos.rtd", , "GAMMA", "DIA")</f>
        <v>0</v>
      </c>
      <c r="O62">
        <f>RTD("tos.rtd", , "THETA", "DIA")</f>
        <v>0</v>
      </c>
      <c r="P62">
        <f>RTD("tos.rtd", , "VEGA", "DIA")</f>
        <v>0</v>
      </c>
      <c r="Q62">
        <f>RTD("tos.rtd", , "RHO", "DIA")</f>
        <v>0</v>
      </c>
      <c r="R62" t="str">
        <f>RTD("tos.rtd", , "INTRINSIC", "DIA")</f>
        <v>N/A</v>
      </c>
      <c r="S62" t="str">
        <f>RTD("tos.rtd", , "EXTRINSIC", "DIA")</f>
        <v>N/A</v>
      </c>
      <c r="T62" t="str">
        <f>RTD("tos.rtd", , "PROB_OF_EXPIRING", "DIA")</f>
        <v>N/A</v>
      </c>
      <c r="U62" t="str">
        <f>RTD("tos.rtd", , "PROB_OTM", "DIA")</f>
        <v>N/A</v>
      </c>
      <c r="V62" t="str">
        <f>RTD("tos.rtd", , "PROB_OF_TOUCHING", "DIA")</f>
        <v>N/A</v>
      </c>
      <c r="W62" t="str">
        <f>RTD("tos.rtd", , "STRIKE", "DIA")</f>
        <v>N/A</v>
      </c>
    </row>
    <row r="63" spans="1:23" x14ac:dyDescent="0.45">
      <c r="A63" t="s">
        <v>84</v>
      </c>
      <c r="B63" t="str">
        <f>RTD("tos.rtd", , "DESCRIPTION", ".DIA201120C291")</f>
        <v>N/A</v>
      </c>
      <c r="C63" t="str">
        <f>RTD("tos.rtd", , "PUT_CALL_RATIO", ".DIA201120C291")</f>
        <v>N/A</v>
      </c>
      <c r="D63" t="str">
        <f>RTD("tos.rtd", , "IMPL_VOL", ".DIA201120C291")</f>
        <v>N/A</v>
      </c>
      <c r="E63">
        <f>RTD("tos.rtd", , "LAST", ".DIA201120C291")</f>
        <v>3.75</v>
      </c>
      <c r="F63">
        <f>RTD("tos.rtd", , "VOLUME", ".DIA201120C291")</f>
        <v>437</v>
      </c>
      <c r="G63">
        <f>RTD("tos.rtd", , "OPEN_INT", ".DIA201120C291")</f>
        <v>663</v>
      </c>
      <c r="H63">
        <f>RTD("tos.rtd", , "BID", ".DIA201120C291")</f>
        <v>3.8</v>
      </c>
      <c r="I63">
        <f>RTD("tos.rtd", , "ASK", ".DIA201120C291")</f>
        <v>4.2</v>
      </c>
      <c r="J63">
        <f>RTD("tos.rtd", , "HIGH", ".DIA201120C291")</f>
        <v>4.75</v>
      </c>
      <c r="K63">
        <f>RTD("tos.rtd", , "LOW", ".DIA201120C291")</f>
        <v>3.1</v>
      </c>
      <c r="L63">
        <f>RTD("tos.rtd", , "OPEN", ".DIA201120C291")</f>
        <v>4.2</v>
      </c>
      <c r="M63" t="str">
        <f>RTD("tos.rtd", , "DELTA", ".DIA201120C291")</f>
        <v>N/A</v>
      </c>
      <c r="N63" t="str">
        <f>RTD("tos.rtd", , "GAMMA", ".DIA201120C291")</f>
        <v>N/A</v>
      </c>
      <c r="O63" t="str">
        <f>RTD("tos.rtd", , "THETA", ".DIA201120C291")</f>
        <v>N/A</v>
      </c>
      <c r="P63" t="str">
        <f>RTD("tos.rtd", , "VEGA", ".DIA201120C291")</f>
        <v>N/A</v>
      </c>
      <c r="Q63" t="str">
        <f>RTD("tos.rtd", , "RHO", ".DIA201120C291")</f>
        <v>N/A</v>
      </c>
      <c r="R63" t="str">
        <f>RTD("tos.rtd", , "INTRINSIC", ".DIA201120C291")</f>
        <v>N/A</v>
      </c>
      <c r="S63" t="str">
        <f>RTD("tos.rtd", , "EXTRINSIC", ".DIA201120C291")</f>
        <v>N/A</v>
      </c>
      <c r="T63" t="str">
        <f>RTD("tos.rtd", , "PROB_OF_EXPIRING", ".DIA201120C291")</f>
        <v>N/A</v>
      </c>
      <c r="U63" t="str">
        <f>RTD("tos.rtd", , "PROB_OTM", ".DIA201120C291")</f>
        <v>N/A</v>
      </c>
      <c r="V63" t="str">
        <f>RTD("tos.rtd", , "PROB_OF_TOUCHING", ".DIA201120C291")</f>
        <v>N/A</v>
      </c>
      <c r="W63" t="str">
        <f>RTD("tos.rtd", , "STRIKE", ".DIA201120C291")</f>
        <v>N/A</v>
      </c>
    </row>
    <row r="64" spans="1:23" x14ac:dyDescent="0.45">
      <c r="A64" t="s">
        <v>85</v>
      </c>
      <c r="B64" t="str">
        <f>RTD("tos.rtd", , "DESCRIPTION", ".DIA201120P291")</f>
        <v>N/A</v>
      </c>
      <c r="C64" t="str">
        <f>RTD("tos.rtd", , "PUT_CALL_RATIO", ".DIA201120P291")</f>
        <v>N/A</v>
      </c>
      <c r="D64" t="str">
        <f>RTD("tos.rtd", , "IMPL_VOL", ".DIA201120P291")</f>
        <v>N/A</v>
      </c>
      <c r="E64">
        <f>RTD("tos.rtd", , "LAST", ".DIA201120P291")</f>
        <v>4.3499999999999996</v>
      </c>
      <c r="F64">
        <f>RTD("tos.rtd", , "VOLUME", ".DIA201120P291")</f>
        <v>1006</v>
      </c>
      <c r="G64">
        <f>RTD("tos.rtd", , "OPEN_INT", ".DIA201120P291")</f>
        <v>364</v>
      </c>
      <c r="H64">
        <f>RTD("tos.rtd", , "BID", ".DIA201120P291")</f>
        <v>3.55</v>
      </c>
      <c r="I64">
        <f>RTD("tos.rtd", , "ASK", ".DIA201120P291")</f>
        <v>3.95</v>
      </c>
      <c r="J64">
        <f>RTD("tos.rtd", , "HIGH", ".DIA201120P291")</f>
        <v>5.25</v>
      </c>
      <c r="K64">
        <f>RTD("tos.rtd", , "LOW", ".DIA201120P291")</f>
        <v>2.94</v>
      </c>
      <c r="L64">
        <f>RTD("tos.rtd", , "OPEN", ".DIA201120P291")</f>
        <v>3.26</v>
      </c>
      <c r="M64" t="str">
        <f>RTD("tos.rtd", , "DELTA", ".DIA201120P291")</f>
        <v>N/A</v>
      </c>
      <c r="N64" t="str">
        <f>RTD("tos.rtd", , "GAMMA", ".DIA201120P291")</f>
        <v>N/A</v>
      </c>
      <c r="O64" t="str">
        <f>RTD("tos.rtd", , "THETA", ".DIA201120P291")</f>
        <v>N/A</v>
      </c>
      <c r="P64" t="str">
        <f>RTD("tos.rtd", , "VEGA", ".DIA201120P291")</f>
        <v>N/A</v>
      </c>
      <c r="Q64" t="str">
        <f>RTD("tos.rtd", , "RHO", ".DIA201120P291")</f>
        <v>N/A</v>
      </c>
      <c r="R64" t="str">
        <f>RTD("tos.rtd", , "INTRINSIC", ".DIA201120P291")</f>
        <v>N/A</v>
      </c>
      <c r="S64" t="str">
        <f>RTD("tos.rtd", , "EXTRINSIC", ".DIA201120P291")</f>
        <v>N/A</v>
      </c>
      <c r="T64" t="str">
        <f>RTD("tos.rtd", , "PROB_OF_EXPIRING", ".DIA201120P291")</f>
        <v>N/A</v>
      </c>
      <c r="U64" t="str">
        <f>RTD("tos.rtd", , "PROB_OTM", ".DIA201120P291")</f>
        <v>N/A</v>
      </c>
      <c r="V64" t="str">
        <f>RTD("tos.rtd", , "PROB_OF_TOUCHING", ".DIA201120P291")</f>
        <v>N/A</v>
      </c>
      <c r="W64" t="str">
        <f>RTD("tos.rtd", , "STRIKE", ".DIA201120P291")</f>
        <v>N/A</v>
      </c>
    </row>
    <row r="65" spans="1:23" x14ac:dyDescent="0.45">
      <c r="A65" t="s">
        <v>86</v>
      </c>
      <c r="B65" t="str">
        <f>RTD("tos.rtd", , "DESCRIPTION", ".DIA201120C292")</f>
        <v>N/A</v>
      </c>
      <c r="C65" t="str">
        <f>RTD("tos.rtd", , "PUT_CALL_RATIO", ".DIA201120C292")</f>
        <v>N/A</v>
      </c>
      <c r="D65" t="str">
        <f>RTD("tos.rtd", , "IMPL_VOL", ".DIA201120C292")</f>
        <v>N/A</v>
      </c>
      <c r="E65">
        <f>RTD("tos.rtd", , "LAST", ".DIA201120C292")</f>
        <v>3.7</v>
      </c>
      <c r="F65">
        <f>RTD("tos.rtd", , "VOLUME", ".DIA201120C292")</f>
        <v>1040</v>
      </c>
      <c r="G65">
        <f>RTD("tos.rtd", , "OPEN_INT", ".DIA201120C292")</f>
        <v>350</v>
      </c>
      <c r="H65">
        <f>RTD("tos.rtd", , "BID", ".DIA201120C292")</f>
        <v>3.25</v>
      </c>
      <c r="I65">
        <f>RTD("tos.rtd", , "ASK", ".DIA201120C292")</f>
        <v>3.6</v>
      </c>
      <c r="J65">
        <f>RTD("tos.rtd", , "HIGH", ".DIA201120C292")</f>
        <v>4.17</v>
      </c>
      <c r="K65">
        <f>RTD("tos.rtd", , "LOW", ".DIA201120C292")</f>
        <v>2.66</v>
      </c>
      <c r="L65">
        <f>RTD("tos.rtd", , "OPEN", ".DIA201120C292")</f>
        <v>3.85</v>
      </c>
      <c r="M65" t="str">
        <f>RTD("tos.rtd", , "DELTA", ".DIA201120C292")</f>
        <v>N/A</v>
      </c>
      <c r="N65" t="str">
        <f>RTD("tos.rtd", , "GAMMA", ".DIA201120C292")</f>
        <v>N/A</v>
      </c>
      <c r="O65" t="str">
        <f>RTD("tos.rtd", , "THETA", ".DIA201120C292")</f>
        <v>N/A</v>
      </c>
      <c r="P65" t="str">
        <f>RTD("tos.rtd", , "VEGA", ".DIA201120C292")</f>
        <v>N/A</v>
      </c>
      <c r="Q65" t="str">
        <f>RTD("tos.rtd", , "RHO", ".DIA201120C292")</f>
        <v>N/A</v>
      </c>
      <c r="R65" t="str">
        <f>RTD("tos.rtd", , "INTRINSIC", ".DIA201120C292")</f>
        <v>N/A</v>
      </c>
      <c r="S65" t="str">
        <f>RTD("tos.rtd", , "EXTRINSIC", ".DIA201120C292")</f>
        <v>N/A</v>
      </c>
      <c r="T65" t="str">
        <f>RTD("tos.rtd", , "PROB_OF_EXPIRING", ".DIA201120C292")</f>
        <v>N/A</v>
      </c>
      <c r="U65" t="str">
        <f>RTD("tos.rtd", , "PROB_OTM", ".DIA201120C292")</f>
        <v>N/A</v>
      </c>
      <c r="V65" t="str">
        <f>RTD("tos.rtd", , "PROB_OF_TOUCHING", ".DIA201120C292")</f>
        <v>N/A</v>
      </c>
      <c r="W65" t="str">
        <f>RTD("tos.rtd", , "STRIKE", ".DIA201120C292")</f>
        <v>N/A</v>
      </c>
    </row>
    <row r="66" spans="1:23" x14ac:dyDescent="0.45">
      <c r="A66" t="s">
        <v>87</v>
      </c>
      <c r="B66" t="str">
        <f>RTD("tos.rtd", , "DESCRIPTION", ".DIA201120P292")</f>
        <v>N/A</v>
      </c>
      <c r="C66" t="str">
        <f>RTD("tos.rtd", , "PUT_CALL_RATIO", ".DIA201120P292")</f>
        <v>N/A</v>
      </c>
      <c r="D66" t="str">
        <f>RTD("tos.rtd", , "IMPL_VOL", ".DIA201120P292")</f>
        <v>N/A</v>
      </c>
      <c r="E66">
        <f>RTD("tos.rtd", , "LAST", ".DIA201120P292")</f>
        <v>3.85</v>
      </c>
      <c r="F66">
        <f>RTD("tos.rtd", , "VOLUME", ".DIA201120P292")</f>
        <v>960</v>
      </c>
      <c r="G66">
        <f>RTD("tos.rtd", , "OPEN_INT", ".DIA201120P292")</f>
        <v>164</v>
      </c>
      <c r="H66">
        <f>RTD("tos.rtd", , "BID", ".DIA201120P292")</f>
        <v>4</v>
      </c>
      <c r="I66">
        <f>RTD("tos.rtd", , "ASK", ".DIA201120P292")</f>
        <v>4.4000000000000004</v>
      </c>
      <c r="J66">
        <f>RTD("tos.rtd", , "HIGH", ".DIA201120P292")</f>
        <v>5.85</v>
      </c>
      <c r="K66">
        <f>RTD("tos.rtd", , "LOW", ".DIA201120P292")</f>
        <v>3.3</v>
      </c>
      <c r="L66">
        <f>RTD("tos.rtd", , "OPEN", ".DIA201120P292")</f>
        <v>3.78</v>
      </c>
      <c r="M66" t="str">
        <f>RTD("tos.rtd", , "DELTA", ".DIA201120P292")</f>
        <v>N/A</v>
      </c>
      <c r="N66" t="str">
        <f>RTD("tos.rtd", , "GAMMA", ".DIA201120P292")</f>
        <v>N/A</v>
      </c>
      <c r="O66" t="str">
        <f>RTD("tos.rtd", , "THETA", ".DIA201120P292")</f>
        <v>N/A</v>
      </c>
      <c r="P66" t="str">
        <f>RTD("tos.rtd", , "VEGA", ".DIA201120P292")</f>
        <v>N/A</v>
      </c>
      <c r="Q66" t="str">
        <f>RTD("tos.rtd", , "RHO", ".DIA201120P292")</f>
        <v>N/A</v>
      </c>
      <c r="R66" t="str">
        <f>RTD("tos.rtd", , "INTRINSIC", ".DIA201120P292")</f>
        <v>N/A</v>
      </c>
      <c r="S66" t="str">
        <f>RTD("tos.rtd", , "EXTRINSIC", ".DIA201120P292")</f>
        <v>N/A</v>
      </c>
      <c r="T66" t="str">
        <f>RTD("tos.rtd", , "PROB_OF_EXPIRING", ".DIA201120P292")</f>
        <v>N/A</v>
      </c>
      <c r="U66" t="str">
        <f>RTD("tos.rtd", , "PROB_OTM", ".DIA201120P292")</f>
        <v>N/A</v>
      </c>
      <c r="V66" t="str">
        <f>RTD("tos.rtd", , "PROB_OF_TOUCHING", ".DIA201120P292")</f>
        <v>N/A</v>
      </c>
      <c r="W66" t="str">
        <f>RTD("tos.rtd", , "STRIKE", ".DIA201120P292")</f>
        <v>N/A</v>
      </c>
    </row>
    <row r="67" spans="1:23" x14ac:dyDescent="0.45">
      <c r="A67" t="s">
        <v>88</v>
      </c>
      <c r="B67" t="str">
        <f>RTD("tos.rtd", , "DESCRIPTION", ".DIA201120C292.5")</f>
        <v>N/A</v>
      </c>
      <c r="C67" t="str">
        <f>RTD("tos.rtd", , "PUT_CALL_RATIO", ".DIA201120C292.5")</f>
        <v>N/A</v>
      </c>
      <c r="D67" t="str">
        <f>RTD("tos.rtd", , "IMPL_VOL", ".DIA201120C292.5")</f>
        <v>N/A</v>
      </c>
      <c r="E67">
        <f>RTD("tos.rtd", , "LAST", ".DIA201120C292.5")</f>
        <v>2.54</v>
      </c>
      <c r="F67">
        <f>RTD("tos.rtd", , "VOLUME", ".DIA201120C292.5")</f>
        <v>343</v>
      </c>
      <c r="G67">
        <f>RTD("tos.rtd", , "OPEN_INT", ".DIA201120C292.5")</f>
        <v>122</v>
      </c>
      <c r="H67">
        <f>RTD("tos.rtd", , "BID", ".DIA201120C292.5")</f>
        <v>3</v>
      </c>
      <c r="I67">
        <f>RTD("tos.rtd", , "ASK", ".DIA201120C292.5")</f>
        <v>3.35</v>
      </c>
      <c r="J67">
        <f>RTD("tos.rtd", , "HIGH", ".DIA201120C292.5")</f>
        <v>3.85</v>
      </c>
      <c r="K67">
        <f>RTD("tos.rtd", , "LOW", ".DIA201120C292.5")</f>
        <v>2.4900000000000002</v>
      </c>
      <c r="L67">
        <f>RTD("tos.rtd", , "OPEN", ".DIA201120C292.5")</f>
        <v>3.5</v>
      </c>
      <c r="M67" t="str">
        <f>RTD("tos.rtd", , "DELTA", ".DIA201120C292.5")</f>
        <v>N/A</v>
      </c>
      <c r="N67" t="str">
        <f>RTD("tos.rtd", , "GAMMA", ".DIA201120C292.5")</f>
        <v>N/A</v>
      </c>
      <c r="O67" t="str">
        <f>RTD("tos.rtd", , "THETA", ".DIA201120C292.5")</f>
        <v>N/A</v>
      </c>
      <c r="P67" t="str">
        <f>RTD("tos.rtd", , "VEGA", ".DIA201120C292.5")</f>
        <v>N/A</v>
      </c>
      <c r="Q67" t="str">
        <f>RTD("tos.rtd", , "RHO", ".DIA201120C292.5")</f>
        <v>N/A</v>
      </c>
      <c r="R67" t="str">
        <f>RTD("tos.rtd", , "INTRINSIC", ".DIA201120C292.5")</f>
        <v>N/A</v>
      </c>
      <c r="S67" t="str">
        <f>RTD("tos.rtd", , "EXTRINSIC", ".DIA201120C292.5")</f>
        <v>N/A</v>
      </c>
      <c r="T67" t="str">
        <f>RTD("tos.rtd", , "PROB_OF_EXPIRING", ".DIA201120C292.5")</f>
        <v>N/A</v>
      </c>
      <c r="U67" t="str">
        <f>RTD("tos.rtd", , "PROB_OTM", ".DIA201120C292.5")</f>
        <v>N/A</v>
      </c>
      <c r="V67" t="str">
        <f>RTD("tos.rtd", , "PROB_OF_TOUCHING", ".DIA201120C292.5")</f>
        <v>N/A</v>
      </c>
      <c r="W67" t="str">
        <f>RTD("tos.rtd", , "STRIKE", ".DIA201120C292.5")</f>
        <v>N/A</v>
      </c>
    </row>
    <row r="68" spans="1:23" x14ac:dyDescent="0.45">
      <c r="A68" t="s">
        <v>89</v>
      </c>
      <c r="B68" t="str">
        <f>RTD("tos.rtd", , "DESCRIPTION", ".DIA201120P292.5")</f>
        <v>N/A</v>
      </c>
      <c r="C68" t="str">
        <f>RTD("tos.rtd", , "PUT_CALL_RATIO", ".DIA201120P292.5")</f>
        <v>N/A</v>
      </c>
      <c r="D68" t="str">
        <f>RTD("tos.rtd", , "IMPL_VOL", ".DIA201120P292.5")</f>
        <v>N/A</v>
      </c>
      <c r="E68">
        <f>RTD("tos.rtd", , "LAST", ".DIA201120P292.5")</f>
        <v>5.31</v>
      </c>
      <c r="F68">
        <f>RTD("tos.rtd", , "VOLUME", ".DIA201120P292.5")</f>
        <v>240</v>
      </c>
      <c r="G68">
        <f>RTD("tos.rtd", , "OPEN_INT", ".DIA201120P292.5")</f>
        <v>74</v>
      </c>
      <c r="H68">
        <f>RTD("tos.rtd", , "BID", ".DIA201120P292.5")</f>
        <v>4.25</v>
      </c>
      <c r="I68">
        <f>RTD("tos.rtd", , "ASK", ".DIA201120P292.5")</f>
        <v>4.5999999999999996</v>
      </c>
      <c r="J68">
        <f>RTD("tos.rtd", , "HIGH", ".DIA201120P292.5")</f>
        <v>6</v>
      </c>
      <c r="K68">
        <f>RTD("tos.rtd", , "LOW", ".DIA201120P292.5")</f>
        <v>3.5</v>
      </c>
      <c r="L68">
        <f>RTD("tos.rtd", , "OPEN", ".DIA201120P292.5")</f>
        <v>4</v>
      </c>
      <c r="M68" t="str">
        <f>RTD("tos.rtd", , "DELTA", ".DIA201120P292.5")</f>
        <v>N/A</v>
      </c>
      <c r="N68" t="str">
        <f>RTD("tos.rtd", , "GAMMA", ".DIA201120P292.5")</f>
        <v>N/A</v>
      </c>
      <c r="O68" t="str">
        <f>RTD("tos.rtd", , "THETA", ".DIA201120P292.5")</f>
        <v>N/A</v>
      </c>
      <c r="P68" t="str">
        <f>RTD("tos.rtd", , "VEGA", ".DIA201120P292.5")</f>
        <v>N/A</v>
      </c>
      <c r="Q68" t="str">
        <f>RTD("tos.rtd", , "RHO", ".DIA201120P292.5")</f>
        <v>N/A</v>
      </c>
      <c r="R68" t="str">
        <f>RTD("tos.rtd", , "INTRINSIC", ".DIA201120P292.5")</f>
        <v>N/A</v>
      </c>
      <c r="S68" t="str">
        <f>RTD("tos.rtd", , "EXTRINSIC", ".DIA201120P292.5")</f>
        <v>N/A</v>
      </c>
      <c r="T68" t="str">
        <f>RTD("tos.rtd", , "PROB_OF_EXPIRING", ".DIA201120P292.5")</f>
        <v>N/A</v>
      </c>
      <c r="U68" t="str">
        <f>RTD("tos.rtd", , "PROB_OTM", ".DIA201120P292.5")</f>
        <v>N/A</v>
      </c>
      <c r="V68" t="str">
        <f>RTD("tos.rtd", , "PROB_OF_TOUCHING", ".DIA201120P292.5")</f>
        <v>N/A</v>
      </c>
      <c r="W68" t="str">
        <f>RTD("tos.rtd", , "STRIKE", ".DIA201120P292.5")</f>
        <v>N/A</v>
      </c>
    </row>
    <row r="69" spans="1:23" x14ac:dyDescent="0.45">
      <c r="A69" t="s">
        <v>90</v>
      </c>
      <c r="B69" t="str">
        <f>RTD("tos.rtd", , "DESCRIPTION", ".DIA201120C293")</f>
        <v>N/A</v>
      </c>
      <c r="C69" t="str">
        <f>RTD("tos.rtd", , "PUT_CALL_RATIO", ".DIA201120C293")</f>
        <v>N/A</v>
      </c>
      <c r="D69" t="str">
        <f>RTD("tos.rtd", , "IMPL_VOL", ".DIA201120C293")</f>
        <v>N/A</v>
      </c>
      <c r="E69">
        <f>RTD("tos.rtd", , "LAST", ".DIA201120C293")</f>
        <v>2.71</v>
      </c>
      <c r="F69">
        <f>RTD("tos.rtd", , "VOLUME", ".DIA201120C293")</f>
        <v>296</v>
      </c>
      <c r="G69">
        <f>RTD("tos.rtd", , "OPEN_INT", ".DIA201120C293")</f>
        <v>523</v>
      </c>
      <c r="H69">
        <f>RTD("tos.rtd", , "BID", ".DIA201120C293")</f>
        <v>2.75</v>
      </c>
      <c r="I69">
        <f>RTD("tos.rtd", , "ASK", ".DIA201120C293")</f>
        <v>3.05</v>
      </c>
      <c r="J69">
        <f>RTD("tos.rtd", , "HIGH", ".DIA201120C293")</f>
        <v>3.6</v>
      </c>
      <c r="K69">
        <f>RTD("tos.rtd", , "LOW", ".DIA201120C293")</f>
        <v>2.2000000000000002</v>
      </c>
      <c r="L69">
        <f>RTD("tos.rtd", , "OPEN", ".DIA201120C293")</f>
        <v>3.28</v>
      </c>
      <c r="M69" t="str">
        <f>RTD("tos.rtd", , "DELTA", ".DIA201120C293")</f>
        <v>N/A</v>
      </c>
      <c r="N69" t="str">
        <f>RTD("tos.rtd", , "GAMMA", ".DIA201120C293")</f>
        <v>N/A</v>
      </c>
      <c r="O69" t="str">
        <f>RTD("tos.rtd", , "THETA", ".DIA201120C293")</f>
        <v>N/A</v>
      </c>
      <c r="P69" t="str">
        <f>RTD("tos.rtd", , "VEGA", ".DIA201120C293")</f>
        <v>N/A</v>
      </c>
      <c r="Q69" t="str">
        <f>RTD("tos.rtd", , "RHO", ".DIA201120C293")</f>
        <v>N/A</v>
      </c>
      <c r="R69" t="str">
        <f>RTD("tos.rtd", , "INTRINSIC", ".DIA201120C293")</f>
        <v>N/A</v>
      </c>
      <c r="S69" t="str">
        <f>RTD("tos.rtd", , "EXTRINSIC", ".DIA201120C293")</f>
        <v>N/A</v>
      </c>
      <c r="T69" t="str">
        <f>RTD("tos.rtd", , "PROB_OF_EXPIRING", ".DIA201120C293")</f>
        <v>N/A</v>
      </c>
      <c r="U69" t="str">
        <f>RTD("tos.rtd", , "PROB_OTM", ".DIA201120C293")</f>
        <v>N/A</v>
      </c>
      <c r="V69" t="str">
        <f>RTD("tos.rtd", , "PROB_OF_TOUCHING", ".DIA201120C293")</f>
        <v>N/A</v>
      </c>
      <c r="W69" t="str">
        <f>RTD("tos.rtd", , "STRIKE", ".DIA201120C293")</f>
        <v>N/A</v>
      </c>
    </row>
    <row r="70" spans="1:23" x14ac:dyDescent="0.45">
      <c r="A70" t="s">
        <v>91</v>
      </c>
      <c r="B70" t="str">
        <f>RTD("tos.rtd", , "DESCRIPTION", ".DIA201120P293")</f>
        <v>N/A</v>
      </c>
      <c r="C70" t="str">
        <f>RTD("tos.rtd", , "PUT_CALL_RATIO", ".DIA201120P293")</f>
        <v>N/A</v>
      </c>
      <c r="D70" t="str">
        <f>RTD("tos.rtd", , "IMPL_VOL", ".DIA201120P293")</f>
        <v>N/A</v>
      </c>
      <c r="E70">
        <f>RTD("tos.rtd", , "LAST", ".DIA201120P293")</f>
        <v>5.45</v>
      </c>
      <c r="F70">
        <f>RTD("tos.rtd", , "VOLUME", ".DIA201120P293")</f>
        <v>243</v>
      </c>
      <c r="G70">
        <f>RTD("tos.rtd", , "OPEN_INT", ".DIA201120P293")</f>
        <v>302</v>
      </c>
      <c r="H70">
        <f>RTD("tos.rtd", , "BID", ".DIA201120P293")</f>
        <v>4.5</v>
      </c>
      <c r="I70">
        <f>RTD("tos.rtd", , "ASK", ".DIA201120P293")</f>
        <v>4.9000000000000004</v>
      </c>
      <c r="J70">
        <f>RTD("tos.rtd", , "HIGH", ".DIA201120P293")</f>
        <v>6.4</v>
      </c>
      <c r="K70">
        <f>RTD("tos.rtd", , "LOW", ".DIA201120P293")</f>
        <v>3.75</v>
      </c>
      <c r="L70">
        <f>RTD("tos.rtd", , "OPEN", ".DIA201120P293")</f>
        <v>4.25</v>
      </c>
      <c r="M70" t="str">
        <f>RTD("tos.rtd", , "DELTA", ".DIA201120P293")</f>
        <v>N/A</v>
      </c>
      <c r="N70" t="str">
        <f>RTD("tos.rtd", , "GAMMA", ".DIA201120P293")</f>
        <v>N/A</v>
      </c>
      <c r="O70" t="str">
        <f>RTD("tos.rtd", , "THETA", ".DIA201120P293")</f>
        <v>N/A</v>
      </c>
      <c r="P70" t="str">
        <f>RTD("tos.rtd", , "VEGA", ".DIA201120P293")</f>
        <v>N/A</v>
      </c>
      <c r="Q70" t="str">
        <f>RTD("tos.rtd", , "RHO", ".DIA201120P293")</f>
        <v>N/A</v>
      </c>
      <c r="R70" t="str">
        <f>RTD("tos.rtd", , "INTRINSIC", ".DIA201120P293")</f>
        <v>N/A</v>
      </c>
      <c r="S70" t="str">
        <f>RTD("tos.rtd", , "EXTRINSIC", ".DIA201120P293")</f>
        <v>N/A</v>
      </c>
      <c r="T70" t="str">
        <f>RTD("tos.rtd", , "PROB_OF_EXPIRING", ".DIA201120P293")</f>
        <v>N/A</v>
      </c>
      <c r="U70" t="str">
        <f>RTD("tos.rtd", , "PROB_OTM", ".DIA201120P293")</f>
        <v>N/A</v>
      </c>
      <c r="V70" t="str">
        <f>RTD("tos.rtd", , "PROB_OF_TOUCHING", ".DIA201120P293")</f>
        <v>N/A</v>
      </c>
      <c r="W70" t="str">
        <f>RTD("tos.rtd", , "STRIKE", ".DIA201120P293")</f>
        <v>N/A</v>
      </c>
    </row>
    <row r="71" spans="1:23" x14ac:dyDescent="0.45">
      <c r="A71" t="s">
        <v>92</v>
      </c>
      <c r="B71" t="str">
        <f>RTD("tos.rtd", , "DESCRIPTION", ".DIA201120C294")</f>
        <v>N/A</v>
      </c>
      <c r="C71" t="str">
        <f>RTD("tos.rtd", , "PUT_CALL_RATIO", ".DIA201120C294")</f>
        <v>N/A</v>
      </c>
      <c r="D71" t="str">
        <f>RTD("tos.rtd", , "IMPL_VOL", ".DIA201120C294")</f>
        <v>N/A</v>
      </c>
      <c r="E71">
        <f>RTD("tos.rtd", , "LAST", ".DIA201120C294")</f>
        <v>2.21</v>
      </c>
      <c r="F71">
        <f>RTD("tos.rtd", , "VOLUME", ".DIA201120C294")</f>
        <v>472</v>
      </c>
      <c r="G71">
        <f>RTD("tos.rtd", , "OPEN_INT", ".DIA201120C294")</f>
        <v>262</v>
      </c>
      <c r="H71">
        <f>RTD("tos.rtd", , "BID", ".DIA201120C294")</f>
        <v>2.4</v>
      </c>
      <c r="I71">
        <f>RTD("tos.rtd", , "ASK", ".DIA201120C294")</f>
        <v>2.57</v>
      </c>
      <c r="J71">
        <f>RTD("tos.rtd", , "HIGH", ".DIA201120C294")</f>
        <v>3.03</v>
      </c>
      <c r="K71">
        <f>RTD("tos.rtd", , "LOW", ".DIA201120C294")</f>
        <v>1.87</v>
      </c>
      <c r="L71">
        <f>RTD("tos.rtd", , "OPEN", ".DIA201120C294")</f>
        <v>2.8</v>
      </c>
      <c r="M71" t="str">
        <f>RTD("tos.rtd", , "DELTA", ".DIA201120C294")</f>
        <v>N/A</v>
      </c>
      <c r="N71" t="str">
        <f>RTD("tos.rtd", , "GAMMA", ".DIA201120C294")</f>
        <v>N/A</v>
      </c>
      <c r="O71" t="str">
        <f>RTD("tos.rtd", , "THETA", ".DIA201120C294")</f>
        <v>N/A</v>
      </c>
      <c r="P71" t="str">
        <f>RTD("tos.rtd", , "VEGA", ".DIA201120C294")</f>
        <v>N/A</v>
      </c>
      <c r="Q71" t="str">
        <f>RTD("tos.rtd", , "RHO", ".DIA201120C294")</f>
        <v>N/A</v>
      </c>
      <c r="R71" t="str">
        <f>RTD("tos.rtd", , "INTRINSIC", ".DIA201120C294")</f>
        <v>N/A</v>
      </c>
      <c r="S71" t="str">
        <f>RTD("tos.rtd", , "EXTRINSIC", ".DIA201120C294")</f>
        <v>N/A</v>
      </c>
      <c r="T71" t="str">
        <f>RTD("tos.rtd", , "PROB_OF_EXPIRING", ".DIA201120C294")</f>
        <v>N/A</v>
      </c>
      <c r="U71" t="str">
        <f>RTD("tos.rtd", , "PROB_OTM", ".DIA201120C294")</f>
        <v>N/A</v>
      </c>
      <c r="V71" t="str">
        <f>RTD("tos.rtd", , "PROB_OF_TOUCHING", ".DIA201120C294")</f>
        <v>N/A</v>
      </c>
      <c r="W71" t="str">
        <f>RTD("tos.rtd", , "STRIKE", ".DIA201120C294")</f>
        <v>N/A</v>
      </c>
    </row>
    <row r="72" spans="1:23" x14ac:dyDescent="0.45">
      <c r="A72" t="s">
        <v>93</v>
      </c>
      <c r="B72" t="str">
        <f>RTD("tos.rtd", , "DESCRIPTION", ".DIA201120P294")</f>
        <v>N/A</v>
      </c>
      <c r="C72" t="str">
        <f>RTD("tos.rtd", , "PUT_CALL_RATIO", ".DIA201120P294")</f>
        <v>N/A</v>
      </c>
      <c r="D72" t="str">
        <f>RTD("tos.rtd", , "IMPL_VOL", ".DIA201120P294")</f>
        <v>N/A</v>
      </c>
      <c r="E72">
        <f>RTD("tos.rtd", , "LAST", ".DIA201120P294")</f>
        <v>6.2</v>
      </c>
      <c r="F72">
        <f>RTD("tos.rtd", , "VOLUME", ".DIA201120P294")</f>
        <v>293</v>
      </c>
      <c r="G72">
        <f>RTD("tos.rtd", , "OPEN_INT", ".DIA201120P294")</f>
        <v>787</v>
      </c>
      <c r="H72">
        <f>RTD("tos.rtd", , "BID", ".DIA201120P294")</f>
        <v>5.05</v>
      </c>
      <c r="I72">
        <f>RTD("tos.rtd", , "ASK", ".DIA201120P294")</f>
        <v>5.5</v>
      </c>
      <c r="J72">
        <f>RTD("tos.rtd", , "HIGH", ".DIA201120P294")</f>
        <v>7.1</v>
      </c>
      <c r="K72">
        <f>RTD("tos.rtd", , "LOW", ".DIA201120P294")</f>
        <v>4.22</v>
      </c>
      <c r="L72">
        <f>RTD("tos.rtd", , "OPEN", ".DIA201120P294")</f>
        <v>5</v>
      </c>
      <c r="M72" t="str">
        <f>RTD("tos.rtd", , "DELTA", ".DIA201120P294")</f>
        <v>N/A</v>
      </c>
      <c r="N72" t="str">
        <f>RTD("tos.rtd", , "GAMMA", ".DIA201120P294")</f>
        <v>N/A</v>
      </c>
      <c r="O72" t="str">
        <f>RTD("tos.rtd", , "THETA", ".DIA201120P294")</f>
        <v>N/A</v>
      </c>
      <c r="P72" t="str">
        <f>RTD("tos.rtd", , "VEGA", ".DIA201120P294")</f>
        <v>N/A</v>
      </c>
      <c r="Q72" t="str">
        <f>RTD("tos.rtd", , "RHO", ".DIA201120P294")</f>
        <v>N/A</v>
      </c>
      <c r="R72" t="str">
        <f>RTD("tos.rtd", , "INTRINSIC", ".DIA201120P294")</f>
        <v>N/A</v>
      </c>
      <c r="S72" t="str">
        <f>RTD("tos.rtd", , "EXTRINSIC", ".DIA201120P294")</f>
        <v>N/A</v>
      </c>
      <c r="T72" t="str">
        <f>RTD("tos.rtd", , "PROB_OF_EXPIRING", ".DIA201120P294")</f>
        <v>N/A</v>
      </c>
      <c r="U72" t="str">
        <f>RTD("tos.rtd", , "PROB_OTM", ".DIA201120P294")</f>
        <v>N/A</v>
      </c>
      <c r="V72" t="str">
        <f>RTD("tos.rtd", , "PROB_OF_TOUCHING", ".DIA201120P294")</f>
        <v>N/A</v>
      </c>
      <c r="W72" t="str">
        <f>RTD("tos.rtd", , "STRIKE", ".DIA201120P294")</f>
        <v>N/A</v>
      </c>
    </row>
    <row r="73" spans="1:23" x14ac:dyDescent="0.45">
      <c r="A73" t="s">
        <v>94</v>
      </c>
      <c r="B73" t="str">
        <f>RTD("tos.rtd", , "DESCRIPTION", ".DIA201120C295")</f>
        <v>N/A</v>
      </c>
      <c r="C73" t="str">
        <f>RTD("tos.rtd", , "PUT_CALL_RATIO", ".DIA201120C295")</f>
        <v>N/A</v>
      </c>
      <c r="D73" t="str">
        <f>RTD("tos.rtd", , "IMPL_VOL", ".DIA201120C295")</f>
        <v>N/A</v>
      </c>
      <c r="E73">
        <f>RTD("tos.rtd", , "LAST", ".DIA201120C295")</f>
        <v>1.95</v>
      </c>
      <c r="F73">
        <f>RTD("tos.rtd", , "VOLUME", ".DIA201120C295")</f>
        <v>629</v>
      </c>
      <c r="G73">
        <f>RTD("tos.rtd", , "OPEN_INT", ".DIA201120C295")</f>
        <v>836</v>
      </c>
      <c r="H73">
        <f>RTD("tos.rtd", , "BID", ".DIA201120C295")</f>
        <v>1.9</v>
      </c>
      <c r="I73">
        <f>RTD("tos.rtd", , "ASK", ".DIA201120C295")</f>
        <v>2.1800000000000002</v>
      </c>
      <c r="J73">
        <f>RTD("tos.rtd", , "HIGH", ".DIA201120C295")</f>
        <v>2.5299999999999998</v>
      </c>
      <c r="K73">
        <f>RTD("tos.rtd", , "LOW", ".DIA201120C295")</f>
        <v>1.5</v>
      </c>
      <c r="L73">
        <f>RTD("tos.rtd", , "OPEN", ".DIA201120C295")</f>
        <v>1.69</v>
      </c>
      <c r="M73" t="str">
        <f>RTD("tos.rtd", , "DELTA", ".DIA201120C295")</f>
        <v>N/A</v>
      </c>
      <c r="N73" t="str">
        <f>RTD("tos.rtd", , "GAMMA", ".DIA201120C295")</f>
        <v>N/A</v>
      </c>
      <c r="O73" t="str">
        <f>RTD("tos.rtd", , "THETA", ".DIA201120C295")</f>
        <v>N/A</v>
      </c>
      <c r="P73" t="str">
        <f>RTD("tos.rtd", , "VEGA", ".DIA201120C295")</f>
        <v>N/A</v>
      </c>
      <c r="Q73" t="str">
        <f>RTD("tos.rtd", , "RHO", ".DIA201120C295")</f>
        <v>N/A</v>
      </c>
      <c r="R73" t="str">
        <f>RTD("tos.rtd", , "INTRINSIC", ".DIA201120C295")</f>
        <v>N/A</v>
      </c>
      <c r="S73" t="str">
        <f>RTD("tos.rtd", , "EXTRINSIC", ".DIA201120C295")</f>
        <v>N/A</v>
      </c>
      <c r="T73" t="str">
        <f>RTD("tos.rtd", , "PROB_OF_EXPIRING", ".DIA201120C295")</f>
        <v>N/A</v>
      </c>
      <c r="U73" t="str">
        <f>RTD("tos.rtd", , "PROB_OTM", ".DIA201120C295")</f>
        <v>N/A</v>
      </c>
      <c r="V73" t="str">
        <f>RTD("tos.rtd", , "PROB_OF_TOUCHING", ".DIA201120C295")</f>
        <v>N/A</v>
      </c>
      <c r="W73" t="str">
        <f>RTD("tos.rtd", , "STRIKE", ".DIA201120C295")</f>
        <v>N/A</v>
      </c>
    </row>
    <row r="74" spans="1:23" x14ac:dyDescent="0.45">
      <c r="A74" t="s">
        <v>95</v>
      </c>
      <c r="B74" t="str">
        <f>RTD("tos.rtd", , "DESCRIPTION", ".DIA201120P295")</f>
        <v>N/A</v>
      </c>
      <c r="C74" t="str">
        <f>RTD("tos.rtd", , "PUT_CALL_RATIO", ".DIA201120P295")</f>
        <v>N/A</v>
      </c>
      <c r="D74" t="str">
        <f>RTD("tos.rtd", , "IMPL_VOL", ".DIA201120P295")</f>
        <v>N/A</v>
      </c>
      <c r="E74">
        <f>RTD("tos.rtd", , "LAST", ".DIA201120P295")</f>
        <v>6.35</v>
      </c>
      <c r="F74">
        <f>RTD("tos.rtd", , "VOLUME", ".DIA201120P295")</f>
        <v>394</v>
      </c>
      <c r="G74">
        <f>RTD("tos.rtd", , "OPEN_INT", ".DIA201120P295")</f>
        <v>448</v>
      </c>
      <c r="H74">
        <f>RTD("tos.rtd", , "BID", ".DIA201120P295")</f>
        <v>5.55</v>
      </c>
      <c r="I74">
        <f>RTD("tos.rtd", , "ASK", ".DIA201120P295")</f>
        <v>6.1</v>
      </c>
      <c r="J74">
        <f>RTD("tos.rtd", , "HIGH", ".DIA201120P295")</f>
        <v>7.8</v>
      </c>
      <c r="K74">
        <f>RTD("tos.rtd", , "LOW", ".DIA201120P295")</f>
        <v>4.7</v>
      </c>
      <c r="L74">
        <f>RTD("tos.rtd", , "OPEN", ".DIA201120P295")</f>
        <v>5.5</v>
      </c>
      <c r="M74" t="str">
        <f>RTD("tos.rtd", , "DELTA", ".DIA201120P295")</f>
        <v>N/A</v>
      </c>
      <c r="N74" t="str">
        <f>RTD("tos.rtd", , "GAMMA", ".DIA201120P295")</f>
        <v>N/A</v>
      </c>
      <c r="O74" t="str">
        <f>RTD("tos.rtd", , "THETA", ".DIA201120P295")</f>
        <v>N/A</v>
      </c>
      <c r="P74" t="str">
        <f>RTD("tos.rtd", , "VEGA", ".DIA201120P295")</f>
        <v>N/A</v>
      </c>
      <c r="Q74" t="str">
        <f>RTD("tos.rtd", , "RHO", ".DIA201120P295")</f>
        <v>N/A</v>
      </c>
      <c r="R74" t="str">
        <f>RTD("tos.rtd", , "INTRINSIC", ".DIA201120P295")</f>
        <v>N/A</v>
      </c>
      <c r="S74" t="str">
        <f>RTD("tos.rtd", , "EXTRINSIC", ".DIA201120P295")</f>
        <v>N/A</v>
      </c>
      <c r="T74" t="str">
        <f>RTD("tos.rtd", , "PROB_OF_EXPIRING", ".DIA201120P295")</f>
        <v>N/A</v>
      </c>
      <c r="U74" t="str">
        <f>RTD("tos.rtd", , "PROB_OTM", ".DIA201120P295")</f>
        <v>N/A</v>
      </c>
      <c r="V74" t="str">
        <f>RTD("tos.rtd", , "PROB_OF_TOUCHING", ".DIA201120P295")</f>
        <v>N/A</v>
      </c>
      <c r="W74" t="str">
        <f>RTD("tos.rtd", , "STRIKE", ".DIA201120P295")</f>
        <v>N/A</v>
      </c>
    </row>
    <row r="75" spans="1:23" x14ac:dyDescent="0.45">
      <c r="A75" t="s">
        <v>96</v>
      </c>
      <c r="B75" t="str">
        <f>RTD("tos.rtd", , "DESCRIPTION", ".DIA201120C296")</f>
        <v>N/A</v>
      </c>
      <c r="C75" t="str">
        <f>RTD("tos.rtd", , "PUT_CALL_RATIO", ".DIA201120C296")</f>
        <v>N/A</v>
      </c>
      <c r="D75" t="str">
        <f>RTD("tos.rtd", , "IMPL_VOL", ".DIA201120C296")</f>
        <v>N/A</v>
      </c>
      <c r="E75">
        <f>RTD("tos.rtd", , "LAST", ".DIA201120C296")</f>
        <v>1.7</v>
      </c>
      <c r="F75">
        <f>RTD("tos.rtd", , "VOLUME", ".DIA201120C296")</f>
        <v>239</v>
      </c>
      <c r="G75">
        <f>RTD("tos.rtd", , "OPEN_INT", ".DIA201120C296")</f>
        <v>359</v>
      </c>
      <c r="H75">
        <f>RTD("tos.rtd", , "BID", ".DIA201120C296")</f>
        <v>1.64</v>
      </c>
      <c r="I75">
        <f>RTD("tos.rtd", , "ASK", ".DIA201120C296")</f>
        <v>1.81</v>
      </c>
      <c r="J75">
        <f>RTD("tos.rtd", , "HIGH", ".DIA201120C296")</f>
        <v>2.0699999999999998</v>
      </c>
      <c r="K75">
        <f>RTD("tos.rtd", , "LOW", ".DIA201120C296")</f>
        <v>1.24</v>
      </c>
      <c r="L75">
        <f>RTD("tos.rtd", , "OPEN", ".DIA201120C296")</f>
        <v>1.8</v>
      </c>
      <c r="M75" t="str">
        <f>RTD("tos.rtd", , "DELTA", ".DIA201120C296")</f>
        <v>N/A</v>
      </c>
      <c r="N75" t="str">
        <f>RTD("tos.rtd", , "GAMMA", ".DIA201120C296")</f>
        <v>N/A</v>
      </c>
      <c r="O75" t="str">
        <f>RTD("tos.rtd", , "THETA", ".DIA201120C296")</f>
        <v>N/A</v>
      </c>
      <c r="P75" t="str">
        <f>RTD("tos.rtd", , "VEGA", ".DIA201120C296")</f>
        <v>N/A</v>
      </c>
      <c r="Q75" t="str">
        <f>RTD("tos.rtd", , "RHO", ".DIA201120C296")</f>
        <v>N/A</v>
      </c>
      <c r="R75" t="str">
        <f>RTD("tos.rtd", , "INTRINSIC", ".DIA201120C296")</f>
        <v>N/A</v>
      </c>
      <c r="S75" t="str">
        <f>RTD("tos.rtd", , "EXTRINSIC", ".DIA201120C296")</f>
        <v>N/A</v>
      </c>
      <c r="T75" t="str">
        <f>RTD("tos.rtd", , "PROB_OF_EXPIRING", ".DIA201120C296")</f>
        <v>N/A</v>
      </c>
      <c r="U75" t="str">
        <f>RTD("tos.rtd", , "PROB_OTM", ".DIA201120C296")</f>
        <v>N/A</v>
      </c>
      <c r="V75" t="str">
        <f>RTD("tos.rtd", , "PROB_OF_TOUCHING", ".DIA201120C296")</f>
        <v>N/A</v>
      </c>
      <c r="W75" t="str">
        <f>RTD("tos.rtd", , "STRIKE", ".DIA201120C296")</f>
        <v>N/A</v>
      </c>
    </row>
    <row r="76" spans="1:23" x14ac:dyDescent="0.45">
      <c r="A76" t="s">
        <v>97</v>
      </c>
      <c r="B76" t="str">
        <f>RTD("tos.rtd", , "DESCRIPTION", ".DIA201120P296")</f>
        <v>N/A</v>
      </c>
      <c r="C76" t="str">
        <f>RTD("tos.rtd", , "PUT_CALL_RATIO", ".DIA201120P296")</f>
        <v>N/A</v>
      </c>
      <c r="D76" t="str">
        <f>RTD("tos.rtd", , "IMPL_VOL", ".DIA201120P296")</f>
        <v>N/A</v>
      </c>
      <c r="E76">
        <f>RTD("tos.rtd", , "LAST", ".DIA201120P296")</f>
        <v>7.8</v>
      </c>
      <c r="F76">
        <f>RTD("tos.rtd", , "VOLUME", ".DIA201120P296")</f>
        <v>42</v>
      </c>
      <c r="G76">
        <f>RTD("tos.rtd", , "OPEN_INT", ".DIA201120P296")</f>
        <v>244</v>
      </c>
      <c r="H76">
        <f>RTD("tos.rtd", , "BID", ".DIA201120P296")</f>
        <v>6.25</v>
      </c>
      <c r="I76">
        <f>RTD("tos.rtd", , "ASK", ".DIA201120P296")</f>
        <v>6.8</v>
      </c>
      <c r="J76">
        <f>RTD("tos.rtd", , "HIGH", ".DIA201120P296")</f>
        <v>8.44</v>
      </c>
      <c r="K76">
        <f>RTD("tos.rtd", , "LOW", ".DIA201120P296")</f>
        <v>5.45</v>
      </c>
      <c r="L76">
        <f>RTD("tos.rtd", , "OPEN", ".DIA201120P296")</f>
        <v>5.89</v>
      </c>
      <c r="M76" t="str">
        <f>RTD("tos.rtd", , "DELTA", ".DIA201120P296")</f>
        <v>N/A</v>
      </c>
      <c r="N76" t="str">
        <f>RTD("tos.rtd", , "GAMMA", ".DIA201120P296")</f>
        <v>N/A</v>
      </c>
      <c r="O76" t="str">
        <f>RTD("tos.rtd", , "THETA", ".DIA201120P296")</f>
        <v>N/A</v>
      </c>
      <c r="P76" t="str">
        <f>RTD("tos.rtd", , "VEGA", ".DIA201120P296")</f>
        <v>N/A</v>
      </c>
      <c r="Q76" t="str">
        <f>RTD("tos.rtd", , "RHO", ".DIA201120P296")</f>
        <v>N/A</v>
      </c>
      <c r="R76" t="str">
        <f>RTD("tos.rtd", , "INTRINSIC", ".DIA201120P296")</f>
        <v>N/A</v>
      </c>
      <c r="S76" t="str">
        <f>RTD("tos.rtd", , "EXTRINSIC", ".DIA201120P296")</f>
        <v>N/A</v>
      </c>
      <c r="T76" t="str">
        <f>RTD("tos.rtd", , "PROB_OF_EXPIRING", ".DIA201120P296")</f>
        <v>N/A</v>
      </c>
      <c r="U76" t="str">
        <f>RTD("tos.rtd", , "PROB_OTM", ".DIA201120P296")</f>
        <v>N/A</v>
      </c>
      <c r="V76" t="str">
        <f>RTD("tos.rtd", , "PROB_OF_TOUCHING", ".DIA201120P296")</f>
        <v>N/A</v>
      </c>
      <c r="W76" t="str">
        <f>RTD("tos.rtd", , "STRIKE", ".DIA201120P296")</f>
        <v>N/A</v>
      </c>
    </row>
    <row r="77" spans="1:23" x14ac:dyDescent="0.45">
      <c r="A77" t="s">
        <v>98</v>
      </c>
      <c r="B77" t="str">
        <f>RTD("tos.rtd", , "DESCRIPTION", ".DIA201120C297")</f>
        <v>N/A</v>
      </c>
      <c r="C77" t="str">
        <f>RTD("tos.rtd", , "PUT_CALL_RATIO", ".DIA201120C297")</f>
        <v>N/A</v>
      </c>
      <c r="D77" t="str">
        <f>RTD("tos.rtd", , "IMPL_VOL", ".DIA201120C297")</f>
        <v>N/A</v>
      </c>
      <c r="E77">
        <f>RTD("tos.rtd", , "LAST", ".DIA201120C297")</f>
        <v>1.25</v>
      </c>
      <c r="F77">
        <f>RTD("tos.rtd", , "VOLUME", ".DIA201120C297")</f>
        <v>351</v>
      </c>
      <c r="G77">
        <f>RTD("tos.rtd", , "OPEN_INT", ".DIA201120C297")</f>
        <v>287</v>
      </c>
      <c r="H77">
        <f>RTD("tos.rtd", , "BID", ".DIA201120C297")</f>
        <v>1.34</v>
      </c>
      <c r="I77">
        <f>RTD("tos.rtd", , "ASK", ".DIA201120C297")</f>
        <v>1.49</v>
      </c>
      <c r="J77">
        <f>RTD("tos.rtd", , "HIGH", ".DIA201120C297")</f>
        <v>1.69</v>
      </c>
      <c r="K77">
        <f>RTD("tos.rtd", , "LOW", ".DIA201120C297")</f>
        <v>1</v>
      </c>
      <c r="L77">
        <f>RTD("tos.rtd", , "OPEN", ".DIA201120C297")</f>
        <v>1.59</v>
      </c>
      <c r="M77" t="str">
        <f>RTD("tos.rtd", , "DELTA", ".DIA201120C297")</f>
        <v>N/A</v>
      </c>
      <c r="N77" t="str">
        <f>RTD("tos.rtd", , "GAMMA", ".DIA201120C297")</f>
        <v>N/A</v>
      </c>
      <c r="O77" t="str">
        <f>RTD("tos.rtd", , "THETA", ".DIA201120C297")</f>
        <v>N/A</v>
      </c>
      <c r="P77" t="str">
        <f>RTD("tos.rtd", , "VEGA", ".DIA201120C297")</f>
        <v>N/A</v>
      </c>
      <c r="Q77" t="str">
        <f>RTD("tos.rtd", , "RHO", ".DIA201120C297")</f>
        <v>N/A</v>
      </c>
      <c r="R77" t="str">
        <f>RTD("tos.rtd", , "INTRINSIC", ".DIA201120C297")</f>
        <v>N/A</v>
      </c>
      <c r="S77" t="str">
        <f>RTD("tos.rtd", , "EXTRINSIC", ".DIA201120C297")</f>
        <v>N/A</v>
      </c>
      <c r="T77" t="str">
        <f>RTD("tos.rtd", , "PROB_OF_EXPIRING", ".DIA201120C297")</f>
        <v>N/A</v>
      </c>
      <c r="U77" t="str">
        <f>RTD("tos.rtd", , "PROB_OTM", ".DIA201120C297")</f>
        <v>N/A</v>
      </c>
      <c r="V77" t="str">
        <f>RTD("tos.rtd", , "PROB_OF_TOUCHING", ".DIA201120C297")</f>
        <v>N/A</v>
      </c>
      <c r="W77" t="str">
        <f>RTD("tos.rtd", , "STRIKE", ".DIA201120C297")</f>
        <v>N/A</v>
      </c>
    </row>
    <row r="78" spans="1:23" x14ac:dyDescent="0.45">
      <c r="A78" t="s">
        <v>99</v>
      </c>
      <c r="B78" t="str">
        <f>RTD("tos.rtd", , "DESCRIPTION", ".DIA201120P297")</f>
        <v>N/A</v>
      </c>
      <c r="C78" t="str">
        <f>RTD("tos.rtd", , "PUT_CALL_RATIO", ".DIA201120P297")</f>
        <v>N/A</v>
      </c>
      <c r="D78" t="str">
        <f>RTD("tos.rtd", , "IMPL_VOL", ".DIA201120P297")</f>
        <v>N/A</v>
      </c>
      <c r="E78">
        <f>RTD("tos.rtd", , "LAST", ".DIA201120P297")</f>
        <v>8.02</v>
      </c>
      <c r="F78">
        <f>RTD("tos.rtd", , "VOLUME", ".DIA201120P297")</f>
        <v>88</v>
      </c>
      <c r="G78">
        <f>RTD("tos.rtd", , "OPEN_INT", ".DIA201120P297")</f>
        <v>257</v>
      </c>
      <c r="H78">
        <f>RTD("tos.rtd", , "BID", ".DIA201120P297")</f>
        <v>6.95</v>
      </c>
      <c r="I78">
        <f>RTD("tos.rtd", , "ASK", ".DIA201120P297")</f>
        <v>7.55</v>
      </c>
      <c r="J78">
        <f>RTD("tos.rtd", , "HIGH", ".DIA201120P297")</f>
        <v>8.99</v>
      </c>
      <c r="K78">
        <f>RTD("tos.rtd", , "LOW", ".DIA201120P297")</f>
        <v>6.15</v>
      </c>
      <c r="L78">
        <f>RTD("tos.rtd", , "OPEN", ".DIA201120P297")</f>
        <v>6.15</v>
      </c>
      <c r="M78" t="str">
        <f>RTD("tos.rtd", , "DELTA", ".DIA201120P297")</f>
        <v>N/A</v>
      </c>
      <c r="N78" t="str">
        <f>RTD("tos.rtd", , "GAMMA", ".DIA201120P297")</f>
        <v>N/A</v>
      </c>
      <c r="O78" t="str">
        <f>RTD("tos.rtd", , "THETA", ".DIA201120P297")</f>
        <v>N/A</v>
      </c>
      <c r="P78" t="str">
        <f>RTD("tos.rtd", , "VEGA", ".DIA201120P297")</f>
        <v>N/A</v>
      </c>
      <c r="Q78" t="str">
        <f>RTD("tos.rtd", , "RHO", ".DIA201120P297")</f>
        <v>N/A</v>
      </c>
      <c r="R78" t="str">
        <f>RTD("tos.rtd", , "INTRINSIC", ".DIA201120P297")</f>
        <v>N/A</v>
      </c>
      <c r="S78" t="str">
        <f>RTD("tos.rtd", , "EXTRINSIC", ".DIA201120P297")</f>
        <v>N/A</v>
      </c>
      <c r="T78" t="str">
        <f>RTD("tos.rtd", , "PROB_OF_EXPIRING", ".DIA201120P297")</f>
        <v>N/A</v>
      </c>
      <c r="U78" t="str">
        <f>RTD("tos.rtd", , "PROB_OTM", ".DIA201120P297")</f>
        <v>N/A</v>
      </c>
      <c r="V78" t="str">
        <f>RTD("tos.rtd", , "PROB_OF_TOUCHING", ".DIA201120P297")</f>
        <v>N/A</v>
      </c>
      <c r="W78" t="str">
        <f>RTD("tos.rtd", , "STRIKE", ".DIA201120P297")</f>
        <v>N/A</v>
      </c>
    </row>
    <row r="79" spans="1:23" x14ac:dyDescent="0.45">
      <c r="A79" t="s">
        <v>100</v>
      </c>
      <c r="B79" t="str">
        <f>RTD("tos.rtd", , "DESCRIPTION", ".DIA201120C297.5")</f>
        <v>N/A</v>
      </c>
      <c r="C79" t="str">
        <f>RTD("tos.rtd", , "PUT_CALL_RATIO", ".DIA201120C297.5")</f>
        <v>N/A</v>
      </c>
      <c r="D79" t="str">
        <f>RTD("tos.rtd", , "IMPL_VOL", ".DIA201120C297.5")</f>
        <v>N/A</v>
      </c>
      <c r="E79">
        <f>RTD("tos.rtd", , "LAST", ".DIA201120C297.5")</f>
        <v>1.04</v>
      </c>
      <c r="F79">
        <f>RTD("tos.rtd", , "VOLUME", ".DIA201120C297.5")</f>
        <v>106</v>
      </c>
      <c r="G79">
        <f>RTD("tos.rtd", , "OPEN_INT", ".DIA201120C297.5")</f>
        <v>100</v>
      </c>
      <c r="H79">
        <f>RTD("tos.rtd", , "BID", ".DIA201120C297.5")</f>
        <v>1.1399999999999999</v>
      </c>
      <c r="I79">
        <f>RTD("tos.rtd", , "ASK", ".DIA201120C297.5")</f>
        <v>1.36</v>
      </c>
      <c r="J79">
        <f>RTD("tos.rtd", , "HIGH", ".DIA201120C297.5")</f>
        <v>1.57</v>
      </c>
      <c r="K79">
        <f>RTD("tos.rtd", , "LOW", ".DIA201120C297.5")</f>
        <v>0.92</v>
      </c>
      <c r="L79">
        <f>RTD("tos.rtd", , "OPEN", ".DIA201120C297.5")</f>
        <v>1.48</v>
      </c>
      <c r="M79" t="str">
        <f>RTD("tos.rtd", , "DELTA", ".DIA201120C297.5")</f>
        <v>N/A</v>
      </c>
      <c r="N79" t="str">
        <f>RTD("tos.rtd", , "GAMMA", ".DIA201120C297.5")</f>
        <v>N/A</v>
      </c>
      <c r="O79" t="str">
        <f>RTD("tos.rtd", , "THETA", ".DIA201120C297.5")</f>
        <v>N/A</v>
      </c>
      <c r="P79" t="str">
        <f>RTD("tos.rtd", , "VEGA", ".DIA201120C297.5")</f>
        <v>N/A</v>
      </c>
      <c r="Q79" t="str">
        <f>RTD("tos.rtd", , "RHO", ".DIA201120C297.5")</f>
        <v>N/A</v>
      </c>
      <c r="R79" t="str">
        <f>RTD("tos.rtd", , "INTRINSIC", ".DIA201120C297.5")</f>
        <v>N/A</v>
      </c>
      <c r="S79" t="str">
        <f>RTD("tos.rtd", , "EXTRINSIC", ".DIA201120C297.5")</f>
        <v>N/A</v>
      </c>
      <c r="T79" t="str">
        <f>RTD("tos.rtd", , "PROB_OF_EXPIRING", ".DIA201120C297.5")</f>
        <v>N/A</v>
      </c>
      <c r="U79" t="str">
        <f>RTD("tos.rtd", , "PROB_OTM", ".DIA201120C297.5")</f>
        <v>N/A</v>
      </c>
      <c r="V79" t="str">
        <f>RTD("tos.rtd", , "PROB_OF_TOUCHING", ".DIA201120C297.5")</f>
        <v>N/A</v>
      </c>
      <c r="W79" t="str">
        <f>RTD("tos.rtd", , "STRIKE", ".DIA201120C297.5")</f>
        <v>N/A</v>
      </c>
    </row>
    <row r="80" spans="1:23" x14ac:dyDescent="0.45">
      <c r="A80" t="s">
        <v>101</v>
      </c>
      <c r="B80" t="str">
        <f>RTD("tos.rtd", , "DESCRIPTION", ".DIA201120P297.5")</f>
        <v>N/A</v>
      </c>
      <c r="C80" t="str">
        <f>RTD("tos.rtd", , "PUT_CALL_RATIO", ".DIA201120P297.5")</f>
        <v>N/A</v>
      </c>
      <c r="D80" t="str">
        <f>RTD("tos.rtd", , "IMPL_VOL", ".DIA201120P297.5")</f>
        <v>N/A</v>
      </c>
      <c r="E80">
        <f>RTD("tos.rtd", , "LAST", ".DIA201120P297.5")</f>
        <v>8.1300000000000008</v>
      </c>
      <c r="F80">
        <f>RTD("tos.rtd", , "VOLUME", ".DIA201120P297.5")</f>
        <v>11</v>
      </c>
      <c r="G80">
        <f>RTD("tos.rtd", , "OPEN_INT", ".DIA201120P297.5")</f>
        <v>205</v>
      </c>
      <c r="H80">
        <f>RTD("tos.rtd", , "BID", ".DIA201120P297.5")</f>
        <v>7.2</v>
      </c>
      <c r="I80">
        <f>RTD("tos.rtd", , "ASK", ".DIA201120P297.5")</f>
        <v>7.95</v>
      </c>
      <c r="J80">
        <f>RTD("tos.rtd", , "HIGH", ".DIA201120P297.5")</f>
        <v>8.1300000000000008</v>
      </c>
      <c r="K80">
        <f>RTD("tos.rtd", , "LOW", ".DIA201120P297.5")</f>
        <v>6.95</v>
      </c>
      <c r="L80">
        <f>RTD("tos.rtd", , "OPEN", ".DIA201120P297.5")</f>
        <v>6.95</v>
      </c>
      <c r="M80" t="str">
        <f>RTD("tos.rtd", , "DELTA", ".DIA201120P297.5")</f>
        <v>N/A</v>
      </c>
      <c r="N80" t="str">
        <f>RTD("tos.rtd", , "GAMMA", ".DIA201120P297.5")</f>
        <v>N/A</v>
      </c>
      <c r="O80" t="str">
        <f>RTD("tos.rtd", , "THETA", ".DIA201120P297.5")</f>
        <v>N/A</v>
      </c>
      <c r="P80" t="str">
        <f>RTD("tos.rtd", , "VEGA", ".DIA201120P297.5")</f>
        <v>N/A</v>
      </c>
      <c r="Q80" t="str">
        <f>RTD("tos.rtd", , "RHO", ".DIA201120P297.5")</f>
        <v>N/A</v>
      </c>
      <c r="R80" t="str">
        <f>RTD("tos.rtd", , "INTRINSIC", ".DIA201120P297.5")</f>
        <v>N/A</v>
      </c>
      <c r="S80" t="str">
        <f>RTD("tos.rtd", , "EXTRINSIC", ".DIA201120P297.5")</f>
        <v>N/A</v>
      </c>
      <c r="T80" t="str">
        <f>RTD("tos.rtd", , "PROB_OF_EXPIRING", ".DIA201120P297.5")</f>
        <v>N/A</v>
      </c>
      <c r="U80" t="str">
        <f>RTD("tos.rtd", , "PROB_OTM", ".DIA201120P297.5")</f>
        <v>N/A</v>
      </c>
      <c r="V80" t="str">
        <f>RTD("tos.rtd", , "PROB_OF_TOUCHING", ".DIA201120P297.5")</f>
        <v>N/A</v>
      </c>
      <c r="W80" t="str">
        <f>RTD("tos.rtd", , "STRIKE", ".DIA201120P297.5")</f>
        <v>N/A</v>
      </c>
    </row>
    <row r="81" spans="1:23" x14ac:dyDescent="0.45">
      <c r="A81" t="s">
        <v>102</v>
      </c>
      <c r="B81" t="str">
        <f>RTD("tos.rtd", , "DESCRIPTION", "DRIP")</f>
        <v>N/A</v>
      </c>
      <c r="C81">
        <f>RTD("tos.rtd", , "PUT_CALL_RATIO", "DRIP")</f>
        <v>0.09</v>
      </c>
      <c r="D81" t="str">
        <f>RTD("tos.rtd", , "IMPL_VOL", "DRIP")</f>
        <v>114.80%</v>
      </c>
      <c r="E81">
        <f>RTD("tos.rtd", , "LAST", "DRIP")</f>
        <v>49.15</v>
      </c>
      <c r="F81">
        <f>RTD("tos.rtd", , "VOLUME", "DRIP")</f>
        <v>1153607</v>
      </c>
      <c r="G81">
        <f>RTD("tos.rtd", , "OPEN_INT", "DRIP")</f>
        <v>0</v>
      </c>
      <c r="H81">
        <f>RTD("tos.rtd", , "BID", "DRIP")</f>
        <v>49.15</v>
      </c>
      <c r="I81">
        <f>RTD("tos.rtd", , "ASK", "DRIP")</f>
        <v>49.5</v>
      </c>
      <c r="J81">
        <f>RTD("tos.rtd", , "HIGH", "DRIP")</f>
        <v>50.057200000000002</v>
      </c>
      <c r="K81">
        <f>RTD("tos.rtd", , "LOW", "DRIP")</f>
        <v>45.35</v>
      </c>
      <c r="L81">
        <f>RTD("tos.rtd", , "OPEN", "DRIP")</f>
        <v>46.9</v>
      </c>
      <c r="M81">
        <f>RTD("tos.rtd", , "DELTA", "DRIP")</f>
        <v>1</v>
      </c>
      <c r="N81">
        <f>RTD("tos.rtd", , "GAMMA", "DRIP")</f>
        <v>0</v>
      </c>
      <c r="O81">
        <f>RTD("tos.rtd", , "THETA", "DRIP")</f>
        <v>0</v>
      </c>
      <c r="P81">
        <f>RTD("tos.rtd", , "VEGA", "DRIP")</f>
        <v>0</v>
      </c>
      <c r="Q81">
        <f>RTD("tos.rtd", , "RHO", "DRIP")</f>
        <v>0</v>
      </c>
      <c r="R81" t="str">
        <f>RTD("tos.rtd", , "INTRINSIC", "DRIP")</f>
        <v>N/A</v>
      </c>
      <c r="S81" t="str">
        <f>RTD("tos.rtd", , "EXTRINSIC", "DRIP")</f>
        <v>N/A</v>
      </c>
      <c r="T81" t="str">
        <f>RTD("tos.rtd", , "PROB_OF_EXPIRING", "DRIP")</f>
        <v>N/A</v>
      </c>
      <c r="U81" t="str">
        <f>RTD("tos.rtd", , "PROB_OTM", "DRIP")</f>
        <v>N/A</v>
      </c>
      <c r="V81" t="str">
        <f>RTD("tos.rtd", , "PROB_OF_TOUCHING", "DRIP")</f>
        <v>N/A</v>
      </c>
      <c r="W81" t="str">
        <f>RTD("tos.rtd", , "STRIKE", "DRIP")</f>
        <v>N/A</v>
      </c>
    </row>
    <row r="82" spans="1:23" x14ac:dyDescent="0.45">
      <c r="A82" t="s">
        <v>103</v>
      </c>
      <c r="B82" t="str">
        <f>RTD("tos.rtd", , "DESCRIPTION", ".DRIP201120C45")</f>
        <v>N/A</v>
      </c>
      <c r="C82" t="str">
        <f>RTD("tos.rtd", , "PUT_CALL_RATIO", ".DRIP201120C45")</f>
        <v>N/A</v>
      </c>
      <c r="D82" t="str">
        <f>RTD("tos.rtd", , "IMPL_VOL", ".DRIP201120C45")</f>
        <v>N/A</v>
      </c>
      <c r="E82">
        <f>RTD("tos.rtd", , "LAST", ".DRIP201120C45")</f>
        <v>4.7</v>
      </c>
      <c r="F82">
        <f>RTD("tos.rtd", , "VOLUME", ".DRIP201120C45")</f>
        <v>114</v>
      </c>
      <c r="G82">
        <f>RTD("tos.rtd", , "OPEN_INT", ".DRIP201120C45")</f>
        <v>71</v>
      </c>
      <c r="H82">
        <f>RTD("tos.rtd", , "BID", ".DRIP201120C45")</f>
        <v>4.9000000000000004</v>
      </c>
      <c r="I82">
        <f>RTD("tos.rtd", , "ASK", ".DRIP201120C45")</f>
        <v>6.1</v>
      </c>
      <c r="J82">
        <f>RTD("tos.rtd", , "HIGH", ".DRIP201120C45")</f>
        <v>4.7</v>
      </c>
      <c r="K82">
        <f>RTD("tos.rtd", , "LOW", ".DRIP201120C45")</f>
        <v>2.5499999999999998</v>
      </c>
      <c r="L82">
        <f>RTD("tos.rtd", , "OPEN", ".DRIP201120C45")</f>
        <v>3.52</v>
      </c>
      <c r="M82" t="str">
        <f>RTD("tos.rtd", , "DELTA", ".DRIP201120C45")</f>
        <v>N/A</v>
      </c>
      <c r="N82" t="str">
        <f>RTD("tos.rtd", , "GAMMA", ".DRIP201120C45")</f>
        <v>N/A</v>
      </c>
      <c r="O82" t="str">
        <f>RTD("tos.rtd", , "THETA", ".DRIP201120C45")</f>
        <v>N/A</v>
      </c>
      <c r="P82" t="str">
        <f>RTD("tos.rtd", , "VEGA", ".DRIP201120C45")</f>
        <v>N/A</v>
      </c>
      <c r="Q82" t="str">
        <f>RTD("tos.rtd", , "RHO", ".DRIP201120C45")</f>
        <v>N/A</v>
      </c>
      <c r="R82" t="str">
        <f>RTD("tos.rtd", , "INTRINSIC", ".DRIP201120C45")</f>
        <v>N/A</v>
      </c>
      <c r="S82" t="str">
        <f>RTD("tos.rtd", , "EXTRINSIC", ".DRIP201120C45")</f>
        <v>N/A</v>
      </c>
      <c r="T82" t="str">
        <f>RTD("tos.rtd", , "PROB_OF_EXPIRING", ".DRIP201120C45")</f>
        <v>N/A</v>
      </c>
      <c r="U82" t="str">
        <f>RTD("tos.rtd", , "PROB_OTM", ".DRIP201120C45")</f>
        <v>N/A</v>
      </c>
      <c r="V82" t="str">
        <f>RTD("tos.rtd", , "PROB_OF_TOUCHING", ".DRIP201120C45")</f>
        <v>N/A</v>
      </c>
      <c r="W82" t="str">
        <f>RTD("tos.rtd", , "STRIKE", ".DRIP201120C45")</f>
        <v>N/A</v>
      </c>
    </row>
    <row r="83" spans="1:23" x14ac:dyDescent="0.45">
      <c r="A83" t="s">
        <v>104</v>
      </c>
      <c r="B83" t="str">
        <f>RTD("tos.rtd", , "DESCRIPTION", ".DRIP201120P45")</f>
        <v>N/A</v>
      </c>
      <c r="C83" t="str">
        <f>RTD("tos.rtd", , "PUT_CALL_RATIO", ".DRIP201120P45")</f>
        <v>N/A</v>
      </c>
      <c r="D83" t="str">
        <f>RTD("tos.rtd", , "IMPL_VOL", ".DRIP201120P45")</f>
        <v>N/A</v>
      </c>
      <c r="E83">
        <f>RTD("tos.rtd", , "LAST", ".DRIP201120P45")</f>
        <v>2.2999999999999998</v>
      </c>
      <c r="F83">
        <f>RTD("tos.rtd", , "VOLUME", ".DRIP201120P45")</f>
        <v>20</v>
      </c>
      <c r="G83">
        <f>RTD("tos.rtd", , "OPEN_INT", ".DRIP201120P45")</f>
        <v>2</v>
      </c>
      <c r="H83">
        <f>RTD("tos.rtd", , "BID", ".DRIP201120P45")</f>
        <v>1</v>
      </c>
      <c r="I83">
        <f>RTD("tos.rtd", , "ASK", ".DRIP201120P45")</f>
        <v>1.55</v>
      </c>
      <c r="J83">
        <f>RTD("tos.rtd", , "HIGH", ".DRIP201120P45")</f>
        <v>2.2999999999999998</v>
      </c>
      <c r="K83">
        <f>RTD("tos.rtd", , "LOW", ".DRIP201120P45")</f>
        <v>2.2999999999999998</v>
      </c>
      <c r="L83">
        <f>RTD("tos.rtd", , "OPEN", ".DRIP201120P45")</f>
        <v>2.2999999999999998</v>
      </c>
      <c r="M83" t="str">
        <f>RTD("tos.rtd", , "DELTA", ".DRIP201120P45")</f>
        <v>N/A</v>
      </c>
      <c r="N83" t="str">
        <f>RTD("tos.rtd", , "GAMMA", ".DRIP201120P45")</f>
        <v>N/A</v>
      </c>
      <c r="O83" t="str">
        <f>RTD("tos.rtd", , "THETA", ".DRIP201120P45")</f>
        <v>N/A</v>
      </c>
      <c r="P83" t="str">
        <f>RTD("tos.rtd", , "VEGA", ".DRIP201120P45")</f>
        <v>N/A</v>
      </c>
      <c r="Q83" t="str">
        <f>RTD("tos.rtd", , "RHO", ".DRIP201120P45")</f>
        <v>N/A</v>
      </c>
      <c r="R83" t="str">
        <f>RTD("tos.rtd", , "INTRINSIC", ".DRIP201120P45")</f>
        <v>N/A</v>
      </c>
      <c r="S83" t="str">
        <f>RTD("tos.rtd", , "EXTRINSIC", ".DRIP201120P45")</f>
        <v>N/A</v>
      </c>
      <c r="T83" t="str">
        <f>RTD("tos.rtd", , "PROB_OF_EXPIRING", ".DRIP201120P45")</f>
        <v>N/A</v>
      </c>
      <c r="U83" t="str">
        <f>RTD("tos.rtd", , "PROB_OTM", ".DRIP201120P45")</f>
        <v>N/A</v>
      </c>
      <c r="V83" t="str">
        <f>RTD("tos.rtd", , "PROB_OF_TOUCHING", ".DRIP201120P45")</f>
        <v>N/A</v>
      </c>
      <c r="W83" t="str">
        <f>RTD("tos.rtd", , "STRIKE", ".DRIP201120P45")</f>
        <v>N/A</v>
      </c>
    </row>
    <row r="84" spans="1:23" x14ac:dyDescent="0.45">
      <c r="A84" t="s">
        <v>105</v>
      </c>
      <c r="B84" t="str">
        <f>RTD("tos.rtd", , "DESCRIPTION", "DVY")</f>
        <v>N/A</v>
      </c>
      <c r="C84">
        <f>RTD("tos.rtd", , "PUT_CALL_RATIO", "DVY")</f>
        <v>1.585</v>
      </c>
      <c r="D84" t="str">
        <f>RTD("tos.rtd", , "IMPL_VOL", "DVY")</f>
        <v>26.25%</v>
      </c>
      <c r="E84">
        <f>RTD("tos.rtd", , "LAST", "DVY")</f>
        <v>89.82</v>
      </c>
      <c r="F84">
        <f>RTD("tos.rtd", , "VOLUME", "DVY")</f>
        <v>2419509</v>
      </c>
      <c r="G84">
        <f>RTD("tos.rtd", , "OPEN_INT", "DVY")</f>
        <v>0</v>
      </c>
      <c r="H84">
        <f>RTD("tos.rtd", , "BID", "DVY")</f>
        <v>88.94</v>
      </c>
      <c r="I84">
        <f>RTD("tos.rtd", , "ASK", "DVY")</f>
        <v>90.78</v>
      </c>
      <c r="J84">
        <f>RTD("tos.rtd", , "HIGH", "DVY")</f>
        <v>90.874399999999994</v>
      </c>
      <c r="K84">
        <f>RTD("tos.rtd", , "LOW", "DVY")</f>
        <v>88.8429</v>
      </c>
      <c r="L84">
        <f>RTD("tos.rtd", , "OPEN", "DVY")</f>
        <v>90.75</v>
      </c>
      <c r="M84">
        <f>RTD("tos.rtd", , "DELTA", "DVY")</f>
        <v>1</v>
      </c>
      <c r="N84">
        <f>RTD("tos.rtd", , "GAMMA", "DVY")</f>
        <v>0</v>
      </c>
      <c r="O84">
        <f>RTD("tos.rtd", , "THETA", "DVY")</f>
        <v>0</v>
      </c>
      <c r="P84">
        <f>RTD("tos.rtd", , "VEGA", "DVY")</f>
        <v>0</v>
      </c>
      <c r="Q84">
        <f>RTD("tos.rtd", , "RHO", "DVY")</f>
        <v>0</v>
      </c>
      <c r="R84" t="str">
        <f>RTD("tos.rtd", , "INTRINSIC", "DVY")</f>
        <v>N/A</v>
      </c>
      <c r="S84" t="str">
        <f>RTD("tos.rtd", , "EXTRINSIC", "DVY")</f>
        <v>N/A</v>
      </c>
      <c r="T84" t="str">
        <f>RTD("tos.rtd", , "PROB_OF_EXPIRING", "DVY")</f>
        <v>N/A</v>
      </c>
      <c r="U84" t="str">
        <f>RTD("tos.rtd", , "PROB_OTM", "DVY")</f>
        <v>N/A</v>
      </c>
      <c r="V84" t="str">
        <f>RTD("tos.rtd", , "PROB_OF_TOUCHING", "DVY")</f>
        <v>N/A</v>
      </c>
      <c r="W84" t="str">
        <f>RTD("tos.rtd", , "STRIKE", "DVY")</f>
        <v>N/A</v>
      </c>
    </row>
    <row r="85" spans="1:23" x14ac:dyDescent="0.45">
      <c r="A85" t="s">
        <v>106</v>
      </c>
      <c r="B85" t="str">
        <f>RTD("tos.rtd", , "DESCRIPTION", ".DVY201120C91")</f>
        <v>N/A</v>
      </c>
      <c r="C85" t="str">
        <f>RTD("tos.rtd", , "PUT_CALL_RATIO", ".DVY201120C91")</f>
        <v>N/A</v>
      </c>
      <c r="D85" t="str">
        <f>RTD("tos.rtd", , "IMPL_VOL", ".DVY201120C91")</f>
        <v>N/A</v>
      </c>
      <c r="E85" t="str">
        <f>RTD("tos.rtd", , "LAST", ".DVY201120C91")</f>
        <v>N/A</v>
      </c>
      <c r="F85" t="str">
        <f>RTD("tos.rtd", , "VOLUME", ".DVY201120C91")</f>
        <v>N/A</v>
      </c>
      <c r="G85" t="str">
        <f>RTD("tos.rtd", , "OPEN_INT", ".DVY201120C91")</f>
        <v>N/A</v>
      </c>
      <c r="H85" t="str">
        <f>RTD("tos.rtd", , "BID", ".DVY201120C91")</f>
        <v>N/A</v>
      </c>
      <c r="I85" t="str">
        <f>RTD("tos.rtd", , "ASK", ".DVY201120C91")</f>
        <v>N/A</v>
      </c>
      <c r="J85" t="str">
        <f>RTD("tos.rtd", , "HIGH", ".DVY201120C91")</f>
        <v>N/A</v>
      </c>
      <c r="K85" t="str">
        <f>RTD("tos.rtd", , "LOW", ".DVY201120C91")</f>
        <v>N/A</v>
      </c>
      <c r="L85" t="str">
        <f>RTD("tos.rtd", , "OPEN", ".DVY201120C91")</f>
        <v>N/A</v>
      </c>
      <c r="M85" t="str">
        <f>RTD("tos.rtd", , "DELTA", ".DVY201120C91")</f>
        <v>N/A</v>
      </c>
      <c r="N85" t="str">
        <f>RTD("tos.rtd", , "GAMMA", ".DVY201120C91")</f>
        <v>N/A</v>
      </c>
      <c r="O85" t="str">
        <f>RTD("tos.rtd", , "THETA", ".DVY201120C91")</f>
        <v>N/A</v>
      </c>
      <c r="P85" t="str">
        <f>RTD("tos.rtd", , "VEGA", ".DVY201120C91")</f>
        <v>N/A</v>
      </c>
      <c r="Q85" t="str">
        <f>RTD("tos.rtd", , "RHO", ".DVY201120C91")</f>
        <v>N/A</v>
      </c>
      <c r="R85" t="str">
        <f>RTD("tos.rtd", , "INTRINSIC", ".DVY201120C91")</f>
        <v>N/A</v>
      </c>
      <c r="S85" t="str">
        <f>RTD("tos.rtd", , "EXTRINSIC", ".DVY201120C91")</f>
        <v>N/A</v>
      </c>
      <c r="T85" t="str">
        <f>RTD("tos.rtd", , "PROB_OF_EXPIRING", ".DVY201120C91")</f>
        <v>N/A</v>
      </c>
      <c r="U85" t="str">
        <f>RTD("tos.rtd", , "PROB_OTM", ".DVY201120C91")</f>
        <v>N/A</v>
      </c>
      <c r="V85" t="str">
        <f>RTD("tos.rtd", , "PROB_OF_TOUCHING", ".DVY201120C91")</f>
        <v>N/A</v>
      </c>
      <c r="W85" t="str">
        <f>RTD("tos.rtd", , "STRIKE", ".DVY201120C91")</f>
        <v>N/A</v>
      </c>
    </row>
    <row r="86" spans="1:23" x14ac:dyDescent="0.45">
      <c r="A86" t="s">
        <v>107</v>
      </c>
      <c r="B86" t="str">
        <f>RTD("tos.rtd", , "DESCRIPTION", ".DVY201120P91")</f>
        <v>N/A</v>
      </c>
      <c r="C86" t="str">
        <f>RTD("tos.rtd", , "PUT_CALL_RATIO", ".DVY201120P91")</f>
        <v>N/A</v>
      </c>
      <c r="D86" t="str">
        <f>RTD("tos.rtd", , "IMPL_VOL", ".DVY201120P91")</f>
        <v>N/A</v>
      </c>
      <c r="E86" t="str">
        <f>RTD("tos.rtd", , "LAST", ".DVY201120P91")</f>
        <v>N/A</v>
      </c>
      <c r="F86" t="str">
        <f>RTD("tos.rtd", , "VOLUME", ".DVY201120P91")</f>
        <v>N/A</v>
      </c>
      <c r="G86" t="str">
        <f>RTD("tos.rtd", , "OPEN_INT", ".DVY201120P91")</f>
        <v>N/A</v>
      </c>
      <c r="H86" t="str">
        <f>RTD("tos.rtd", , "BID", ".DVY201120P91")</f>
        <v>N/A</v>
      </c>
      <c r="I86" t="str">
        <f>RTD("tos.rtd", , "ASK", ".DVY201120P91")</f>
        <v>N/A</v>
      </c>
      <c r="J86" t="str">
        <f>RTD("tos.rtd", , "HIGH", ".DVY201120P91")</f>
        <v>N/A</v>
      </c>
      <c r="K86" t="str">
        <f>RTD("tos.rtd", , "LOW", ".DVY201120P91")</f>
        <v>N/A</v>
      </c>
      <c r="L86" t="str">
        <f>RTD("tos.rtd", , "OPEN", ".DVY201120P91")</f>
        <v>N/A</v>
      </c>
      <c r="M86" t="str">
        <f>RTD("tos.rtd", , "DELTA", ".DVY201120P91")</f>
        <v>N/A</v>
      </c>
      <c r="N86" t="str">
        <f>RTD("tos.rtd", , "GAMMA", ".DVY201120P91")</f>
        <v>N/A</v>
      </c>
      <c r="O86" t="str">
        <f>RTD("tos.rtd", , "THETA", ".DVY201120P91")</f>
        <v>N/A</v>
      </c>
      <c r="P86" t="str">
        <f>RTD("tos.rtd", , "VEGA", ".DVY201120P91")</f>
        <v>N/A</v>
      </c>
      <c r="Q86" t="str">
        <f>RTD("tos.rtd", , "RHO", ".DVY201120P91")</f>
        <v>N/A</v>
      </c>
      <c r="R86" t="str">
        <f>RTD("tos.rtd", , "INTRINSIC", ".DVY201120P91")</f>
        <v>N/A</v>
      </c>
      <c r="S86" t="str">
        <f>RTD("tos.rtd", , "EXTRINSIC", ".DVY201120P91")</f>
        <v>N/A</v>
      </c>
      <c r="T86" t="str">
        <f>RTD("tos.rtd", , "PROB_OF_EXPIRING", ".DVY201120P91")</f>
        <v>N/A</v>
      </c>
      <c r="U86" t="str">
        <f>RTD("tos.rtd", , "PROB_OTM", ".DVY201120P91")</f>
        <v>N/A</v>
      </c>
      <c r="V86" t="str">
        <f>RTD("tos.rtd", , "PROB_OF_TOUCHING", ".DVY201120P91")</f>
        <v>N/A</v>
      </c>
      <c r="W86" t="str">
        <f>RTD("tos.rtd", , "STRIKE", ".DVY201120P91")</f>
        <v>N/A</v>
      </c>
    </row>
    <row r="87" spans="1:23" x14ac:dyDescent="0.45">
      <c r="A87" t="s">
        <v>108</v>
      </c>
      <c r="B87" t="str">
        <f>RTD("tos.rtd", , "DESCRIPTION", ".DVY201120C92")</f>
        <v>N/A</v>
      </c>
      <c r="C87" t="str">
        <f>RTD("tos.rtd", , "PUT_CALL_RATIO", ".DVY201120C92")</f>
        <v>N/A</v>
      </c>
      <c r="D87" t="str">
        <f>RTD("tos.rtd", , "IMPL_VOL", ".DVY201120C92")</f>
        <v>N/A</v>
      </c>
      <c r="E87" t="str">
        <f>RTD("tos.rtd", , "LAST", ".DVY201120C92")</f>
        <v>N/A</v>
      </c>
      <c r="F87" t="str">
        <f>RTD("tos.rtd", , "VOLUME", ".DVY201120C92")</f>
        <v>N/A</v>
      </c>
      <c r="G87" t="str">
        <f>RTD("tos.rtd", , "OPEN_INT", ".DVY201120C92")</f>
        <v>N/A</v>
      </c>
      <c r="H87" t="str">
        <f>RTD("tos.rtd", , "BID", ".DVY201120C92")</f>
        <v>N/A</v>
      </c>
      <c r="I87" t="str">
        <f>RTD("tos.rtd", , "ASK", ".DVY201120C92")</f>
        <v>N/A</v>
      </c>
      <c r="J87" t="str">
        <f>RTD("tos.rtd", , "HIGH", ".DVY201120C92")</f>
        <v>N/A</v>
      </c>
      <c r="K87" t="str">
        <f>RTD("tos.rtd", , "LOW", ".DVY201120C92")</f>
        <v>N/A</v>
      </c>
      <c r="L87" t="str">
        <f>RTD("tos.rtd", , "OPEN", ".DVY201120C92")</f>
        <v>N/A</v>
      </c>
      <c r="M87" t="str">
        <f>RTD("tos.rtd", , "DELTA", ".DVY201120C92")</f>
        <v>N/A</v>
      </c>
      <c r="N87" t="str">
        <f>RTD("tos.rtd", , "GAMMA", ".DVY201120C92")</f>
        <v>N/A</v>
      </c>
      <c r="O87" t="str">
        <f>RTD("tos.rtd", , "THETA", ".DVY201120C92")</f>
        <v>N/A</v>
      </c>
      <c r="P87" t="str">
        <f>RTD("tos.rtd", , "VEGA", ".DVY201120C92")</f>
        <v>N/A</v>
      </c>
      <c r="Q87" t="str">
        <f>RTD("tos.rtd", , "RHO", ".DVY201120C92")</f>
        <v>N/A</v>
      </c>
      <c r="R87" t="str">
        <f>RTD("tos.rtd", , "INTRINSIC", ".DVY201120C92")</f>
        <v>N/A</v>
      </c>
      <c r="S87" t="str">
        <f>RTD("tos.rtd", , "EXTRINSIC", ".DVY201120C92")</f>
        <v>N/A</v>
      </c>
      <c r="T87" t="str">
        <f>RTD("tos.rtd", , "PROB_OF_EXPIRING", ".DVY201120C92")</f>
        <v>N/A</v>
      </c>
      <c r="U87" t="str">
        <f>RTD("tos.rtd", , "PROB_OTM", ".DVY201120C92")</f>
        <v>N/A</v>
      </c>
      <c r="V87" t="str">
        <f>RTD("tos.rtd", , "PROB_OF_TOUCHING", ".DVY201120C92")</f>
        <v>N/A</v>
      </c>
      <c r="W87" t="str">
        <f>RTD("tos.rtd", , "STRIKE", ".DVY201120C92")</f>
        <v>N/A</v>
      </c>
    </row>
    <row r="88" spans="1:23" x14ac:dyDescent="0.45">
      <c r="A88" t="s">
        <v>109</v>
      </c>
      <c r="B88" t="str">
        <f>RTD("tos.rtd", , "DESCRIPTION", ".DVY201120P92")</f>
        <v>N/A</v>
      </c>
      <c r="C88" t="str">
        <f>RTD("tos.rtd", , "PUT_CALL_RATIO", ".DVY201120P92")</f>
        <v>N/A</v>
      </c>
      <c r="D88" t="str">
        <f>RTD("tos.rtd", , "IMPL_VOL", ".DVY201120P92")</f>
        <v>N/A</v>
      </c>
      <c r="E88" t="str">
        <f>RTD("tos.rtd", , "LAST", ".DVY201120P92")</f>
        <v>N/A</v>
      </c>
      <c r="F88" t="str">
        <f>RTD("tos.rtd", , "VOLUME", ".DVY201120P92")</f>
        <v>N/A</v>
      </c>
      <c r="G88" t="str">
        <f>RTD("tos.rtd", , "OPEN_INT", ".DVY201120P92")</f>
        <v>N/A</v>
      </c>
      <c r="H88" t="str">
        <f>RTD("tos.rtd", , "BID", ".DVY201120P92")</f>
        <v>N/A</v>
      </c>
      <c r="I88" t="str">
        <f>RTD("tos.rtd", , "ASK", ".DVY201120P92")</f>
        <v>N/A</v>
      </c>
      <c r="J88" t="str">
        <f>RTD("tos.rtd", , "HIGH", ".DVY201120P92")</f>
        <v>N/A</v>
      </c>
      <c r="K88" t="str">
        <f>RTD("tos.rtd", , "LOW", ".DVY201120P92")</f>
        <v>N/A</v>
      </c>
      <c r="L88" t="str">
        <f>RTD("tos.rtd", , "OPEN", ".DVY201120P92")</f>
        <v>N/A</v>
      </c>
      <c r="M88" t="str">
        <f>RTD("tos.rtd", , "DELTA", ".DVY201120P92")</f>
        <v>N/A</v>
      </c>
      <c r="N88" t="str">
        <f>RTD("tos.rtd", , "GAMMA", ".DVY201120P92")</f>
        <v>N/A</v>
      </c>
      <c r="O88" t="str">
        <f>RTD("tos.rtd", , "THETA", ".DVY201120P92")</f>
        <v>N/A</v>
      </c>
      <c r="P88" t="str">
        <f>RTD("tos.rtd", , "VEGA", ".DVY201120P92")</f>
        <v>N/A</v>
      </c>
      <c r="Q88" t="str">
        <f>RTD("tos.rtd", , "RHO", ".DVY201120P92")</f>
        <v>N/A</v>
      </c>
      <c r="R88" t="str">
        <f>RTD("tos.rtd", , "INTRINSIC", ".DVY201120P92")</f>
        <v>N/A</v>
      </c>
      <c r="S88" t="str">
        <f>RTD("tos.rtd", , "EXTRINSIC", ".DVY201120P92")</f>
        <v>N/A</v>
      </c>
      <c r="T88" t="str">
        <f>RTD("tos.rtd", , "PROB_OF_EXPIRING", ".DVY201120P92")</f>
        <v>N/A</v>
      </c>
      <c r="U88" t="str">
        <f>RTD("tos.rtd", , "PROB_OTM", ".DVY201120P92")</f>
        <v>N/A</v>
      </c>
      <c r="V88" t="str">
        <f>RTD("tos.rtd", , "PROB_OF_TOUCHING", ".DVY201120P92")</f>
        <v>N/A</v>
      </c>
      <c r="W88" t="str">
        <f>RTD("tos.rtd", , "STRIKE", ".DVY201120P92")</f>
        <v>N/A</v>
      </c>
    </row>
    <row r="89" spans="1:23" x14ac:dyDescent="0.45">
      <c r="A89" t="s">
        <v>110</v>
      </c>
      <c r="B89" t="str">
        <f>RTD("tos.rtd", , "DESCRIPTION", ".DVY201120C93")</f>
        <v>N/A</v>
      </c>
      <c r="C89" t="str">
        <f>RTD("tos.rtd", , "PUT_CALL_RATIO", ".DVY201120C93")</f>
        <v>N/A</v>
      </c>
      <c r="D89" t="str">
        <f>RTD("tos.rtd", , "IMPL_VOL", ".DVY201120C93")</f>
        <v>N/A</v>
      </c>
      <c r="E89" t="str">
        <f>RTD("tos.rtd", , "LAST", ".DVY201120C93")</f>
        <v>N/A</v>
      </c>
      <c r="F89" t="str">
        <f>RTD("tos.rtd", , "VOLUME", ".DVY201120C93")</f>
        <v>N/A</v>
      </c>
      <c r="G89" t="str">
        <f>RTD("tos.rtd", , "OPEN_INT", ".DVY201120C93")</f>
        <v>N/A</v>
      </c>
      <c r="H89" t="str">
        <f>RTD("tos.rtd", , "BID", ".DVY201120C93")</f>
        <v>N/A</v>
      </c>
      <c r="I89" t="str">
        <f>RTD("tos.rtd", , "ASK", ".DVY201120C93")</f>
        <v>N/A</v>
      </c>
      <c r="J89" t="str">
        <f>RTD("tos.rtd", , "HIGH", ".DVY201120C93")</f>
        <v>N/A</v>
      </c>
      <c r="K89" t="str">
        <f>RTD("tos.rtd", , "LOW", ".DVY201120C93")</f>
        <v>N/A</v>
      </c>
      <c r="L89" t="str">
        <f>RTD("tos.rtd", , "OPEN", ".DVY201120C93")</f>
        <v>N/A</v>
      </c>
      <c r="M89" t="str">
        <f>RTD("tos.rtd", , "DELTA", ".DVY201120C93")</f>
        <v>N/A</v>
      </c>
      <c r="N89" t="str">
        <f>RTD("tos.rtd", , "GAMMA", ".DVY201120C93")</f>
        <v>N/A</v>
      </c>
      <c r="O89" t="str">
        <f>RTD("tos.rtd", , "THETA", ".DVY201120C93")</f>
        <v>N/A</v>
      </c>
      <c r="P89" t="str">
        <f>RTD("tos.rtd", , "VEGA", ".DVY201120C93")</f>
        <v>N/A</v>
      </c>
      <c r="Q89" t="str">
        <f>RTD("tos.rtd", , "RHO", ".DVY201120C93")</f>
        <v>N/A</v>
      </c>
      <c r="R89" t="str">
        <f>RTD("tos.rtd", , "INTRINSIC", ".DVY201120C93")</f>
        <v>N/A</v>
      </c>
      <c r="S89" t="str">
        <f>RTD("tos.rtd", , "EXTRINSIC", ".DVY201120C93")</f>
        <v>N/A</v>
      </c>
      <c r="T89" t="str">
        <f>RTD("tos.rtd", , "PROB_OF_EXPIRING", ".DVY201120C93")</f>
        <v>N/A</v>
      </c>
      <c r="U89" t="str">
        <f>RTD("tos.rtd", , "PROB_OTM", ".DVY201120C93")</f>
        <v>N/A</v>
      </c>
      <c r="V89" t="str">
        <f>RTD("tos.rtd", , "PROB_OF_TOUCHING", ".DVY201120C93")</f>
        <v>N/A</v>
      </c>
      <c r="W89" t="str">
        <f>RTD("tos.rtd", , "STRIKE", ".DVY201120C93")</f>
        <v>N/A</v>
      </c>
    </row>
    <row r="90" spans="1:23" x14ac:dyDescent="0.45">
      <c r="A90" t="s">
        <v>111</v>
      </c>
      <c r="B90" t="str">
        <f>RTD("tos.rtd", , "DESCRIPTION", ".DVY201120P93")</f>
        <v>N/A</v>
      </c>
      <c r="C90" t="str">
        <f>RTD("tos.rtd", , "PUT_CALL_RATIO", ".DVY201120P93")</f>
        <v>N/A</v>
      </c>
      <c r="D90" t="str">
        <f>RTD("tos.rtd", , "IMPL_VOL", ".DVY201120P93")</f>
        <v>N/A</v>
      </c>
      <c r="E90">
        <f>RTD("tos.rtd", , "LAST", ".DVY201120P93")</f>
        <v>0</v>
      </c>
      <c r="F90">
        <f>RTD("tos.rtd", , "VOLUME", ".DVY201120P93")</f>
        <v>0</v>
      </c>
      <c r="G90">
        <f>RTD("tos.rtd", , "OPEN_INT", ".DVY201120P93")</f>
        <v>0</v>
      </c>
      <c r="H90">
        <f>RTD("tos.rtd", , "BID", ".DVY201120P93")</f>
        <v>3.1</v>
      </c>
      <c r="I90">
        <f>RTD("tos.rtd", , "ASK", ".DVY201120P93")</f>
        <v>3.8</v>
      </c>
      <c r="J90">
        <f>RTD("tos.rtd", , "HIGH", ".DVY201120P93")</f>
        <v>0</v>
      </c>
      <c r="K90">
        <f>RTD("tos.rtd", , "LOW", ".DVY201120P93")</f>
        <v>0</v>
      </c>
      <c r="L90">
        <f>RTD("tos.rtd", , "OPEN", ".DVY201120P93")</f>
        <v>0</v>
      </c>
      <c r="M90" t="str">
        <f>RTD("tos.rtd", , "DELTA", ".DVY201120P93")</f>
        <v>N/A</v>
      </c>
      <c r="N90" t="str">
        <f>RTD("tos.rtd", , "GAMMA", ".DVY201120P93")</f>
        <v>N/A</v>
      </c>
      <c r="O90" t="str">
        <f>RTD("tos.rtd", , "THETA", ".DVY201120P93")</f>
        <v>N/A</v>
      </c>
      <c r="P90" t="str">
        <f>RTD("tos.rtd", , "VEGA", ".DVY201120P93")</f>
        <v>N/A</v>
      </c>
      <c r="Q90" t="str">
        <f>RTD("tos.rtd", , "RHO", ".DVY201120P93")</f>
        <v>N/A</v>
      </c>
      <c r="R90" t="str">
        <f>RTD("tos.rtd", , "INTRINSIC", ".DVY201120P93")</f>
        <v>N/A</v>
      </c>
      <c r="S90" t="str">
        <f>RTD("tos.rtd", , "EXTRINSIC", ".DVY201120P93")</f>
        <v>N/A</v>
      </c>
      <c r="T90" t="str">
        <f>RTD("tos.rtd", , "PROB_OF_EXPIRING", ".DVY201120P93")</f>
        <v>N/A</v>
      </c>
      <c r="U90" t="str">
        <f>RTD("tos.rtd", , "PROB_OTM", ".DVY201120P93")</f>
        <v>N/A</v>
      </c>
      <c r="V90" t="str">
        <f>RTD("tos.rtd", , "PROB_OF_TOUCHING", ".DVY201120P93")</f>
        <v>N/A</v>
      </c>
      <c r="W90" t="str">
        <f>RTD("tos.rtd", , "STRIKE", ".DVY201120P93")</f>
        <v>N/A</v>
      </c>
    </row>
    <row r="91" spans="1:23" x14ac:dyDescent="0.45">
      <c r="A91" t="s">
        <v>112</v>
      </c>
      <c r="B91" t="str">
        <f>RTD("tos.rtd", , "DESCRIPTION", "DXD")</f>
        <v>N/A</v>
      </c>
      <c r="C91">
        <f>RTD("tos.rtd", , "PUT_CALL_RATIO", "DXD")</f>
        <v>0.73899999999999999</v>
      </c>
      <c r="D91" t="str">
        <f>RTD("tos.rtd", , "IMPL_VOL", "DXD")</f>
        <v>62.10%</v>
      </c>
      <c r="E91">
        <f>RTD("tos.rtd", , "LAST", "DXD")</f>
        <v>13.99</v>
      </c>
      <c r="F91">
        <f>RTD("tos.rtd", , "VOLUME", "DXD")</f>
        <v>2036438</v>
      </c>
      <c r="G91">
        <f>RTD("tos.rtd", , "OPEN_INT", "DXD")</f>
        <v>0</v>
      </c>
      <c r="H91">
        <f>RTD("tos.rtd", , "BID", "DXD")</f>
        <v>14.03</v>
      </c>
      <c r="I91">
        <f>RTD("tos.rtd", , "ASK", "DXD")</f>
        <v>14.05</v>
      </c>
      <c r="J91">
        <f>RTD("tos.rtd", , "HIGH", "DXD")</f>
        <v>14.15</v>
      </c>
      <c r="K91">
        <f>RTD("tos.rtd", , "LOW", "DXD")</f>
        <v>13.7799</v>
      </c>
      <c r="L91">
        <f>RTD("tos.rtd", , "OPEN", "DXD")</f>
        <v>13.86</v>
      </c>
      <c r="M91">
        <f>RTD("tos.rtd", , "DELTA", "DXD")</f>
        <v>1</v>
      </c>
      <c r="N91">
        <f>RTD("tos.rtd", , "GAMMA", "DXD")</f>
        <v>0</v>
      </c>
      <c r="O91">
        <f>RTD("tos.rtd", , "THETA", "DXD")</f>
        <v>0</v>
      </c>
      <c r="P91">
        <f>RTD("tos.rtd", , "VEGA", "DXD")</f>
        <v>0</v>
      </c>
      <c r="Q91">
        <f>RTD("tos.rtd", , "RHO", "DXD")</f>
        <v>0</v>
      </c>
      <c r="R91" t="str">
        <f>RTD("tos.rtd", , "INTRINSIC", "DXD")</f>
        <v>N/A</v>
      </c>
      <c r="S91" t="str">
        <f>RTD("tos.rtd", , "EXTRINSIC", "DXD")</f>
        <v>N/A</v>
      </c>
      <c r="T91" t="str">
        <f>RTD("tos.rtd", , "PROB_OF_EXPIRING", "DXD")</f>
        <v>N/A</v>
      </c>
      <c r="U91" t="str">
        <f>RTD("tos.rtd", , "PROB_OTM", "DXD")</f>
        <v>N/A</v>
      </c>
      <c r="V91" t="str">
        <f>RTD("tos.rtd", , "PROB_OF_TOUCHING", "DXD")</f>
        <v>N/A</v>
      </c>
      <c r="W91" t="str">
        <f>RTD("tos.rtd", , "STRIKE", "DXD")</f>
        <v>N/A</v>
      </c>
    </row>
    <row r="92" spans="1:23" x14ac:dyDescent="0.45">
      <c r="A92" t="s">
        <v>113</v>
      </c>
      <c r="B92" t="str">
        <f>RTD("tos.rtd", , "DESCRIPTION", ".DXD201120C14")</f>
        <v>N/A</v>
      </c>
      <c r="C92" t="str">
        <f>RTD("tos.rtd", , "PUT_CALL_RATIO", ".DXD201120C14")</f>
        <v>N/A</v>
      </c>
      <c r="D92" t="str">
        <f>RTD("tos.rtd", , "IMPL_VOL", ".DXD201120C14")</f>
        <v>N/A</v>
      </c>
      <c r="E92">
        <f>RTD("tos.rtd", , "LAST", ".DXD201120C14")</f>
        <v>0.4</v>
      </c>
      <c r="F92">
        <f>RTD("tos.rtd", , "VOLUME", ".DXD201120C14")</f>
        <v>171</v>
      </c>
      <c r="G92">
        <f>RTD("tos.rtd", , "OPEN_INT", ".DXD201120C14")</f>
        <v>273</v>
      </c>
      <c r="H92">
        <f>RTD("tos.rtd", , "BID", ".DXD201120C14")</f>
        <v>0.35</v>
      </c>
      <c r="I92">
        <f>RTD("tos.rtd", , "ASK", ".DXD201120C14")</f>
        <v>0.4</v>
      </c>
      <c r="J92">
        <f>RTD("tos.rtd", , "HIGH", ".DXD201120C14")</f>
        <v>0.49</v>
      </c>
      <c r="K92">
        <f>RTD("tos.rtd", , "LOW", ".DXD201120C14")</f>
        <v>0.25</v>
      </c>
      <c r="L92">
        <f>RTD("tos.rtd", , "OPEN", ".DXD201120C14")</f>
        <v>0.3</v>
      </c>
      <c r="M92" t="str">
        <f>RTD("tos.rtd", , "DELTA", ".DXD201120C14")</f>
        <v>N/A</v>
      </c>
      <c r="N92" t="str">
        <f>RTD("tos.rtd", , "GAMMA", ".DXD201120C14")</f>
        <v>N/A</v>
      </c>
      <c r="O92" t="str">
        <f>RTD("tos.rtd", , "THETA", ".DXD201120C14")</f>
        <v>N/A</v>
      </c>
      <c r="P92" t="str">
        <f>RTD("tos.rtd", , "VEGA", ".DXD201120C14")</f>
        <v>N/A</v>
      </c>
      <c r="Q92" t="str">
        <f>RTD("tos.rtd", , "RHO", ".DXD201120C14")</f>
        <v>N/A</v>
      </c>
      <c r="R92" t="str">
        <f>RTD("tos.rtd", , "INTRINSIC", ".DXD201120C14")</f>
        <v>N/A</v>
      </c>
      <c r="S92" t="str">
        <f>RTD("tos.rtd", , "EXTRINSIC", ".DXD201120C14")</f>
        <v>N/A</v>
      </c>
      <c r="T92" t="str">
        <f>RTD("tos.rtd", , "PROB_OF_EXPIRING", ".DXD201120C14")</f>
        <v>N/A</v>
      </c>
      <c r="U92" t="str">
        <f>RTD("tos.rtd", , "PROB_OTM", ".DXD201120C14")</f>
        <v>N/A</v>
      </c>
      <c r="V92" t="str">
        <f>RTD("tos.rtd", , "PROB_OF_TOUCHING", ".DXD201120C14")</f>
        <v>N/A</v>
      </c>
      <c r="W92" t="str">
        <f>RTD("tos.rtd", , "STRIKE", ".DXD201120C14")</f>
        <v>N/A</v>
      </c>
    </row>
    <row r="93" spans="1:23" x14ac:dyDescent="0.45">
      <c r="A93" t="s">
        <v>114</v>
      </c>
      <c r="B93" t="str">
        <f>RTD("tos.rtd", , "DESCRIPTION", ".DXD201120P14")</f>
        <v>N/A</v>
      </c>
      <c r="C93" t="str">
        <f>RTD("tos.rtd", , "PUT_CALL_RATIO", ".DXD201120P14")</f>
        <v>N/A</v>
      </c>
      <c r="D93" t="str">
        <f>RTD("tos.rtd", , "IMPL_VOL", ".DXD201120P14")</f>
        <v>N/A</v>
      </c>
      <c r="E93">
        <f>RTD("tos.rtd", , "LAST", ".DXD201120P14")</f>
        <v>0.4</v>
      </c>
      <c r="F93">
        <f>RTD("tos.rtd", , "VOLUME", ".DXD201120P14")</f>
        <v>9</v>
      </c>
      <c r="G93">
        <f>RTD("tos.rtd", , "OPEN_INT", ".DXD201120P14")</f>
        <v>107</v>
      </c>
      <c r="H93">
        <f>RTD("tos.rtd", , "BID", ".DXD201120P14")</f>
        <v>0.3</v>
      </c>
      <c r="I93">
        <f>RTD("tos.rtd", , "ASK", ".DXD201120P14")</f>
        <v>0.4</v>
      </c>
      <c r="J93">
        <f>RTD("tos.rtd", , "HIGH", ".DXD201120P14")</f>
        <v>0.6</v>
      </c>
      <c r="K93">
        <f>RTD("tos.rtd", , "LOW", ".DXD201120P14")</f>
        <v>0.3</v>
      </c>
      <c r="L93">
        <f>RTD("tos.rtd", , "OPEN", ".DXD201120P14")</f>
        <v>0.6</v>
      </c>
      <c r="M93" t="str">
        <f>RTD("tos.rtd", , "DELTA", ".DXD201120P14")</f>
        <v>N/A</v>
      </c>
      <c r="N93" t="str">
        <f>RTD("tos.rtd", , "GAMMA", ".DXD201120P14")</f>
        <v>N/A</v>
      </c>
      <c r="O93" t="str">
        <f>RTD("tos.rtd", , "THETA", ".DXD201120P14")</f>
        <v>N/A</v>
      </c>
      <c r="P93" t="str">
        <f>RTD("tos.rtd", , "VEGA", ".DXD201120P14")</f>
        <v>N/A</v>
      </c>
      <c r="Q93" t="str">
        <f>RTD("tos.rtd", , "RHO", ".DXD201120P14")</f>
        <v>N/A</v>
      </c>
      <c r="R93" t="str">
        <f>RTD("tos.rtd", , "INTRINSIC", ".DXD201120P14")</f>
        <v>N/A</v>
      </c>
      <c r="S93" t="str">
        <f>RTD("tos.rtd", , "EXTRINSIC", ".DXD201120P14")</f>
        <v>N/A</v>
      </c>
      <c r="T93" t="str">
        <f>RTD("tos.rtd", , "PROB_OF_EXPIRING", ".DXD201120P14")</f>
        <v>N/A</v>
      </c>
      <c r="U93" t="str">
        <f>RTD("tos.rtd", , "PROB_OTM", ".DXD201120P14")</f>
        <v>N/A</v>
      </c>
      <c r="V93" t="str">
        <f>RTD("tos.rtd", , "PROB_OF_TOUCHING", ".DXD201120P14")</f>
        <v>N/A</v>
      </c>
      <c r="W93" t="str">
        <f>RTD("tos.rtd", , "STRIKE", ".DXD201120P14")</f>
        <v>N/A</v>
      </c>
    </row>
    <row r="94" spans="1:23" x14ac:dyDescent="0.45">
      <c r="A94" t="s">
        <v>115</v>
      </c>
      <c r="B94" t="str">
        <f>RTD("tos.rtd", , "DESCRIPTION", "EEM")</f>
        <v>ISHARES TRUST MSCI EMG MKT ETF</v>
      </c>
      <c r="C94">
        <f>RTD("tos.rtd", , "PUT_CALL_RATIO", "EEM")</f>
        <v>1.8320000000000001</v>
      </c>
      <c r="D94" t="str">
        <f>RTD("tos.rtd", , "IMPL_VOL", "EEM")</f>
        <v>23.62%</v>
      </c>
      <c r="E94">
        <f>RTD("tos.rtd", , "LAST", "EEM")</f>
        <v>47.66</v>
      </c>
      <c r="F94">
        <f>RTD("tos.rtd", , "VOLUME", "EEM")</f>
        <v>41294750</v>
      </c>
      <c r="G94">
        <f>RTD("tos.rtd", , "OPEN_INT", "EEM")</f>
        <v>0</v>
      </c>
      <c r="H94">
        <f>RTD("tos.rtd", , "BID", "EEM")</f>
        <v>47.68</v>
      </c>
      <c r="I94">
        <f>RTD("tos.rtd", , "ASK", "EEM")</f>
        <v>48.23</v>
      </c>
      <c r="J94">
        <f>RTD("tos.rtd", , "HIGH", "EEM")</f>
        <v>48.31</v>
      </c>
      <c r="K94">
        <f>RTD("tos.rtd", , "LOW", "EEM")</f>
        <v>47.54</v>
      </c>
      <c r="L94">
        <f>RTD("tos.rtd", , "OPEN", "EEM")</f>
        <v>48.14</v>
      </c>
      <c r="M94">
        <f>RTD("tos.rtd", , "DELTA", "EEM")</f>
        <v>1</v>
      </c>
      <c r="N94">
        <f>RTD("tos.rtd", , "GAMMA", "EEM")</f>
        <v>0</v>
      </c>
      <c r="O94">
        <f>RTD("tos.rtd", , "THETA", "EEM")</f>
        <v>0</v>
      </c>
      <c r="P94">
        <f>RTD("tos.rtd", , "VEGA", "EEM")</f>
        <v>0</v>
      </c>
      <c r="Q94">
        <f>RTD("tos.rtd", , "RHO", "EEM")</f>
        <v>0</v>
      </c>
      <c r="R94" t="str">
        <f>RTD("tos.rtd", , "INTRINSIC", "EEM")</f>
        <v>N/A</v>
      </c>
      <c r="S94" t="str">
        <f>RTD("tos.rtd", , "EXTRINSIC", "EEM")</f>
        <v>N/A</v>
      </c>
      <c r="T94" t="str">
        <f>RTD("tos.rtd", , "PROB_OF_EXPIRING", "EEM")</f>
        <v>N/A</v>
      </c>
      <c r="U94" t="str">
        <f>RTD("tos.rtd", , "PROB_OTM", "EEM")</f>
        <v>N/A</v>
      </c>
      <c r="V94" t="str">
        <f>RTD("tos.rtd", , "PROB_OF_TOUCHING", "EEM")</f>
        <v>N/A</v>
      </c>
      <c r="W94" t="str">
        <f>RTD("tos.rtd", , "STRIKE", "EEM")</f>
        <v>N/A</v>
      </c>
    </row>
    <row r="95" spans="1:23" x14ac:dyDescent="0.45">
      <c r="A95" t="s">
        <v>116</v>
      </c>
      <c r="B95" t="str">
        <f>RTD("tos.rtd", , "DESCRIPTION", ".EEM201120C47.5")</f>
        <v>N/A</v>
      </c>
      <c r="C95" t="str">
        <f>RTD("tos.rtd", , "PUT_CALL_RATIO", ".EEM201120C47.5")</f>
        <v>N/A</v>
      </c>
      <c r="D95" t="str">
        <f>RTD("tos.rtd", , "IMPL_VOL", ".EEM201120C47.5")</f>
        <v>N/A</v>
      </c>
      <c r="E95">
        <f>RTD("tos.rtd", , "LAST", ".EEM201120C47.5")</f>
        <v>0.67</v>
      </c>
      <c r="F95">
        <f>RTD("tos.rtd", , "VOLUME", ".EEM201120C47.5")</f>
        <v>936</v>
      </c>
      <c r="G95">
        <f>RTD("tos.rtd", , "OPEN_INT", ".EEM201120C47.5")</f>
        <v>18864</v>
      </c>
      <c r="H95">
        <f>RTD("tos.rtd", , "BID", ".EEM201120C47.5")</f>
        <v>0.68</v>
      </c>
      <c r="I95">
        <f>RTD("tos.rtd", , "ASK", ".EEM201120C47.5")</f>
        <v>0.71</v>
      </c>
      <c r="J95">
        <f>RTD("tos.rtd", , "HIGH", ".EEM201120C47.5")</f>
        <v>1</v>
      </c>
      <c r="K95">
        <f>RTD("tos.rtd", , "LOW", ".EEM201120C47.5")</f>
        <v>0.62</v>
      </c>
      <c r="L95">
        <f>RTD("tos.rtd", , "OPEN", ".EEM201120C47.5")</f>
        <v>1</v>
      </c>
      <c r="M95" t="str">
        <f>RTD("tos.rtd", , "DELTA", ".EEM201120C47.5")</f>
        <v>N/A</v>
      </c>
      <c r="N95" t="str">
        <f>RTD("tos.rtd", , "GAMMA", ".EEM201120C47.5")</f>
        <v>N/A</v>
      </c>
      <c r="O95" t="str">
        <f>RTD("tos.rtd", , "THETA", ".EEM201120C47.5")</f>
        <v>N/A</v>
      </c>
      <c r="P95" t="str">
        <f>RTD("tos.rtd", , "VEGA", ".EEM201120C47.5")</f>
        <v>N/A</v>
      </c>
      <c r="Q95" t="str">
        <f>RTD("tos.rtd", , "RHO", ".EEM201120C47.5")</f>
        <v>N/A</v>
      </c>
      <c r="R95" t="str">
        <f>RTD("tos.rtd", , "INTRINSIC", ".EEM201120C47.5")</f>
        <v>N/A</v>
      </c>
      <c r="S95" t="str">
        <f>RTD("tos.rtd", , "EXTRINSIC", ".EEM201120C47.5")</f>
        <v>N/A</v>
      </c>
      <c r="T95" t="str">
        <f>RTD("tos.rtd", , "PROB_OF_EXPIRING", ".EEM201120C47.5")</f>
        <v>N/A</v>
      </c>
      <c r="U95" t="str">
        <f>RTD("tos.rtd", , "PROB_OTM", ".EEM201120C47.5")</f>
        <v>N/A</v>
      </c>
      <c r="V95" t="str">
        <f>RTD("tos.rtd", , "PROB_OF_TOUCHING", ".EEM201120C47.5")</f>
        <v>N/A</v>
      </c>
      <c r="W95" t="str">
        <f>RTD("tos.rtd", , "STRIKE", ".EEM201120C47.5")</f>
        <v>N/A</v>
      </c>
    </row>
    <row r="96" spans="1:23" x14ac:dyDescent="0.45">
      <c r="A96" t="s">
        <v>117</v>
      </c>
      <c r="B96" t="str">
        <f>RTD("tos.rtd", , "DESCRIPTION", ".EEM201120P47.5")</f>
        <v>N/A</v>
      </c>
      <c r="C96" t="str">
        <f>RTD("tos.rtd", , "PUT_CALL_RATIO", ".EEM201120P47.5")</f>
        <v>N/A</v>
      </c>
      <c r="D96" t="str">
        <f>RTD("tos.rtd", , "IMPL_VOL", ".EEM201120P47.5")</f>
        <v>N/A</v>
      </c>
      <c r="E96">
        <f>RTD("tos.rtd", , "LAST", ".EEM201120P47.5")</f>
        <v>0.55000000000000004</v>
      </c>
      <c r="F96">
        <f>RTD("tos.rtd", , "VOLUME", ".EEM201120P47.5")</f>
        <v>2546</v>
      </c>
      <c r="G96">
        <f>RTD("tos.rtd", , "OPEN_INT", ".EEM201120P47.5")</f>
        <v>5673</v>
      </c>
      <c r="H96">
        <f>RTD("tos.rtd", , "BID", ".EEM201120P47.5")</f>
        <v>0.46</v>
      </c>
      <c r="I96">
        <f>RTD("tos.rtd", , "ASK", ".EEM201120P47.5")</f>
        <v>0.53</v>
      </c>
      <c r="J96">
        <f>RTD("tos.rtd", , "HIGH", ".EEM201120P47.5")</f>
        <v>0.55000000000000004</v>
      </c>
      <c r="K96">
        <f>RTD("tos.rtd", , "LOW", ".EEM201120P47.5")</f>
        <v>0.23</v>
      </c>
      <c r="L96">
        <f>RTD("tos.rtd", , "OPEN", ".EEM201120P47.5")</f>
        <v>0.3</v>
      </c>
      <c r="M96" t="str">
        <f>RTD("tos.rtd", , "DELTA", ".EEM201120P47.5")</f>
        <v>N/A</v>
      </c>
      <c r="N96" t="str">
        <f>RTD("tos.rtd", , "GAMMA", ".EEM201120P47.5")</f>
        <v>N/A</v>
      </c>
      <c r="O96" t="str">
        <f>RTD("tos.rtd", , "THETA", ".EEM201120P47.5")</f>
        <v>N/A</v>
      </c>
      <c r="P96" t="str">
        <f>RTD("tos.rtd", , "VEGA", ".EEM201120P47.5")</f>
        <v>N/A</v>
      </c>
      <c r="Q96" t="str">
        <f>RTD("tos.rtd", , "RHO", ".EEM201120P47.5")</f>
        <v>N/A</v>
      </c>
      <c r="R96" t="str">
        <f>RTD("tos.rtd", , "INTRINSIC", ".EEM201120P47.5")</f>
        <v>N/A</v>
      </c>
      <c r="S96" t="str">
        <f>RTD("tos.rtd", , "EXTRINSIC", ".EEM201120P47.5")</f>
        <v>N/A</v>
      </c>
      <c r="T96" t="str">
        <f>RTD("tos.rtd", , "PROB_OF_EXPIRING", ".EEM201120P47.5")</f>
        <v>N/A</v>
      </c>
      <c r="U96" t="str">
        <f>RTD("tos.rtd", , "PROB_OTM", ".EEM201120P47.5")</f>
        <v>N/A</v>
      </c>
      <c r="V96" t="str">
        <f>RTD("tos.rtd", , "PROB_OF_TOUCHING", ".EEM201120P47.5")</f>
        <v>N/A</v>
      </c>
      <c r="W96" t="str">
        <f>RTD("tos.rtd", , "STRIKE", ".EEM201120P47.5")</f>
        <v>N/A</v>
      </c>
    </row>
    <row r="97" spans="1:23" x14ac:dyDescent="0.45">
      <c r="A97" t="s">
        <v>118</v>
      </c>
      <c r="B97" t="str">
        <f>RTD("tos.rtd", , "DESCRIPTION", ".EEM201120C48")</f>
        <v>N/A</v>
      </c>
      <c r="C97" t="str">
        <f>RTD("tos.rtd", , "PUT_CALL_RATIO", ".EEM201120C48")</f>
        <v>N/A</v>
      </c>
      <c r="D97" t="str">
        <f>RTD("tos.rtd", , "IMPL_VOL", ".EEM201120C48")</f>
        <v>N/A</v>
      </c>
      <c r="E97">
        <f>RTD("tos.rtd", , "LAST", ".EEM201120C48")</f>
        <v>0.37</v>
      </c>
      <c r="F97">
        <f>RTD("tos.rtd", , "VOLUME", ".EEM201120C48")</f>
        <v>14209</v>
      </c>
      <c r="G97">
        <f>RTD("tos.rtd", , "OPEN_INT", ".EEM201120C48")</f>
        <v>48143</v>
      </c>
      <c r="H97">
        <f>RTD("tos.rtd", , "BID", ".EEM201120C48")</f>
        <v>0.38</v>
      </c>
      <c r="I97">
        <f>RTD("tos.rtd", , "ASK", ".EEM201120C48")</f>
        <v>0.45</v>
      </c>
      <c r="J97">
        <f>RTD("tos.rtd", , "HIGH", ".EEM201120C48")</f>
        <v>0.66</v>
      </c>
      <c r="K97">
        <f>RTD("tos.rtd", , "LOW", ".EEM201120C48")</f>
        <v>0.36</v>
      </c>
      <c r="L97">
        <f>RTD("tos.rtd", , "OPEN", ".EEM201120C48")</f>
        <v>0.59</v>
      </c>
      <c r="M97" t="str">
        <f>RTD("tos.rtd", , "DELTA", ".EEM201120C48")</f>
        <v>N/A</v>
      </c>
      <c r="N97" t="str">
        <f>RTD("tos.rtd", , "GAMMA", ".EEM201120C48")</f>
        <v>N/A</v>
      </c>
      <c r="O97" t="str">
        <f>RTD("tos.rtd", , "THETA", ".EEM201120C48")</f>
        <v>N/A</v>
      </c>
      <c r="P97" t="str">
        <f>RTD("tos.rtd", , "VEGA", ".EEM201120C48")</f>
        <v>N/A</v>
      </c>
      <c r="Q97" t="str">
        <f>RTD("tos.rtd", , "RHO", ".EEM201120C48")</f>
        <v>N/A</v>
      </c>
      <c r="R97" t="str">
        <f>RTD("tos.rtd", , "INTRINSIC", ".EEM201120C48")</f>
        <v>N/A</v>
      </c>
      <c r="S97" t="str">
        <f>RTD("tos.rtd", , "EXTRINSIC", ".EEM201120C48")</f>
        <v>N/A</v>
      </c>
      <c r="T97" t="str">
        <f>RTD("tos.rtd", , "PROB_OF_EXPIRING", ".EEM201120C48")</f>
        <v>N/A</v>
      </c>
      <c r="U97" t="str">
        <f>RTD("tos.rtd", , "PROB_OTM", ".EEM201120C48")</f>
        <v>N/A</v>
      </c>
      <c r="V97" t="str">
        <f>RTD("tos.rtd", , "PROB_OF_TOUCHING", ".EEM201120C48")</f>
        <v>N/A</v>
      </c>
      <c r="W97" t="str">
        <f>RTD("tos.rtd", , "STRIKE", ".EEM201120C48")</f>
        <v>N/A</v>
      </c>
    </row>
    <row r="98" spans="1:23" x14ac:dyDescent="0.45">
      <c r="A98" t="s">
        <v>119</v>
      </c>
      <c r="B98" t="str">
        <f>RTD("tos.rtd", , "DESCRIPTION", ".EEM201120P48")</f>
        <v>N/A</v>
      </c>
      <c r="C98" t="str">
        <f>RTD("tos.rtd", , "PUT_CALL_RATIO", ".EEM201120P48")</f>
        <v>N/A</v>
      </c>
      <c r="D98" t="str">
        <f>RTD("tos.rtd", , "IMPL_VOL", ".EEM201120P48")</f>
        <v>N/A</v>
      </c>
      <c r="E98">
        <f>RTD("tos.rtd", , "LAST", ".EEM201120P48")</f>
        <v>0.78</v>
      </c>
      <c r="F98">
        <f>RTD("tos.rtd", , "VOLUME", ".EEM201120P48")</f>
        <v>424</v>
      </c>
      <c r="G98">
        <f>RTD("tos.rtd", , "OPEN_INT", ".EEM201120P48")</f>
        <v>12325</v>
      </c>
      <c r="H98">
        <f>RTD("tos.rtd", , "BID", ".EEM201120P48")</f>
        <v>0.69</v>
      </c>
      <c r="I98">
        <f>RTD("tos.rtd", , "ASK", ".EEM201120P48")</f>
        <v>0.85</v>
      </c>
      <c r="J98">
        <f>RTD("tos.rtd", , "HIGH", ".EEM201120P48")</f>
        <v>0.78</v>
      </c>
      <c r="K98">
        <f>RTD("tos.rtd", , "LOW", ".EEM201120P48")</f>
        <v>0.37</v>
      </c>
      <c r="L98">
        <f>RTD("tos.rtd", , "OPEN", ".EEM201120P48")</f>
        <v>0.44</v>
      </c>
      <c r="M98" t="str">
        <f>RTD("tos.rtd", , "DELTA", ".EEM201120P48")</f>
        <v>N/A</v>
      </c>
      <c r="N98" t="str">
        <f>RTD("tos.rtd", , "GAMMA", ".EEM201120P48")</f>
        <v>N/A</v>
      </c>
      <c r="O98" t="str">
        <f>RTD("tos.rtd", , "THETA", ".EEM201120P48")</f>
        <v>N/A</v>
      </c>
      <c r="P98" t="str">
        <f>RTD("tos.rtd", , "VEGA", ".EEM201120P48")</f>
        <v>N/A</v>
      </c>
      <c r="Q98" t="str">
        <f>RTD("tos.rtd", , "RHO", ".EEM201120P48")</f>
        <v>N/A</v>
      </c>
      <c r="R98" t="str">
        <f>RTD("tos.rtd", , "INTRINSIC", ".EEM201120P48")</f>
        <v>N/A</v>
      </c>
      <c r="S98" t="str">
        <f>RTD("tos.rtd", , "EXTRINSIC", ".EEM201120P48")</f>
        <v>N/A</v>
      </c>
      <c r="T98" t="str">
        <f>RTD("tos.rtd", , "PROB_OF_EXPIRING", ".EEM201120P48")</f>
        <v>N/A</v>
      </c>
      <c r="U98" t="str">
        <f>RTD("tos.rtd", , "PROB_OTM", ".EEM201120P48")</f>
        <v>N/A</v>
      </c>
      <c r="V98" t="str">
        <f>RTD("tos.rtd", , "PROB_OF_TOUCHING", ".EEM201120P48")</f>
        <v>N/A</v>
      </c>
      <c r="W98" t="str">
        <f>RTD("tos.rtd", , "STRIKE", ".EEM201120P48")</f>
        <v>N/A</v>
      </c>
    </row>
    <row r="99" spans="1:23" x14ac:dyDescent="0.45">
      <c r="A99" t="s">
        <v>120</v>
      </c>
      <c r="B99" t="str">
        <f>RTD("tos.rtd", , "DESCRIPTION", ".EEM201120C48.5")</f>
        <v>N/A</v>
      </c>
      <c r="C99" t="str">
        <f>RTD("tos.rtd", , "PUT_CALL_RATIO", ".EEM201120C48.5")</f>
        <v>N/A</v>
      </c>
      <c r="D99" t="str">
        <f>RTD("tos.rtd", , "IMPL_VOL", ".EEM201120C48.5")</f>
        <v>N/A</v>
      </c>
      <c r="E99">
        <f>RTD("tos.rtd", , "LAST", ".EEM201120C48.5")</f>
        <v>0.23</v>
      </c>
      <c r="F99">
        <f>RTD("tos.rtd", , "VOLUME", ".EEM201120C48.5")</f>
        <v>1400</v>
      </c>
      <c r="G99">
        <f>RTD("tos.rtd", , "OPEN_INT", ".EEM201120C48.5")</f>
        <v>7371</v>
      </c>
      <c r="H99">
        <f>RTD("tos.rtd", , "BID", ".EEM201120C48.5")</f>
        <v>0.19</v>
      </c>
      <c r="I99">
        <f>RTD("tos.rtd", , "ASK", ".EEM201120C48.5")</f>
        <v>0.26</v>
      </c>
      <c r="J99">
        <f>RTD("tos.rtd", , "HIGH", ".EEM201120C48.5")</f>
        <v>0.37</v>
      </c>
      <c r="K99">
        <f>RTD("tos.rtd", , "LOW", ".EEM201120C48.5")</f>
        <v>0.18</v>
      </c>
      <c r="L99">
        <f>RTD("tos.rtd", , "OPEN", ".EEM201120C48.5")</f>
        <v>0.3</v>
      </c>
      <c r="M99" t="str">
        <f>RTD("tos.rtd", , "DELTA", ".EEM201120C48.5")</f>
        <v>N/A</v>
      </c>
      <c r="N99" t="str">
        <f>RTD("tos.rtd", , "GAMMA", ".EEM201120C48.5")</f>
        <v>N/A</v>
      </c>
      <c r="O99" t="str">
        <f>RTD("tos.rtd", , "THETA", ".EEM201120C48.5")</f>
        <v>N/A</v>
      </c>
      <c r="P99" t="str">
        <f>RTD("tos.rtd", , "VEGA", ".EEM201120C48.5")</f>
        <v>N/A</v>
      </c>
      <c r="Q99" t="str">
        <f>RTD("tos.rtd", , "RHO", ".EEM201120C48.5")</f>
        <v>N/A</v>
      </c>
      <c r="R99" t="str">
        <f>RTD("tos.rtd", , "INTRINSIC", ".EEM201120C48.5")</f>
        <v>N/A</v>
      </c>
      <c r="S99" t="str">
        <f>RTD("tos.rtd", , "EXTRINSIC", ".EEM201120C48.5")</f>
        <v>N/A</v>
      </c>
      <c r="T99" t="str">
        <f>RTD("tos.rtd", , "PROB_OF_EXPIRING", ".EEM201120C48.5")</f>
        <v>N/A</v>
      </c>
      <c r="U99" t="str">
        <f>RTD("tos.rtd", , "PROB_OTM", ".EEM201120C48.5")</f>
        <v>N/A</v>
      </c>
      <c r="V99" t="str">
        <f>RTD("tos.rtd", , "PROB_OF_TOUCHING", ".EEM201120C48.5")</f>
        <v>N/A</v>
      </c>
      <c r="W99" t="str">
        <f>RTD("tos.rtd", , "STRIKE", ".EEM201120C48.5")</f>
        <v>N/A</v>
      </c>
    </row>
    <row r="100" spans="1:23" x14ac:dyDescent="0.45">
      <c r="A100" t="s">
        <v>121</v>
      </c>
      <c r="B100" t="str">
        <f>RTD("tos.rtd", , "DESCRIPTION", ".EEM201120P48.5")</f>
        <v>N/A</v>
      </c>
      <c r="C100" t="str">
        <f>RTD("tos.rtd", , "PUT_CALL_RATIO", ".EEM201120P48.5")</f>
        <v>N/A</v>
      </c>
      <c r="D100" t="str">
        <f>RTD("tos.rtd", , "IMPL_VOL", ".EEM201120P48.5")</f>
        <v>N/A</v>
      </c>
      <c r="E100">
        <f>RTD("tos.rtd", , "LAST", ".EEM201120P48.5")</f>
        <v>0.83</v>
      </c>
      <c r="F100">
        <f>RTD("tos.rtd", , "VOLUME", ".EEM201120P48.5")</f>
        <v>30</v>
      </c>
      <c r="G100">
        <f>RTD("tos.rtd", , "OPEN_INT", ".EEM201120P48.5")</f>
        <v>4692</v>
      </c>
      <c r="H100">
        <f>RTD("tos.rtd", , "BID", ".EEM201120P48.5")</f>
        <v>1</v>
      </c>
      <c r="I100">
        <f>RTD("tos.rtd", , "ASK", ".EEM201120P48.5")</f>
        <v>1.1299999999999999</v>
      </c>
      <c r="J100">
        <f>RTD("tos.rtd", , "HIGH", ".EEM201120P48.5")</f>
        <v>0.88</v>
      </c>
      <c r="K100">
        <f>RTD("tos.rtd", , "LOW", ".EEM201120P48.5")</f>
        <v>0.6</v>
      </c>
      <c r="L100">
        <f>RTD("tos.rtd", , "OPEN", ".EEM201120P48.5")</f>
        <v>0.62</v>
      </c>
      <c r="M100" t="str">
        <f>RTD("tos.rtd", , "DELTA", ".EEM201120P48.5")</f>
        <v>N/A</v>
      </c>
      <c r="N100" t="str">
        <f>RTD("tos.rtd", , "GAMMA", ".EEM201120P48.5")</f>
        <v>N/A</v>
      </c>
      <c r="O100" t="str">
        <f>RTD("tos.rtd", , "THETA", ".EEM201120P48.5")</f>
        <v>N/A</v>
      </c>
      <c r="P100" t="str">
        <f>RTD("tos.rtd", , "VEGA", ".EEM201120P48.5")</f>
        <v>N/A</v>
      </c>
      <c r="Q100" t="str">
        <f>RTD("tos.rtd", , "RHO", ".EEM201120P48.5")</f>
        <v>N/A</v>
      </c>
      <c r="R100" t="str">
        <f>RTD("tos.rtd", , "INTRINSIC", ".EEM201120P48.5")</f>
        <v>N/A</v>
      </c>
      <c r="S100" t="str">
        <f>RTD("tos.rtd", , "EXTRINSIC", ".EEM201120P48.5")</f>
        <v>N/A</v>
      </c>
      <c r="T100" t="str">
        <f>RTD("tos.rtd", , "PROB_OF_EXPIRING", ".EEM201120P48.5")</f>
        <v>N/A</v>
      </c>
      <c r="U100" t="str">
        <f>RTD("tos.rtd", , "PROB_OTM", ".EEM201120P48.5")</f>
        <v>N/A</v>
      </c>
      <c r="V100" t="str">
        <f>RTD("tos.rtd", , "PROB_OF_TOUCHING", ".EEM201120P48.5")</f>
        <v>N/A</v>
      </c>
      <c r="W100" t="str">
        <f>RTD("tos.rtd", , "STRIKE", ".EEM201120P48.5")</f>
        <v>N/A</v>
      </c>
    </row>
    <row r="101" spans="1:23" x14ac:dyDescent="0.45">
      <c r="A101" t="s">
        <v>122</v>
      </c>
      <c r="B101" t="str">
        <f>RTD("tos.rtd", , "DESCRIPTION", "EFA")</f>
        <v>ISHARES TRUST MSCI EAFE ETF</v>
      </c>
      <c r="C101">
        <f>RTD("tos.rtd", , "PUT_CALL_RATIO", "EFA")</f>
        <v>3.0129999999999999</v>
      </c>
      <c r="D101" t="str">
        <f>RTD("tos.rtd", , "IMPL_VOL", "EFA")</f>
        <v>22.60%</v>
      </c>
      <c r="E101">
        <f>RTD("tos.rtd", , "LAST", "EFA")</f>
        <v>68.319999999999993</v>
      </c>
      <c r="F101">
        <f>RTD("tos.rtd", , "VOLUME", "EFA")</f>
        <v>24076685</v>
      </c>
      <c r="G101">
        <f>RTD("tos.rtd", , "OPEN_INT", "EFA")</f>
        <v>0</v>
      </c>
      <c r="H101">
        <f>RTD("tos.rtd", , "BID", "EFA")</f>
        <v>68.180000000000007</v>
      </c>
      <c r="I101">
        <f>RTD("tos.rtd", , "ASK", "EFA")</f>
        <v>68.41</v>
      </c>
      <c r="J101">
        <f>RTD("tos.rtd", , "HIGH", "EFA")</f>
        <v>68.97</v>
      </c>
      <c r="K101">
        <f>RTD("tos.rtd", , "LOW", "EFA")</f>
        <v>68.16</v>
      </c>
      <c r="L101">
        <f>RTD("tos.rtd", , "OPEN", "EFA")</f>
        <v>68.75</v>
      </c>
      <c r="M101">
        <f>RTD("tos.rtd", , "DELTA", "EFA")</f>
        <v>1</v>
      </c>
      <c r="N101">
        <f>RTD("tos.rtd", , "GAMMA", "EFA")</f>
        <v>0</v>
      </c>
      <c r="O101">
        <f>RTD("tos.rtd", , "THETA", "EFA")</f>
        <v>0</v>
      </c>
      <c r="P101">
        <f>RTD("tos.rtd", , "VEGA", "EFA")</f>
        <v>0</v>
      </c>
      <c r="Q101">
        <f>RTD("tos.rtd", , "RHO", "EFA")</f>
        <v>0</v>
      </c>
      <c r="R101" t="str">
        <f>RTD("tos.rtd", , "INTRINSIC", "EFA")</f>
        <v>N/A</v>
      </c>
      <c r="S101" t="str">
        <f>RTD("tos.rtd", , "EXTRINSIC", "EFA")</f>
        <v>N/A</v>
      </c>
      <c r="T101" t="str">
        <f>RTD("tos.rtd", , "PROB_OF_EXPIRING", "EFA")</f>
        <v>N/A</v>
      </c>
      <c r="U101" t="str">
        <f>RTD("tos.rtd", , "PROB_OTM", "EFA")</f>
        <v>N/A</v>
      </c>
      <c r="V101" t="str">
        <f>RTD("tos.rtd", , "PROB_OF_TOUCHING", "EFA")</f>
        <v>N/A</v>
      </c>
      <c r="W101" t="str">
        <f>RTD("tos.rtd", , "STRIKE", "EFA")</f>
        <v>N/A</v>
      </c>
    </row>
    <row r="102" spans="1:23" x14ac:dyDescent="0.45">
      <c r="A102" t="s">
        <v>123</v>
      </c>
      <c r="B102" t="str">
        <f>RTD("tos.rtd", , "DESCRIPTION", ".EFA201120C69")</f>
        <v>N/A</v>
      </c>
      <c r="C102" t="str">
        <f>RTD("tos.rtd", , "PUT_CALL_RATIO", ".EFA201120C69")</f>
        <v>N/A</v>
      </c>
      <c r="D102" t="str">
        <f>RTD("tos.rtd", , "IMPL_VOL", ".EFA201120C69")</f>
        <v>N/A</v>
      </c>
      <c r="E102">
        <f>RTD("tos.rtd", , "LAST", ".EFA201120C69")</f>
        <v>0.53</v>
      </c>
      <c r="F102">
        <f>RTD("tos.rtd", , "VOLUME", ".EFA201120C69")</f>
        <v>1005</v>
      </c>
      <c r="G102">
        <f>RTD("tos.rtd", , "OPEN_INT", ".EFA201120C69")</f>
        <v>22275</v>
      </c>
      <c r="H102">
        <f>RTD("tos.rtd", , "BID", ".EFA201120C69")</f>
        <v>0.49</v>
      </c>
      <c r="I102">
        <f>RTD("tos.rtd", , "ASK", ".EFA201120C69")</f>
        <v>0.74</v>
      </c>
      <c r="J102">
        <f>RTD("tos.rtd", , "HIGH", ".EFA201120C69")</f>
        <v>0.72</v>
      </c>
      <c r="K102">
        <f>RTD("tos.rtd", , "LOW", ".EFA201120C69")</f>
        <v>0.53</v>
      </c>
      <c r="L102">
        <f>RTD("tos.rtd", , "OPEN", ".EFA201120C69")</f>
        <v>0.72</v>
      </c>
      <c r="M102" t="str">
        <f>RTD("tos.rtd", , "DELTA", ".EFA201120C69")</f>
        <v>N/A</v>
      </c>
      <c r="N102" t="str">
        <f>RTD("tos.rtd", , "GAMMA", ".EFA201120C69")</f>
        <v>N/A</v>
      </c>
      <c r="O102" t="str">
        <f>RTD("tos.rtd", , "THETA", ".EFA201120C69")</f>
        <v>N/A</v>
      </c>
      <c r="P102" t="str">
        <f>RTD("tos.rtd", , "VEGA", ".EFA201120C69")</f>
        <v>N/A</v>
      </c>
      <c r="Q102" t="str">
        <f>RTD("tos.rtd", , "RHO", ".EFA201120C69")</f>
        <v>N/A</v>
      </c>
      <c r="R102" t="str">
        <f>RTD("tos.rtd", , "INTRINSIC", ".EFA201120C69")</f>
        <v>N/A</v>
      </c>
      <c r="S102" t="str">
        <f>RTD("tos.rtd", , "EXTRINSIC", ".EFA201120C69")</f>
        <v>N/A</v>
      </c>
      <c r="T102" t="str">
        <f>RTD("tos.rtd", , "PROB_OF_EXPIRING", ".EFA201120C69")</f>
        <v>N/A</v>
      </c>
      <c r="U102" t="str">
        <f>RTD("tos.rtd", , "PROB_OTM", ".EFA201120C69")</f>
        <v>N/A</v>
      </c>
      <c r="V102" t="str">
        <f>RTD("tos.rtd", , "PROB_OF_TOUCHING", ".EFA201120C69")</f>
        <v>N/A</v>
      </c>
      <c r="W102" t="str">
        <f>RTD("tos.rtd", , "STRIKE", ".EFA201120C69")</f>
        <v>N/A</v>
      </c>
    </row>
    <row r="103" spans="1:23" x14ac:dyDescent="0.45">
      <c r="A103" t="s">
        <v>124</v>
      </c>
      <c r="B103" t="str">
        <f>RTD("tos.rtd", , "DESCRIPTION", ".EFA201120P69")</f>
        <v>N/A</v>
      </c>
      <c r="C103" t="str">
        <f>RTD("tos.rtd", , "PUT_CALL_RATIO", ".EFA201120P69")</f>
        <v>N/A</v>
      </c>
      <c r="D103" t="str">
        <f>RTD("tos.rtd", , "IMPL_VOL", ".EFA201120P69")</f>
        <v>N/A</v>
      </c>
      <c r="E103">
        <f>RTD("tos.rtd", , "LAST", ".EFA201120P69")</f>
        <v>1.05</v>
      </c>
      <c r="F103">
        <f>RTD("tos.rtd", , "VOLUME", ".EFA201120P69")</f>
        <v>152</v>
      </c>
      <c r="G103">
        <f>RTD("tos.rtd", , "OPEN_INT", ".EFA201120P69")</f>
        <v>5565</v>
      </c>
      <c r="H103">
        <f>RTD("tos.rtd", , "BID", ".EFA201120P69")</f>
        <v>1.07</v>
      </c>
      <c r="I103">
        <f>RTD("tos.rtd", , "ASK", ".EFA201120P69")</f>
        <v>1.4</v>
      </c>
      <c r="J103">
        <f>RTD("tos.rtd", , "HIGH", ".EFA201120P69")</f>
        <v>1.06</v>
      </c>
      <c r="K103">
        <f>RTD("tos.rtd", , "LOW", ".EFA201120P69")</f>
        <v>0.82</v>
      </c>
      <c r="L103">
        <f>RTD("tos.rtd", , "OPEN", ".EFA201120P69")</f>
        <v>0.9</v>
      </c>
      <c r="M103" t="str">
        <f>RTD("tos.rtd", , "DELTA", ".EFA201120P69")</f>
        <v>N/A</v>
      </c>
      <c r="N103" t="str">
        <f>RTD("tos.rtd", , "GAMMA", ".EFA201120P69")</f>
        <v>N/A</v>
      </c>
      <c r="O103" t="str">
        <f>RTD("tos.rtd", , "THETA", ".EFA201120P69")</f>
        <v>N/A</v>
      </c>
      <c r="P103" t="str">
        <f>RTD("tos.rtd", , "VEGA", ".EFA201120P69")</f>
        <v>N/A</v>
      </c>
      <c r="Q103" t="str">
        <f>RTD("tos.rtd", , "RHO", ".EFA201120P69")</f>
        <v>N/A</v>
      </c>
      <c r="R103" t="str">
        <f>RTD("tos.rtd", , "INTRINSIC", ".EFA201120P69")</f>
        <v>N/A</v>
      </c>
      <c r="S103" t="str">
        <f>RTD("tos.rtd", , "EXTRINSIC", ".EFA201120P69")</f>
        <v>N/A</v>
      </c>
      <c r="T103" t="str">
        <f>RTD("tos.rtd", , "PROB_OF_EXPIRING", ".EFA201120P69")</f>
        <v>N/A</v>
      </c>
      <c r="U103" t="str">
        <f>RTD("tos.rtd", , "PROB_OTM", ".EFA201120P69")</f>
        <v>N/A</v>
      </c>
      <c r="V103" t="str">
        <f>RTD("tos.rtd", , "PROB_OF_TOUCHING", ".EFA201120P69")</f>
        <v>N/A</v>
      </c>
      <c r="W103" t="str">
        <f>RTD("tos.rtd", , "STRIKE", ".EFA201120P69")</f>
        <v>N/A</v>
      </c>
    </row>
    <row r="104" spans="1:23" x14ac:dyDescent="0.45">
      <c r="A104" t="s">
        <v>125</v>
      </c>
      <c r="B104" t="str">
        <f>RTD("tos.rtd", , "DESCRIPTION", ".EFA201120C69.5")</f>
        <v>N/A</v>
      </c>
      <c r="C104" t="str">
        <f>RTD("tos.rtd", , "PUT_CALL_RATIO", ".EFA201120C69.5")</f>
        <v>N/A</v>
      </c>
      <c r="D104" t="str">
        <f>RTD("tos.rtd", , "IMPL_VOL", ".EFA201120C69.5")</f>
        <v>N/A</v>
      </c>
      <c r="E104" t="str">
        <f>RTD("tos.rtd", , "LAST", ".EFA201120C69.5")</f>
        <v>N/A</v>
      </c>
      <c r="F104" t="str">
        <f>RTD("tos.rtd", , "VOLUME", ".EFA201120C69.5")</f>
        <v>N/A</v>
      </c>
      <c r="G104" t="str">
        <f>RTD("tos.rtd", , "OPEN_INT", ".EFA201120C69.5")</f>
        <v>N/A</v>
      </c>
      <c r="H104" t="str">
        <f>RTD("tos.rtd", , "BID", ".EFA201120C69.5")</f>
        <v>N/A</v>
      </c>
      <c r="I104" t="str">
        <f>RTD("tos.rtd", , "ASK", ".EFA201120C69.5")</f>
        <v>N/A</v>
      </c>
      <c r="J104" t="str">
        <f>RTD("tos.rtd", , "HIGH", ".EFA201120C69.5")</f>
        <v>N/A</v>
      </c>
      <c r="K104" t="str">
        <f>RTD("tos.rtd", , "LOW", ".EFA201120C69.5")</f>
        <v>N/A</v>
      </c>
      <c r="L104" t="str">
        <f>RTD("tos.rtd", , "OPEN", ".EFA201120C69.5")</f>
        <v>N/A</v>
      </c>
      <c r="M104" t="str">
        <f>RTD("tos.rtd", , "DELTA", ".EFA201120C69.5")</f>
        <v>N/A</v>
      </c>
      <c r="N104" t="str">
        <f>RTD("tos.rtd", , "GAMMA", ".EFA201120C69.5")</f>
        <v>N/A</v>
      </c>
      <c r="O104" t="str">
        <f>RTD("tos.rtd", , "THETA", ".EFA201120C69.5")</f>
        <v>N/A</v>
      </c>
      <c r="P104" t="str">
        <f>RTD("tos.rtd", , "VEGA", ".EFA201120C69.5")</f>
        <v>N/A</v>
      </c>
      <c r="Q104" t="str">
        <f>RTD("tos.rtd", , "RHO", ".EFA201120C69.5")</f>
        <v>N/A</v>
      </c>
      <c r="R104" t="str">
        <f>RTD("tos.rtd", , "INTRINSIC", ".EFA201120C69.5")</f>
        <v>N/A</v>
      </c>
      <c r="S104" t="str">
        <f>RTD("tos.rtd", , "EXTRINSIC", ".EFA201120C69.5")</f>
        <v>N/A</v>
      </c>
      <c r="T104" t="str">
        <f>RTD("tos.rtd", , "PROB_OF_EXPIRING", ".EFA201120C69.5")</f>
        <v>N/A</v>
      </c>
      <c r="U104" t="str">
        <f>RTD("tos.rtd", , "PROB_OTM", ".EFA201120C69.5")</f>
        <v>N/A</v>
      </c>
      <c r="V104" t="str">
        <f>RTD("tos.rtd", , "PROB_OF_TOUCHING", ".EFA201120C69.5")</f>
        <v>N/A</v>
      </c>
      <c r="W104" t="str">
        <f>RTD("tos.rtd", , "STRIKE", ".EFA201120C69.5")</f>
        <v>N/A</v>
      </c>
    </row>
    <row r="105" spans="1:23" x14ac:dyDescent="0.45">
      <c r="A105" t="s">
        <v>126</v>
      </c>
      <c r="B105" t="str">
        <f>RTD("tos.rtd", , "DESCRIPTION", ".EFA201120P69.5")</f>
        <v>N/A</v>
      </c>
      <c r="C105" t="str">
        <f>RTD("tos.rtd", , "PUT_CALL_RATIO", ".EFA201120P69.5")</f>
        <v>N/A</v>
      </c>
      <c r="D105" t="str">
        <f>RTD("tos.rtd", , "IMPL_VOL", ".EFA201120P69.5")</f>
        <v>N/A</v>
      </c>
      <c r="E105" t="str">
        <f>RTD("tos.rtd", , "LAST", ".EFA201120P69.5")</f>
        <v>N/A</v>
      </c>
      <c r="F105" t="str">
        <f>RTD("tos.rtd", , "VOLUME", ".EFA201120P69.5")</f>
        <v>N/A</v>
      </c>
      <c r="G105" t="str">
        <f>RTD("tos.rtd", , "OPEN_INT", ".EFA201120P69.5")</f>
        <v>N/A</v>
      </c>
      <c r="H105" t="str">
        <f>RTD("tos.rtd", , "BID", ".EFA201120P69.5")</f>
        <v>N/A</v>
      </c>
      <c r="I105" t="str">
        <f>RTD("tos.rtd", , "ASK", ".EFA201120P69.5")</f>
        <v>N/A</v>
      </c>
      <c r="J105" t="str">
        <f>RTD("tos.rtd", , "HIGH", ".EFA201120P69.5")</f>
        <v>N/A</v>
      </c>
      <c r="K105" t="str">
        <f>RTD("tos.rtd", , "LOW", ".EFA201120P69.5")</f>
        <v>N/A</v>
      </c>
      <c r="L105" t="str">
        <f>RTD("tos.rtd", , "OPEN", ".EFA201120P69.5")</f>
        <v>N/A</v>
      </c>
      <c r="M105" t="str">
        <f>RTD("tos.rtd", , "DELTA", ".EFA201120P69.5")</f>
        <v>N/A</v>
      </c>
      <c r="N105" t="str">
        <f>RTD("tos.rtd", , "GAMMA", ".EFA201120P69.5")</f>
        <v>N/A</v>
      </c>
      <c r="O105" t="str">
        <f>RTD("tos.rtd", , "THETA", ".EFA201120P69.5")</f>
        <v>N/A</v>
      </c>
      <c r="P105" t="str">
        <f>RTD("tos.rtd", , "VEGA", ".EFA201120P69.5")</f>
        <v>N/A</v>
      </c>
      <c r="Q105" t="str">
        <f>RTD("tos.rtd", , "RHO", ".EFA201120P69.5")</f>
        <v>N/A</v>
      </c>
      <c r="R105" t="str">
        <f>RTD("tos.rtd", , "INTRINSIC", ".EFA201120P69.5")</f>
        <v>N/A</v>
      </c>
      <c r="S105" t="str">
        <f>RTD("tos.rtd", , "EXTRINSIC", ".EFA201120P69.5")</f>
        <v>N/A</v>
      </c>
      <c r="T105" t="str">
        <f>RTD("tos.rtd", , "PROB_OF_EXPIRING", ".EFA201120P69.5")</f>
        <v>N/A</v>
      </c>
      <c r="U105" t="str">
        <f>RTD("tos.rtd", , "PROB_OTM", ".EFA201120P69.5")</f>
        <v>N/A</v>
      </c>
      <c r="V105" t="str">
        <f>RTD("tos.rtd", , "PROB_OF_TOUCHING", ".EFA201120P69.5")</f>
        <v>N/A</v>
      </c>
      <c r="W105" t="str">
        <f>RTD("tos.rtd", , "STRIKE", ".EFA201120P69.5")</f>
        <v>N/A</v>
      </c>
    </row>
    <row r="106" spans="1:23" x14ac:dyDescent="0.45">
      <c r="A106" t="s">
        <v>127</v>
      </c>
      <c r="B106" t="str">
        <f>RTD("tos.rtd", , "DESCRIPTION", ".EFA201120C70")</f>
        <v>N/A</v>
      </c>
      <c r="C106" t="str">
        <f>RTD("tos.rtd", , "PUT_CALL_RATIO", ".EFA201120C70")</f>
        <v>N/A</v>
      </c>
      <c r="D106" t="str">
        <f>RTD("tos.rtd", , "IMPL_VOL", ".EFA201120C70")</f>
        <v>N/A</v>
      </c>
      <c r="E106">
        <f>RTD("tos.rtd", , "LAST", ".EFA201120C70")</f>
        <v>0.24</v>
      </c>
      <c r="F106">
        <f>RTD("tos.rtd", , "VOLUME", ".EFA201120C70")</f>
        <v>958</v>
      </c>
      <c r="G106">
        <f>RTD("tos.rtd", , "OPEN_INT", ".EFA201120C70")</f>
        <v>13214</v>
      </c>
      <c r="H106">
        <f>RTD("tos.rtd", , "BID", ".EFA201120C70")</f>
        <v>0.2</v>
      </c>
      <c r="I106">
        <f>RTD("tos.rtd", , "ASK", ".EFA201120C70")</f>
        <v>0.39</v>
      </c>
      <c r="J106">
        <f>RTD("tos.rtd", , "HIGH", ".EFA201120C70")</f>
        <v>0.33</v>
      </c>
      <c r="K106">
        <f>RTD("tos.rtd", , "LOW", ".EFA201120C70")</f>
        <v>0.22</v>
      </c>
      <c r="L106">
        <f>RTD("tos.rtd", , "OPEN", ".EFA201120C70")</f>
        <v>0.28999999999999998</v>
      </c>
      <c r="M106" t="str">
        <f>RTD("tos.rtd", , "DELTA", ".EFA201120C70")</f>
        <v>N/A</v>
      </c>
      <c r="N106" t="str">
        <f>RTD("tos.rtd", , "GAMMA", ".EFA201120C70")</f>
        <v>N/A</v>
      </c>
      <c r="O106" t="str">
        <f>RTD("tos.rtd", , "THETA", ".EFA201120C70")</f>
        <v>N/A</v>
      </c>
      <c r="P106" t="str">
        <f>RTD("tos.rtd", , "VEGA", ".EFA201120C70")</f>
        <v>N/A</v>
      </c>
      <c r="Q106" t="str">
        <f>RTD("tos.rtd", , "RHO", ".EFA201120C70")</f>
        <v>N/A</v>
      </c>
      <c r="R106" t="str">
        <f>RTD("tos.rtd", , "INTRINSIC", ".EFA201120C70")</f>
        <v>N/A</v>
      </c>
      <c r="S106" t="str">
        <f>RTD("tos.rtd", , "EXTRINSIC", ".EFA201120C70")</f>
        <v>N/A</v>
      </c>
      <c r="T106" t="str">
        <f>RTD("tos.rtd", , "PROB_OF_EXPIRING", ".EFA201120C70")</f>
        <v>N/A</v>
      </c>
      <c r="U106" t="str">
        <f>RTD("tos.rtd", , "PROB_OTM", ".EFA201120C70")</f>
        <v>N/A</v>
      </c>
      <c r="V106" t="str">
        <f>RTD("tos.rtd", , "PROB_OF_TOUCHING", ".EFA201120C70")</f>
        <v>N/A</v>
      </c>
      <c r="W106" t="str">
        <f>RTD("tos.rtd", , "STRIKE", ".EFA201120C70")</f>
        <v>N/A</v>
      </c>
    </row>
    <row r="107" spans="1:23" x14ac:dyDescent="0.45">
      <c r="A107" t="s">
        <v>128</v>
      </c>
      <c r="B107" t="str">
        <f>RTD("tos.rtd", , "DESCRIPTION", ".EFA201120P70")</f>
        <v>N/A</v>
      </c>
      <c r="C107" t="str">
        <f>RTD("tos.rtd", , "PUT_CALL_RATIO", ".EFA201120P70")</f>
        <v>N/A</v>
      </c>
      <c r="D107" t="str">
        <f>RTD("tos.rtd", , "IMPL_VOL", ".EFA201120P70")</f>
        <v>N/A</v>
      </c>
      <c r="E107" t="str">
        <f>RTD("tos.rtd", , "LAST", ".EFA201120P70")</f>
        <v>N/A</v>
      </c>
      <c r="F107" t="str">
        <f>RTD("tos.rtd", , "VOLUME", ".EFA201120P70")</f>
        <v>N/A</v>
      </c>
      <c r="G107" t="str">
        <f>RTD("tos.rtd", , "OPEN_INT", ".EFA201120P70")</f>
        <v>N/A</v>
      </c>
      <c r="H107" t="str">
        <f>RTD("tos.rtd", , "BID", ".EFA201120P70")</f>
        <v>N/A</v>
      </c>
      <c r="I107" t="str">
        <f>RTD("tos.rtd", , "ASK", ".EFA201120P70")</f>
        <v>N/A</v>
      </c>
      <c r="J107" t="str">
        <f>RTD("tos.rtd", , "HIGH", ".EFA201120P70")</f>
        <v>N/A</v>
      </c>
      <c r="K107" t="str">
        <f>RTD("tos.rtd", , "LOW", ".EFA201120P70")</f>
        <v>N/A</v>
      </c>
      <c r="L107" t="str">
        <f>RTD("tos.rtd", , "OPEN", ".EFA201120P70")</f>
        <v>N/A</v>
      </c>
      <c r="M107" t="str">
        <f>RTD("tos.rtd", , "DELTA", ".EFA201120P70")</f>
        <v>N/A</v>
      </c>
      <c r="N107" t="str">
        <f>RTD("tos.rtd", , "GAMMA", ".EFA201120P70")</f>
        <v>N/A</v>
      </c>
      <c r="O107" t="str">
        <f>RTD("tos.rtd", , "THETA", ".EFA201120P70")</f>
        <v>N/A</v>
      </c>
      <c r="P107" t="str">
        <f>RTD("tos.rtd", , "VEGA", ".EFA201120P70")</f>
        <v>N/A</v>
      </c>
      <c r="Q107" t="str">
        <f>RTD("tos.rtd", , "RHO", ".EFA201120P70")</f>
        <v>N/A</v>
      </c>
      <c r="R107" t="str">
        <f>RTD("tos.rtd", , "INTRINSIC", ".EFA201120P70")</f>
        <v>N/A</v>
      </c>
      <c r="S107" t="str">
        <f>RTD("tos.rtd", , "EXTRINSIC", ".EFA201120P70")</f>
        <v>N/A</v>
      </c>
      <c r="T107" t="str">
        <f>RTD("tos.rtd", , "PROB_OF_EXPIRING", ".EFA201120P70")</f>
        <v>N/A</v>
      </c>
      <c r="U107" t="str">
        <f>RTD("tos.rtd", , "PROB_OTM", ".EFA201120P70")</f>
        <v>N/A</v>
      </c>
      <c r="V107" t="str">
        <f>RTD("tos.rtd", , "PROB_OF_TOUCHING", ".EFA201120P70")</f>
        <v>N/A</v>
      </c>
      <c r="W107" t="str">
        <f>RTD("tos.rtd", , "STRIKE", ".EFA201120P70")</f>
        <v>N/A</v>
      </c>
    </row>
    <row r="108" spans="1:23" x14ac:dyDescent="0.45">
      <c r="A108" t="s">
        <v>129</v>
      </c>
      <c r="B108" t="str">
        <f>RTD("tos.rtd", , "DESCRIPTION", "EFV")</f>
        <v>N/A</v>
      </c>
      <c r="C108">
        <f>RTD("tos.rtd", , "PUT_CALL_RATIO", "EFV")</f>
        <v>3.3330000000000002</v>
      </c>
      <c r="D108" t="str">
        <f>RTD("tos.rtd", , "IMPL_VOL", "EFV")</f>
        <v>21.34%</v>
      </c>
      <c r="E108">
        <f>RTD("tos.rtd", , "LAST", "EFV")</f>
        <v>43.99</v>
      </c>
      <c r="F108">
        <f>RTD("tos.rtd", , "VOLUME", "EFV")</f>
        <v>2893730</v>
      </c>
      <c r="G108">
        <f>RTD("tos.rtd", , "OPEN_INT", "EFV")</f>
        <v>0</v>
      </c>
      <c r="H108">
        <f>RTD("tos.rtd", , "BID", "EFV")</f>
        <v>38.36</v>
      </c>
      <c r="I108">
        <f>RTD("tos.rtd", , "ASK", "EFV")</f>
        <v>46.51</v>
      </c>
      <c r="J108">
        <f>RTD("tos.rtd", , "HIGH", "EFV")</f>
        <v>44.43</v>
      </c>
      <c r="K108">
        <f>RTD("tos.rtd", , "LOW", "EFV")</f>
        <v>43.88</v>
      </c>
      <c r="L108">
        <f>RTD("tos.rtd", , "OPEN", "EFV")</f>
        <v>44.23</v>
      </c>
      <c r="M108">
        <f>RTD("tos.rtd", , "DELTA", "EFV")</f>
        <v>1</v>
      </c>
      <c r="N108">
        <f>RTD("tos.rtd", , "GAMMA", "EFV")</f>
        <v>0</v>
      </c>
      <c r="O108">
        <f>RTD("tos.rtd", , "THETA", "EFV")</f>
        <v>0</v>
      </c>
      <c r="P108">
        <f>RTD("tos.rtd", , "VEGA", "EFV")</f>
        <v>0</v>
      </c>
      <c r="Q108">
        <f>RTD("tos.rtd", , "RHO", "EFV")</f>
        <v>0</v>
      </c>
      <c r="R108" t="str">
        <f>RTD("tos.rtd", , "INTRINSIC", "EFV")</f>
        <v>N/A</v>
      </c>
      <c r="S108" t="str">
        <f>RTD("tos.rtd", , "EXTRINSIC", "EFV")</f>
        <v>N/A</v>
      </c>
      <c r="T108" t="str">
        <f>RTD("tos.rtd", , "PROB_OF_EXPIRING", "EFV")</f>
        <v>N/A</v>
      </c>
      <c r="U108" t="str">
        <f>RTD("tos.rtd", , "PROB_OTM", "EFV")</f>
        <v>N/A</v>
      </c>
      <c r="V108" t="str">
        <f>RTD("tos.rtd", , "PROB_OF_TOUCHING", "EFV")</f>
        <v>N/A</v>
      </c>
      <c r="W108" t="str">
        <f>RTD("tos.rtd", , "STRIKE", "EFV")</f>
        <v>N/A</v>
      </c>
    </row>
    <row r="109" spans="1:23" x14ac:dyDescent="0.45">
      <c r="A109" t="s">
        <v>130</v>
      </c>
      <c r="B109" t="str">
        <f>RTD("tos.rtd", , "DESCRIPTION", ".EFV201120C45")</f>
        <v>N/A</v>
      </c>
      <c r="C109" t="str">
        <f>RTD("tos.rtd", , "PUT_CALL_RATIO", ".EFV201120C45")</f>
        <v>N/A</v>
      </c>
      <c r="D109" t="str">
        <f>RTD("tos.rtd", , "IMPL_VOL", ".EFV201120C45")</f>
        <v>N/A</v>
      </c>
      <c r="E109" t="str">
        <f>RTD("tos.rtd", , "LAST", ".EFV201120C45")</f>
        <v>N/A</v>
      </c>
      <c r="F109" t="str">
        <f>RTD("tos.rtd", , "VOLUME", ".EFV201120C45")</f>
        <v>N/A</v>
      </c>
      <c r="G109" t="str">
        <f>RTD("tos.rtd", , "OPEN_INT", ".EFV201120C45")</f>
        <v>N/A</v>
      </c>
      <c r="H109" t="str">
        <f>RTD("tos.rtd", , "BID", ".EFV201120C45")</f>
        <v>N/A</v>
      </c>
      <c r="I109" t="str">
        <f>RTD("tos.rtd", , "ASK", ".EFV201120C45")</f>
        <v>N/A</v>
      </c>
      <c r="J109" t="str">
        <f>RTD("tos.rtd", , "HIGH", ".EFV201120C45")</f>
        <v>N/A</v>
      </c>
      <c r="K109" t="str">
        <f>RTD("tos.rtd", , "LOW", ".EFV201120C45")</f>
        <v>N/A</v>
      </c>
      <c r="L109" t="str">
        <f>RTD("tos.rtd", , "OPEN", ".EFV201120C45")</f>
        <v>N/A</v>
      </c>
      <c r="M109" t="str">
        <f>RTD("tos.rtd", , "DELTA", ".EFV201120C45")</f>
        <v>N/A</v>
      </c>
      <c r="N109" t="str">
        <f>RTD("tos.rtd", , "GAMMA", ".EFV201120C45")</f>
        <v>N/A</v>
      </c>
      <c r="O109" t="str">
        <f>RTD("tos.rtd", , "THETA", ".EFV201120C45")</f>
        <v>N/A</v>
      </c>
      <c r="P109" t="str">
        <f>RTD("tos.rtd", , "VEGA", ".EFV201120C45")</f>
        <v>N/A</v>
      </c>
      <c r="Q109" t="str">
        <f>RTD("tos.rtd", , "RHO", ".EFV201120C45")</f>
        <v>N/A</v>
      </c>
      <c r="R109" t="str">
        <f>RTD("tos.rtd", , "INTRINSIC", ".EFV201120C45")</f>
        <v>N/A</v>
      </c>
      <c r="S109" t="str">
        <f>RTD("tos.rtd", , "EXTRINSIC", ".EFV201120C45")</f>
        <v>N/A</v>
      </c>
      <c r="T109" t="str">
        <f>RTD("tos.rtd", , "PROB_OF_EXPIRING", ".EFV201120C45")</f>
        <v>N/A</v>
      </c>
      <c r="U109" t="str">
        <f>RTD("tos.rtd", , "PROB_OTM", ".EFV201120C45")</f>
        <v>N/A</v>
      </c>
      <c r="V109" t="str">
        <f>RTD("tos.rtd", , "PROB_OF_TOUCHING", ".EFV201120C45")</f>
        <v>N/A</v>
      </c>
      <c r="W109" t="str">
        <f>RTD("tos.rtd", , "STRIKE", ".EFV201120C45")</f>
        <v>N/A</v>
      </c>
    </row>
    <row r="110" spans="1:23" x14ac:dyDescent="0.45">
      <c r="A110" t="s">
        <v>131</v>
      </c>
      <c r="B110" t="str">
        <f>RTD("tos.rtd", , "DESCRIPTION", ".EFV201120P45")</f>
        <v>N/A</v>
      </c>
      <c r="C110" t="str">
        <f>RTD("tos.rtd", , "PUT_CALL_RATIO", ".EFV201120P45")</f>
        <v>N/A</v>
      </c>
      <c r="D110" t="str">
        <f>RTD("tos.rtd", , "IMPL_VOL", ".EFV201120P45")</f>
        <v>N/A</v>
      </c>
      <c r="E110" t="str">
        <f>RTD("tos.rtd", , "LAST", ".EFV201120P45")</f>
        <v>N/A</v>
      </c>
      <c r="F110" t="str">
        <f>RTD("tos.rtd", , "VOLUME", ".EFV201120P45")</f>
        <v>N/A</v>
      </c>
      <c r="G110" t="str">
        <f>RTD("tos.rtd", , "OPEN_INT", ".EFV201120P45")</f>
        <v>N/A</v>
      </c>
      <c r="H110" t="str">
        <f>RTD("tos.rtd", , "BID", ".EFV201120P45")</f>
        <v>N/A</v>
      </c>
      <c r="I110" t="str">
        <f>RTD("tos.rtd", , "ASK", ".EFV201120P45")</f>
        <v>N/A</v>
      </c>
      <c r="J110" t="str">
        <f>RTD("tos.rtd", , "HIGH", ".EFV201120P45")</f>
        <v>N/A</v>
      </c>
      <c r="K110" t="str">
        <f>RTD("tos.rtd", , "LOW", ".EFV201120P45")</f>
        <v>N/A</v>
      </c>
      <c r="L110" t="str">
        <f>RTD("tos.rtd", , "OPEN", ".EFV201120P45")</f>
        <v>N/A</v>
      </c>
      <c r="M110" t="str">
        <f>RTD("tos.rtd", , "DELTA", ".EFV201120P45")</f>
        <v>N/A</v>
      </c>
      <c r="N110" t="str">
        <f>RTD("tos.rtd", , "GAMMA", ".EFV201120P45")</f>
        <v>N/A</v>
      </c>
      <c r="O110" t="str">
        <f>RTD("tos.rtd", , "THETA", ".EFV201120P45")</f>
        <v>N/A</v>
      </c>
      <c r="P110" t="str">
        <f>RTD("tos.rtd", , "VEGA", ".EFV201120P45")</f>
        <v>N/A</v>
      </c>
      <c r="Q110" t="str">
        <f>RTD("tos.rtd", , "RHO", ".EFV201120P45")</f>
        <v>N/A</v>
      </c>
      <c r="R110" t="str">
        <f>RTD("tos.rtd", , "INTRINSIC", ".EFV201120P45")</f>
        <v>N/A</v>
      </c>
      <c r="S110" t="str">
        <f>RTD("tos.rtd", , "EXTRINSIC", ".EFV201120P45")</f>
        <v>N/A</v>
      </c>
      <c r="T110" t="str">
        <f>RTD("tos.rtd", , "PROB_OF_EXPIRING", ".EFV201120P45")</f>
        <v>N/A</v>
      </c>
      <c r="U110" t="str">
        <f>RTD("tos.rtd", , "PROB_OTM", ".EFV201120P45")</f>
        <v>N/A</v>
      </c>
      <c r="V110" t="str">
        <f>RTD("tos.rtd", , "PROB_OF_TOUCHING", ".EFV201120P45")</f>
        <v>N/A</v>
      </c>
      <c r="W110" t="str">
        <f>RTD("tos.rtd", , "STRIKE", ".EFV201120P45")</f>
        <v>N/A</v>
      </c>
    </row>
    <row r="111" spans="1:23" x14ac:dyDescent="0.45">
      <c r="A111" t="s">
        <v>132</v>
      </c>
      <c r="B111" t="str">
        <f>RTD("tos.rtd", , "DESCRIPTION", "EMB")</f>
        <v>N/A</v>
      </c>
      <c r="C111">
        <f>RTD("tos.rtd", , "PUT_CALL_RATIO", "EMB")</f>
        <v>0.39400000000000002</v>
      </c>
      <c r="D111" t="str">
        <f>RTD("tos.rtd", , "IMPL_VOL", "EMB")</f>
        <v>9.79%</v>
      </c>
      <c r="E111">
        <f>RTD("tos.rtd", , "LAST", "EMB")</f>
        <v>113.39</v>
      </c>
      <c r="F111">
        <f>RTD("tos.rtd", , "VOLUME", "EMB")</f>
        <v>4903179</v>
      </c>
      <c r="G111">
        <f>RTD("tos.rtd", , "OPEN_INT", "EMB")</f>
        <v>0</v>
      </c>
      <c r="H111">
        <f>RTD("tos.rtd", , "BID", "EMB")</f>
        <v>112.47</v>
      </c>
      <c r="I111">
        <f>RTD("tos.rtd", , "ASK", "EMB")</f>
        <v>114.19</v>
      </c>
      <c r="J111">
        <f>RTD("tos.rtd", , "HIGH", "EMB")</f>
        <v>113.92</v>
      </c>
      <c r="K111">
        <f>RTD("tos.rtd", , "LOW", "EMB")</f>
        <v>113.31</v>
      </c>
      <c r="L111">
        <f>RTD("tos.rtd", , "OPEN", "EMB")</f>
        <v>113.89</v>
      </c>
      <c r="M111">
        <f>RTD("tos.rtd", , "DELTA", "EMB")</f>
        <v>1</v>
      </c>
      <c r="N111">
        <f>RTD("tos.rtd", , "GAMMA", "EMB")</f>
        <v>0</v>
      </c>
      <c r="O111">
        <f>RTD("tos.rtd", , "THETA", "EMB")</f>
        <v>0</v>
      </c>
      <c r="P111">
        <f>RTD("tos.rtd", , "VEGA", "EMB")</f>
        <v>0</v>
      </c>
      <c r="Q111">
        <f>RTD("tos.rtd", , "RHO", "EMB")</f>
        <v>0</v>
      </c>
      <c r="R111" t="str">
        <f>RTD("tos.rtd", , "INTRINSIC", "EMB")</f>
        <v>N/A</v>
      </c>
      <c r="S111" t="str">
        <f>RTD("tos.rtd", , "EXTRINSIC", "EMB")</f>
        <v>N/A</v>
      </c>
      <c r="T111" t="str">
        <f>RTD("tos.rtd", , "PROB_OF_EXPIRING", "EMB")</f>
        <v>N/A</v>
      </c>
      <c r="U111" t="str">
        <f>RTD("tos.rtd", , "PROB_OTM", "EMB")</f>
        <v>N/A</v>
      </c>
      <c r="V111" t="str">
        <f>RTD("tos.rtd", , "PROB_OF_TOUCHING", "EMB")</f>
        <v>N/A</v>
      </c>
      <c r="W111" t="str">
        <f>RTD("tos.rtd", , "STRIKE", "EMB")</f>
        <v>N/A</v>
      </c>
    </row>
    <row r="112" spans="1:23" x14ac:dyDescent="0.45">
      <c r="A112" t="s">
        <v>133</v>
      </c>
      <c r="B112" t="str">
        <f>RTD("tos.rtd", , "DESCRIPTION", ".EMB201120C114")</f>
        <v>N/A</v>
      </c>
      <c r="C112" t="str">
        <f>RTD("tos.rtd", , "PUT_CALL_RATIO", ".EMB201120C114")</f>
        <v>N/A</v>
      </c>
      <c r="D112" t="str">
        <f>RTD("tos.rtd", , "IMPL_VOL", ".EMB201120C114")</f>
        <v>N/A</v>
      </c>
      <c r="E112">
        <f>RTD("tos.rtd", , "LAST", ".EMB201120C114")</f>
        <v>0.35</v>
      </c>
      <c r="F112">
        <f>RTD("tos.rtd", , "VOLUME", ".EMB201120C114")</f>
        <v>5000</v>
      </c>
      <c r="G112">
        <f>RTD("tos.rtd", , "OPEN_INT", ".EMB201120C114")</f>
        <v>8785</v>
      </c>
      <c r="H112">
        <f>RTD("tos.rtd", , "BID", ".EMB201120C114")</f>
        <v>0.2</v>
      </c>
      <c r="I112">
        <f>RTD("tos.rtd", , "ASK", ".EMB201120C114")</f>
        <v>0.28000000000000003</v>
      </c>
      <c r="J112">
        <f>RTD("tos.rtd", , "HIGH", ".EMB201120C114")</f>
        <v>0.35</v>
      </c>
      <c r="K112">
        <f>RTD("tos.rtd", , "LOW", ".EMB201120C114")</f>
        <v>0.35</v>
      </c>
      <c r="L112">
        <f>RTD("tos.rtd", , "OPEN", ".EMB201120C114")</f>
        <v>0.35</v>
      </c>
      <c r="M112" t="str">
        <f>RTD("tos.rtd", , "DELTA", ".EMB201120C114")</f>
        <v>N/A</v>
      </c>
      <c r="N112" t="str">
        <f>RTD("tos.rtd", , "GAMMA", ".EMB201120C114")</f>
        <v>N/A</v>
      </c>
      <c r="O112" t="str">
        <f>RTD("tos.rtd", , "THETA", ".EMB201120C114")</f>
        <v>N/A</v>
      </c>
      <c r="P112" t="str">
        <f>RTD("tos.rtd", , "VEGA", ".EMB201120C114")</f>
        <v>N/A</v>
      </c>
      <c r="Q112" t="str">
        <f>RTD("tos.rtd", , "RHO", ".EMB201120C114")</f>
        <v>N/A</v>
      </c>
      <c r="R112" t="str">
        <f>RTD("tos.rtd", , "INTRINSIC", ".EMB201120C114")</f>
        <v>N/A</v>
      </c>
      <c r="S112" t="str">
        <f>RTD("tos.rtd", , "EXTRINSIC", ".EMB201120C114")</f>
        <v>N/A</v>
      </c>
      <c r="T112" t="str">
        <f>RTD("tos.rtd", , "PROB_OF_EXPIRING", ".EMB201120C114")</f>
        <v>N/A</v>
      </c>
      <c r="U112" t="str">
        <f>RTD("tos.rtd", , "PROB_OTM", ".EMB201120C114")</f>
        <v>N/A</v>
      </c>
      <c r="V112" t="str">
        <f>RTD("tos.rtd", , "PROB_OF_TOUCHING", ".EMB201120C114")</f>
        <v>N/A</v>
      </c>
      <c r="W112" t="str">
        <f>RTD("tos.rtd", , "STRIKE", ".EMB201120C114")</f>
        <v>N/A</v>
      </c>
    </row>
    <row r="113" spans="1:23" x14ac:dyDescent="0.45">
      <c r="A113" t="s">
        <v>134</v>
      </c>
      <c r="B113" t="str">
        <f>RTD("tos.rtd", , "DESCRIPTION", ".EMB201120P114")</f>
        <v>N/A</v>
      </c>
      <c r="C113" t="str">
        <f>RTD("tos.rtd", , "PUT_CALL_RATIO", ".EMB201120P114")</f>
        <v>N/A</v>
      </c>
      <c r="D113" t="str">
        <f>RTD("tos.rtd", , "IMPL_VOL", ".EMB201120P114")</f>
        <v>N/A</v>
      </c>
      <c r="E113" t="str">
        <f>RTD("tos.rtd", , "LAST", ".EMB201120P114")</f>
        <v>N/A</v>
      </c>
      <c r="F113" t="str">
        <f>RTD("tos.rtd", , "VOLUME", ".EMB201120P114")</f>
        <v>N/A</v>
      </c>
      <c r="G113" t="str">
        <f>RTD("tos.rtd", , "OPEN_INT", ".EMB201120P114")</f>
        <v>N/A</v>
      </c>
      <c r="H113" t="str">
        <f>RTD("tos.rtd", , "BID", ".EMB201120P114")</f>
        <v>N/A</v>
      </c>
      <c r="I113" t="str">
        <f>RTD("tos.rtd", , "ASK", ".EMB201120P114")</f>
        <v>N/A</v>
      </c>
      <c r="J113" t="str">
        <f>RTD("tos.rtd", , "HIGH", ".EMB201120P114")</f>
        <v>N/A</v>
      </c>
      <c r="K113" t="str">
        <f>RTD("tos.rtd", , "LOW", ".EMB201120P114")</f>
        <v>N/A</v>
      </c>
      <c r="L113" t="str">
        <f>RTD("tos.rtd", , "OPEN", ".EMB201120P114")</f>
        <v>N/A</v>
      </c>
      <c r="M113" t="str">
        <f>RTD("tos.rtd", , "DELTA", ".EMB201120P114")</f>
        <v>N/A</v>
      </c>
      <c r="N113" t="str">
        <f>RTD("tos.rtd", , "GAMMA", ".EMB201120P114")</f>
        <v>N/A</v>
      </c>
      <c r="O113" t="str">
        <f>RTD("tos.rtd", , "THETA", ".EMB201120P114")</f>
        <v>N/A</v>
      </c>
      <c r="P113" t="str">
        <f>RTD("tos.rtd", , "VEGA", ".EMB201120P114")</f>
        <v>N/A</v>
      </c>
      <c r="Q113" t="str">
        <f>RTD("tos.rtd", , "RHO", ".EMB201120P114")</f>
        <v>N/A</v>
      </c>
      <c r="R113" t="str">
        <f>RTD("tos.rtd", , "INTRINSIC", ".EMB201120P114")</f>
        <v>N/A</v>
      </c>
      <c r="S113" t="str">
        <f>RTD("tos.rtd", , "EXTRINSIC", ".EMB201120P114")</f>
        <v>N/A</v>
      </c>
      <c r="T113" t="str">
        <f>RTD("tos.rtd", , "PROB_OF_EXPIRING", ".EMB201120P114")</f>
        <v>N/A</v>
      </c>
      <c r="U113" t="str">
        <f>RTD("tos.rtd", , "PROB_OTM", ".EMB201120P114")</f>
        <v>N/A</v>
      </c>
      <c r="V113" t="str">
        <f>RTD("tos.rtd", , "PROB_OF_TOUCHING", ".EMB201120P114")</f>
        <v>N/A</v>
      </c>
      <c r="W113" t="str">
        <f>RTD("tos.rtd", , "STRIKE", ".EMB201120P114")</f>
        <v>N/A</v>
      </c>
    </row>
    <row r="114" spans="1:23" x14ac:dyDescent="0.45">
      <c r="A114" t="s">
        <v>135</v>
      </c>
      <c r="B114" t="str">
        <f>RTD("tos.rtd", , "DESCRIPTION", "EMLC")</f>
        <v>N/A</v>
      </c>
      <c r="C114">
        <f>RTD("tos.rtd", , "PUT_CALL_RATIO", "EMLC")</f>
        <v>0.11799999999999999</v>
      </c>
      <c r="D114" t="str">
        <f>RTD("tos.rtd", , "IMPL_VOL", "EMLC")</f>
        <v>7.94%</v>
      </c>
      <c r="E114">
        <f>RTD("tos.rtd", , "LAST", "EMLC")</f>
        <v>31.96</v>
      </c>
      <c r="F114">
        <f>RTD("tos.rtd", , "VOLUME", "EMLC")</f>
        <v>1947213</v>
      </c>
      <c r="G114">
        <f>RTD("tos.rtd", , "OPEN_INT", "EMLC")</f>
        <v>0</v>
      </c>
      <c r="H114">
        <f>RTD("tos.rtd", , "BID", "EMLC")</f>
        <v>30.75</v>
      </c>
      <c r="I114">
        <f>RTD("tos.rtd", , "ASK", "EMLC")</f>
        <v>35</v>
      </c>
      <c r="J114">
        <f>RTD("tos.rtd", , "HIGH", "EMLC")</f>
        <v>32.14</v>
      </c>
      <c r="K114">
        <f>RTD("tos.rtd", , "LOW", "EMLC")</f>
        <v>31.94</v>
      </c>
      <c r="L114">
        <f>RTD("tos.rtd", , "OPEN", "EMLC")</f>
        <v>32.049999999999997</v>
      </c>
      <c r="M114">
        <f>RTD("tos.rtd", , "DELTA", "EMLC")</f>
        <v>1</v>
      </c>
      <c r="N114">
        <f>RTD("tos.rtd", , "GAMMA", "EMLC")</f>
        <v>0</v>
      </c>
      <c r="O114">
        <f>RTD("tos.rtd", , "THETA", "EMLC")</f>
        <v>0</v>
      </c>
      <c r="P114">
        <f>RTD("tos.rtd", , "VEGA", "EMLC")</f>
        <v>0</v>
      </c>
      <c r="Q114">
        <f>RTD("tos.rtd", , "RHO", "EMLC")</f>
        <v>0</v>
      </c>
      <c r="R114" t="str">
        <f>RTD("tos.rtd", , "INTRINSIC", "EMLC")</f>
        <v>N/A</v>
      </c>
      <c r="S114" t="str">
        <f>RTD("tos.rtd", , "EXTRINSIC", "EMLC")</f>
        <v>N/A</v>
      </c>
      <c r="T114" t="str">
        <f>RTD("tos.rtd", , "PROB_OF_EXPIRING", "EMLC")</f>
        <v>N/A</v>
      </c>
      <c r="U114" t="str">
        <f>RTD("tos.rtd", , "PROB_OTM", "EMLC")</f>
        <v>N/A</v>
      </c>
      <c r="V114" t="str">
        <f>RTD("tos.rtd", , "PROB_OF_TOUCHING", "EMLC")</f>
        <v>N/A</v>
      </c>
      <c r="W114" t="str">
        <f>RTD("tos.rtd", , "STRIKE", "EMLC")</f>
        <v>N/A</v>
      </c>
    </row>
    <row r="115" spans="1:23" x14ac:dyDescent="0.45">
      <c r="A115" t="s">
        <v>136</v>
      </c>
      <c r="B115" t="str">
        <f>RTD("tos.rtd", , "DESCRIPTION", ".EMLC201120C32")</f>
        <v>N/A</v>
      </c>
      <c r="C115" t="str">
        <f>RTD("tos.rtd", , "PUT_CALL_RATIO", ".EMLC201120C32")</f>
        <v>N/A</v>
      </c>
      <c r="D115" t="str">
        <f>RTD("tos.rtd", , "IMPL_VOL", ".EMLC201120C32")</f>
        <v>N/A</v>
      </c>
      <c r="E115">
        <f>RTD("tos.rtd", , "LAST", ".EMLC201120C32")</f>
        <v>0.2</v>
      </c>
      <c r="F115">
        <f>RTD("tos.rtd", , "VOLUME", ".EMLC201120C32")</f>
        <v>0</v>
      </c>
      <c r="G115">
        <f>RTD("tos.rtd", , "OPEN_INT", ".EMLC201120C32")</f>
        <v>2</v>
      </c>
      <c r="H115">
        <f>RTD("tos.rtd", , "BID", ".EMLC201120C32")</f>
        <v>0</v>
      </c>
      <c r="I115">
        <f>RTD("tos.rtd", , "ASK", ".EMLC201120C32")</f>
        <v>1.3</v>
      </c>
      <c r="J115">
        <f>RTD("tos.rtd", , "HIGH", ".EMLC201120C32")</f>
        <v>0</v>
      </c>
      <c r="K115">
        <f>RTD("tos.rtd", , "LOW", ".EMLC201120C32")</f>
        <v>0</v>
      </c>
      <c r="L115">
        <f>RTD("tos.rtd", , "OPEN", ".EMLC201120C32")</f>
        <v>0</v>
      </c>
      <c r="M115" t="str">
        <f>RTD("tos.rtd", , "DELTA", ".EMLC201120C32")</f>
        <v>N/A</v>
      </c>
      <c r="N115" t="str">
        <f>RTD("tos.rtd", , "GAMMA", ".EMLC201120C32")</f>
        <v>N/A</v>
      </c>
      <c r="O115" t="str">
        <f>RTD("tos.rtd", , "THETA", ".EMLC201120C32")</f>
        <v>N/A</v>
      </c>
      <c r="P115" t="str">
        <f>RTD("tos.rtd", , "VEGA", ".EMLC201120C32")</f>
        <v>N/A</v>
      </c>
      <c r="Q115" t="str">
        <f>RTD("tos.rtd", , "RHO", ".EMLC201120C32")</f>
        <v>N/A</v>
      </c>
      <c r="R115" t="str">
        <f>RTD("tos.rtd", , "INTRINSIC", ".EMLC201120C32")</f>
        <v>N/A</v>
      </c>
      <c r="S115" t="str">
        <f>RTD("tos.rtd", , "EXTRINSIC", ".EMLC201120C32")</f>
        <v>N/A</v>
      </c>
      <c r="T115" t="str">
        <f>RTD("tos.rtd", , "PROB_OF_EXPIRING", ".EMLC201120C32")</f>
        <v>N/A</v>
      </c>
      <c r="U115" t="str">
        <f>RTD("tos.rtd", , "PROB_OTM", ".EMLC201120C32")</f>
        <v>N/A</v>
      </c>
      <c r="V115" t="str">
        <f>RTD("tos.rtd", , "PROB_OF_TOUCHING", ".EMLC201120C32")</f>
        <v>N/A</v>
      </c>
      <c r="W115" t="str">
        <f>RTD("tos.rtd", , "STRIKE", ".EMLC201120C32")</f>
        <v>N/A</v>
      </c>
    </row>
    <row r="116" spans="1:23" x14ac:dyDescent="0.45">
      <c r="A116" t="s">
        <v>137</v>
      </c>
      <c r="B116" t="str">
        <f>RTD("tos.rtd", , "DESCRIPTION", ".EMLC201120P32")</f>
        <v>N/A</v>
      </c>
      <c r="C116" t="str">
        <f>RTD("tos.rtd", , "PUT_CALL_RATIO", ".EMLC201120P32")</f>
        <v>N/A</v>
      </c>
      <c r="D116" t="str">
        <f>RTD("tos.rtd", , "IMPL_VOL", ".EMLC201120P32")</f>
        <v>N/A</v>
      </c>
      <c r="E116" t="str">
        <f>RTD("tos.rtd", , "LAST", ".EMLC201120P32")</f>
        <v>N/A</v>
      </c>
      <c r="F116" t="str">
        <f>RTD("tos.rtd", , "VOLUME", ".EMLC201120P32")</f>
        <v>N/A</v>
      </c>
      <c r="G116" t="str">
        <f>RTD("tos.rtd", , "OPEN_INT", ".EMLC201120P32")</f>
        <v>N/A</v>
      </c>
      <c r="H116" t="str">
        <f>RTD("tos.rtd", , "BID", ".EMLC201120P32")</f>
        <v>N/A</v>
      </c>
      <c r="I116" t="str">
        <f>RTD("tos.rtd", , "ASK", ".EMLC201120P32")</f>
        <v>N/A</v>
      </c>
      <c r="J116" t="str">
        <f>RTD("tos.rtd", , "HIGH", ".EMLC201120P32")</f>
        <v>N/A</v>
      </c>
      <c r="K116" t="str">
        <f>RTD("tos.rtd", , "LOW", ".EMLC201120P32")</f>
        <v>N/A</v>
      </c>
      <c r="L116" t="str">
        <f>RTD("tos.rtd", , "OPEN", ".EMLC201120P32")</f>
        <v>N/A</v>
      </c>
      <c r="M116" t="str">
        <f>RTD("tos.rtd", , "DELTA", ".EMLC201120P32")</f>
        <v>N/A</v>
      </c>
      <c r="N116" t="str">
        <f>RTD("tos.rtd", , "GAMMA", ".EMLC201120P32")</f>
        <v>N/A</v>
      </c>
      <c r="O116" t="str">
        <f>RTD("tos.rtd", , "THETA", ".EMLC201120P32")</f>
        <v>N/A</v>
      </c>
      <c r="P116" t="str">
        <f>RTD("tos.rtd", , "VEGA", ".EMLC201120P32")</f>
        <v>N/A</v>
      </c>
      <c r="Q116" t="str">
        <f>RTD("tos.rtd", , "RHO", ".EMLC201120P32")</f>
        <v>N/A</v>
      </c>
      <c r="R116" t="str">
        <f>RTD("tos.rtd", , "INTRINSIC", ".EMLC201120P32")</f>
        <v>N/A</v>
      </c>
      <c r="S116" t="str">
        <f>RTD("tos.rtd", , "EXTRINSIC", ".EMLC201120P32")</f>
        <v>N/A</v>
      </c>
      <c r="T116" t="str">
        <f>RTD("tos.rtd", , "PROB_OF_EXPIRING", ".EMLC201120P32")</f>
        <v>N/A</v>
      </c>
      <c r="U116" t="str">
        <f>RTD("tos.rtd", , "PROB_OTM", ".EMLC201120P32")</f>
        <v>N/A</v>
      </c>
      <c r="V116" t="str">
        <f>RTD("tos.rtd", , "PROB_OF_TOUCHING", ".EMLC201120P32")</f>
        <v>N/A</v>
      </c>
      <c r="W116" t="str">
        <f>RTD("tos.rtd", , "STRIKE", ".EMLC201120P32")</f>
        <v>N/A</v>
      </c>
    </row>
    <row r="117" spans="1:23" x14ac:dyDescent="0.45">
      <c r="A117" t="s">
        <v>138</v>
      </c>
      <c r="B117" t="str">
        <f>RTD("tos.rtd", , "DESCRIPTION", "EUFN")</f>
        <v>N/A</v>
      </c>
      <c r="C117">
        <f>RTD("tos.rtd", , "PUT_CALL_RATIO", "EUFN")</f>
        <v>68.606999999999999</v>
      </c>
      <c r="D117" t="str">
        <f>RTD("tos.rtd", , "IMPL_VOL", "EUFN")</f>
        <v>37.02%</v>
      </c>
      <c r="E117">
        <f>RTD("tos.rtd", , "LAST", "EUFN")</f>
        <v>15.8</v>
      </c>
      <c r="F117">
        <f>RTD("tos.rtd", , "VOLUME", "EUFN")</f>
        <v>1320806</v>
      </c>
      <c r="G117">
        <f>RTD("tos.rtd", , "OPEN_INT", "EUFN")</f>
        <v>0</v>
      </c>
      <c r="H117">
        <f>RTD("tos.rtd", , "BID", "EUFN")</f>
        <v>14.68</v>
      </c>
      <c r="I117">
        <f>RTD("tos.rtd", , "ASK", "EUFN")</f>
        <v>17</v>
      </c>
      <c r="J117">
        <f>RTD("tos.rtd", , "HIGH", "EUFN")</f>
        <v>15.99</v>
      </c>
      <c r="K117">
        <f>RTD("tos.rtd", , "LOW", "EUFN")</f>
        <v>15.75</v>
      </c>
      <c r="L117">
        <f>RTD("tos.rtd", , "OPEN", "EUFN")</f>
        <v>15.85</v>
      </c>
      <c r="M117">
        <f>RTD("tos.rtd", , "DELTA", "EUFN")</f>
        <v>1</v>
      </c>
      <c r="N117">
        <f>RTD("tos.rtd", , "GAMMA", "EUFN")</f>
        <v>0</v>
      </c>
      <c r="O117">
        <f>RTD("tos.rtd", , "THETA", "EUFN")</f>
        <v>0</v>
      </c>
      <c r="P117">
        <f>RTD("tos.rtd", , "VEGA", "EUFN")</f>
        <v>0</v>
      </c>
      <c r="Q117">
        <f>RTD("tos.rtd", , "RHO", "EUFN")</f>
        <v>0</v>
      </c>
      <c r="R117" t="str">
        <f>RTD("tos.rtd", , "INTRINSIC", "EUFN")</f>
        <v>N/A</v>
      </c>
      <c r="S117" t="str">
        <f>RTD("tos.rtd", , "EXTRINSIC", "EUFN")</f>
        <v>N/A</v>
      </c>
      <c r="T117" t="str">
        <f>RTD("tos.rtd", , "PROB_OF_EXPIRING", "EUFN")</f>
        <v>N/A</v>
      </c>
      <c r="U117" t="str">
        <f>RTD("tos.rtd", , "PROB_OTM", "EUFN")</f>
        <v>N/A</v>
      </c>
      <c r="V117" t="str">
        <f>RTD("tos.rtd", , "PROB_OF_TOUCHING", "EUFN")</f>
        <v>N/A</v>
      </c>
      <c r="W117" t="str">
        <f>RTD("tos.rtd", , "STRIKE", "EUFN")</f>
        <v>N/A</v>
      </c>
    </row>
    <row r="118" spans="1:23" x14ac:dyDescent="0.45">
      <c r="A118" t="s">
        <v>139</v>
      </c>
      <c r="B118" t="str">
        <f>RTD("tos.rtd", , "DESCRIPTION", ".EUFN201120C16")</f>
        <v>N/A</v>
      </c>
      <c r="C118" t="str">
        <f>RTD("tos.rtd", , "PUT_CALL_RATIO", ".EUFN201120C16")</f>
        <v>N/A</v>
      </c>
      <c r="D118" t="str">
        <f>RTD("tos.rtd", , "IMPL_VOL", ".EUFN201120C16")</f>
        <v>N/A</v>
      </c>
      <c r="E118" t="str">
        <f>RTD("tos.rtd", , "LAST", ".EUFN201120C16")</f>
        <v>N/A</v>
      </c>
      <c r="F118" t="str">
        <f>RTD("tos.rtd", , "VOLUME", ".EUFN201120C16")</f>
        <v>N/A</v>
      </c>
      <c r="G118" t="str">
        <f>RTD("tos.rtd", , "OPEN_INT", ".EUFN201120C16")</f>
        <v>N/A</v>
      </c>
      <c r="H118" t="str">
        <f>RTD("tos.rtd", , "BID", ".EUFN201120C16")</f>
        <v>N/A</v>
      </c>
      <c r="I118" t="str">
        <f>RTD("tos.rtd", , "ASK", ".EUFN201120C16")</f>
        <v>N/A</v>
      </c>
      <c r="J118" t="str">
        <f>RTD("tos.rtd", , "HIGH", ".EUFN201120C16")</f>
        <v>N/A</v>
      </c>
      <c r="K118" t="str">
        <f>RTD("tos.rtd", , "LOW", ".EUFN201120C16")</f>
        <v>N/A</v>
      </c>
      <c r="L118" t="str">
        <f>RTD("tos.rtd", , "OPEN", ".EUFN201120C16")</f>
        <v>N/A</v>
      </c>
      <c r="M118" t="str">
        <f>RTD("tos.rtd", , "DELTA", ".EUFN201120C16")</f>
        <v>N/A</v>
      </c>
      <c r="N118" t="str">
        <f>RTD("tos.rtd", , "GAMMA", ".EUFN201120C16")</f>
        <v>N/A</v>
      </c>
      <c r="O118" t="str">
        <f>RTD("tos.rtd", , "THETA", ".EUFN201120C16")</f>
        <v>N/A</v>
      </c>
      <c r="P118" t="str">
        <f>RTD("tos.rtd", , "VEGA", ".EUFN201120C16")</f>
        <v>N/A</v>
      </c>
      <c r="Q118" t="str">
        <f>RTD("tos.rtd", , "RHO", ".EUFN201120C16")</f>
        <v>N/A</v>
      </c>
      <c r="R118" t="str">
        <f>RTD("tos.rtd", , "INTRINSIC", ".EUFN201120C16")</f>
        <v>N/A</v>
      </c>
      <c r="S118" t="str">
        <f>RTD("tos.rtd", , "EXTRINSIC", ".EUFN201120C16")</f>
        <v>N/A</v>
      </c>
      <c r="T118" t="str">
        <f>RTD("tos.rtd", , "PROB_OF_EXPIRING", ".EUFN201120C16")</f>
        <v>N/A</v>
      </c>
      <c r="U118" t="str">
        <f>RTD("tos.rtd", , "PROB_OTM", ".EUFN201120C16")</f>
        <v>N/A</v>
      </c>
      <c r="V118" t="str">
        <f>RTD("tos.rtd", , "PROB_OF_TOUCHING", ".EUFN201120C16")</f>
        <v>N/A</v>
      </c>
      <c r="W118" t="str">
        <f>RTD("tos.rtd", , "STRIKE", ".EUFN201120C16")</f>
        <v>N/A</v>
      </c>
    </row>
    <row r="119" spans="1:23" x14ac:dyDescent="0.45">
      <c r="A119" t="s">
        <v>140</v>
      </c>
      <c r="B119" t="str">
        <f>RTD("tos.rtd", , "DESCRIPTION", ".EUFN201120P16")</f>
        <v>N/A</v>
      </c>
      <c r="C119" t="str">
        <f>RTD("tos.rtd", , "PUT_CALL_RATIO", ".EUFN201120P16")</f>
        <v>N/A</v>
      </c>
      <c r="D119" t="str">
        <f>RTD("tos.rtd", , "IMPL_VOL", ".EUFN201120P16")</f>
        <v>N/A</v>
      </c>
      <c r="E119">
        <f>RTD("tos.rtd", , "LAST", ".EUFN201120P16")</f>
        <v>0.44</v>
      </c>
      <c r="F119">
        <f>RTD("tos.rtd", , "VOLUME", ".EUFN201120P16")</f>
        <v>72</v>
      </c>
      <c r="G119">
        <f>RTD("tos.rtd", , "OPEN_INT", ".EUFN201120P16")</f>
        <v>676</v>
      </c>
      <c r="H119">
        <f>RTD("tos.rtd", , "BID", ".EUFN201120P16")</f>
        <v>0.4</v>
      </c>
      <c r="I119">
        <f>RTD("tos.rtd", , "ASK", ".EUFN201120P16")</f>
        <v>0.45</v>
      </c>
      <c r="J119">
        <f>RTD("tos.rtd", , "HIGH", ".EUFN201120P16")</f>
        <v>0.45</v>
      </c>
      <c r="K119">
        <f>RTD("tos.rtd", , "LOW", ".EUFN201120P16")</f>
        <v>0.28999999999999998</v>
      </c>
      <c r="L119">
        <f>RTD("tos.rtd", , "OPEN", ".EUFN201120P16")</f>
        <v>0.28999999999999998</v>
      </c>
      <c r="M119" t="str">
        <f>RTD("tos.rtd", , "DELTA", ".EUFN201120P16")</f>
        <v>N/A</v>
      </c>
      <c r="N119" t="str">
        <f>RTD("tos.rtd", , "GAMMA", ".EUFN201120P16")</f>
        <v>N/A</v>
      </c>
      <c r="O119" t="str">
        <f>RTD("tos.rtd", , "THETA", ".EUFN201120P16")</f>
        <v>N/A</v>
      </c>
      <c r="P119" t="str">
        <f>RTD("tos.rtd", , "VEGA", ".EUFN201120P16")</f>
        <v>N/A</v>
      </c>
      <c r="Q119" t="str">
        <f>RTD("tos.rtd", , "RHO", ".EUFN201120P16")</f>
        <v>N/A</v>
      </c>
      <c r="R119" t="str">
        <f>RTD("tos.rtd", , "INTRINSIC", ".EUFN201120P16")</f>
        <v>N/A</v>
      </c>
      <c r="S119" t="str">
        <f>RTD("tos.rtd", , "EXTRINSIC", ".EUFN201120P16")</f>
        <v>N/A</v>
      </c>
      <c r="T119" t="str">
        <f>RTD("tos.rtd", , "PROB_OF_EXPIRING", ".EUFN201120P16")</f>
        <v>N/A</v>
      </c>
      <c r="U119" t="str">
        <f>RTD("tos.rtd", , "PROB_OTM", ".EUFN201120P16")</f>
        <v>N/A</v>
      </c>
      <c r="V119" t="str">
        <f>RTD("tos.rtd", , "PROB_OF_TOUCHING", ".EUFN201120P16")</f>
        <v>N/A</v>
      </c>
      <c r="W119" t="str">
        <f>RTD("tos.rtd", , "STRIKE", ".EUFN201120P16")</f>
        <v>N/A</v>
      </c>
    </row>
    <row r="120" spans="1:23" x14ac:dyDescent="0.45">
      <c r="A120" t="s">
        <v>141</v>
      </c>
      <c r="B120" t="str">
        <f>RTD("tos.rtd", , "DESCRIPTION", "EWA")</f>
        <v>N/A</v>
      </c>
      <c r="C120">
        <f>RTD("tos.rtd", , "PUT_CALL_RATIO", "EWA")</f>
        <v>7.6999999999999999E-2</v>
      </c>
      <c r="D120" t="str">
        <f>RTD("tos.rtd", , "IMPL_VOL", "EWA")</f>
        <v>24.25%</v>
      </c>
      <c r="E120">
        <f>RTD("tos.rtd", , "LAST", "EWA")</f>
        <v>21.91</v>
      </c>
      <c r="F120">
        <f>RTD("tos.rtd", , "VOLUME", "EWA")</f>
        <v>1915590</v>
      </c>
      <c r="G120">
        <f>RTD("tos.rtd", , "OPEN_INT", "EWA")</f>
        <v>0</v>
      </c>
      <c r="H120">
        <f>RTD("tos.rtd", , "BID", "EWA")</f>
        <v>21.78</v>
      </c>
      <c r="I120">
        <f>RTD("tos.rtd", , "ASK", "EWA")</f>
        <v>22.9</v>
      </c>
      <c r="J120">
        <f>RTD("tos.rtd", , "HIGH", "EWA")</f>
        <v>22.14</v>
      </c>
      <c r="K120">
        <f>RTD("tos.rtd", , "LOW", "EWA")</f>
        <v>21.83</v>
      </c>
      <c r="L120">
        <f>RTD("tos.rtd", , "OPEN", "EWA")</f>
        <v>22.13</v>
      </c>
      <c r="M120">
        <f>RTD("tos.rtd", , "DELTA", "EWA")</f>
        <v>1</v>
      </c>
      <c r="N120">
        <f>RTD("tos.rtd", , "GAMMA", "EWA")</f>
        <v>0</v>
      </c>
      <c r="O120">
        <f>RTD("tos.rtd", , "THETA", "EWA")</f>
        <v>0</v>
      </c>
      <c r="P120">
        <f>RTD("tos.rtd", , "VEGA", "EWA")</f>
        <v>0</v>
      </c>
      <c r="Q120">
        <f>RTD("tos.rtd", , "RHO", "EWA")</f>
        <v>0</v>
      </c>
      <c r="R120" t="str">
        <f>RTD("tos.rtd", , "INTRINSIC", "EWA")</f>
        <v>N/A</v>
      </c>
      <c r="S120" t="str">
        <f>RTD("tos.rtd", , "EXTRINSIC", "EWA")</f>
        <v>N/A</v>
      </c>
      <c r="T120" t="str">
        <f>RTD("tos.rtd", , "PROB_OF_EXPIRING", "EWA")</f>
        <v>N/A</v>
      </c>
      <c r="U120" t="str">
        <f>RTD("tos.rtd", , "PROB_OTM", "EWA")</f>
        <v>N/A</v>
      </c>
      <c r="V120" t="str">
        <f>RTD("tos.rtd", , "PROB_OF_TOUCHING", "EWA")</f>
        <v>N/A</v>
      </c>
      <c r="W120" t="str">
        <f>RTD("tos.rtd", , "STRIKE", "EWA")</f>
        <v>N/A</v>
      </c>
    </row>
    <row r="121" spans="1:23" x14ac:dyDescent="0.45">
      <c r="A121" t="s">
        <v>142</v>
      </c>
      <c r="B121" t="str">
        <f>RTD("tos.rtd", , "DESCRIPTION", ".EWA201120C22")</f>
        <v>N/A</v>
      </c>
      <c r="C121" t="str">
        <f>RTD("tos.rtd", , "PUT_CALL_RATIO", ".EWA201120C22")</f>
        <v>N/A</v>
      </c>
      <c r="D121" t="str">
        <f>RTD("tos.rtd", , "IMPL_VOL", ".EWA201120C22")</f>
        <v>N/A</v>
      </c>
      <c r="E121" t="str">
        <f>RTD("tos.rtd", , "LAST", ".EWA201120C22")</f>
        <v>N/A</v>
      </c>
      <c r="F121" t="str">
        <f>RTD("tos.rtd", , "VOLUME", ".EWA201120C22")</f>
        <v>N/A</v>
      </c>
      <c r="G121" t="str">
        <f>RTD("tos.rtd", , "OPEN_INT", ".EWA201120C22")</f>
        <v>N/A</v>
      </c>
      <c r="H121" t="str">
        <f>RTD("tos.rtd", , "BID", ".EWA201120C22")</f>
        <v>N/A</v>
      </c>
      <c r="I121" t="str">
        <f>RTD("tos.rtd", , "ASK", ".EWA201120C22")</f>
        <v>N/A</v>
      </c>
      <c r="J121" t="str">
        <f>RTD("tos.rtd", , "HIGH", ".EWA201120C22")</f>
        <v>N/A</v>
      </c>
      <c r="K121" t="str">
        <f>RTD("tos.rtd", , "LOW", ".EWA201120C22")</f>
        <v>N/A</v>
      </c>
      <c r="L121" t="str">
        <f>RTD("tos.rtd", , "OPEN", ".EWA201120C22")</f>
        <v>N/A</v>
      </c>
      <c r="M121" t="str">
        <f>RTD("tos.rtd", , "DELTA", ".EWA201120C22")</f>
        <v>N/A</v>
      </c>
      <c r="N121" t="str">
        <f>RTD("tos.rtd", , "GAMMA", ".EWA201120C22")</f>
        <v>N/A</v>
      </c>
      <c r="O121" t="str">
        <f>RTD("tos.rtd", , "THETA", ".EWA201120C22")</f>
        <v>N/A</v>
      </c>
      <c r="P121" t="str">
        <f>RTD("tos.rtd", , "VEGA", ".EWA201120C22")</f>
        <v>N/A</v>
      </c>
      <c r="Q121" t="str">
        <f>RTD("tos.rtd", , "RHO", ".EWA201120C22")</f>
        <v>N/A</v>
      </c>
      <c r="R121" t="str">
        <f>RTD("tos.rtd", , "INTRINSIC", ".EWA201120C22")</f>
        <v>N/A</v>
      </c>
      <c r="S121" t="str">
        <f>RTD("tos.rtd", , "EXTRINSIC", ".EWA201120C22")</f>
        <v>N/A</v>
      </c>
      <c r="T121" t="str">
        <f>RTD("tos.rtd", , "PROB_OF_EXPIRING", ".EWA201120C22")</f>
        <v>N/A</v>
      </c>
      <c r="U121" t="str">
        <f>RTD("tos.rtd", , "PROB_OTM", ".EWA201120C22")</f>
        <v>N/A</v>
      </c>
      <c r="V121" t="str">
        <f>RTD("tos.rtd", , "PROB_OF_TOUCHING", ".EWA201120C22")</f>
        <v>N/A</v>
      </c>
      <c r="W121" t="str">
        <f>RTD("tos.rtd", , "STRIKE", ".EWA201120C22")</f>
        <v>N/A</v>
      </c>
    </row>
    <row r="122" spans="1:23" x14ac:dyDescent="0.45">
      <c r="A122" t="s">
        <v>143</v>
      </c>
      <c r="B122" t="str">
        <f>RTD("tos.rtd", , "DESCRIPTION", ".EWA201120P22")</f>
        <v>N/A</v>
      </c>
      <c r="C122" t="str">
        <f>RTD("tos.rtd", , "PUT_CALL_RATIO", ".EWA201120P22")</f>
        <v>N/A</v>
      </c>
      <c r="D122" t="str">
        <f>RTD("tos.rtd", , "IMPL_VOL", ".EWA201120P22")</f>
        <v>N/A</v>
      </c>
      <c r="E122" t="str">
        <f>RTD("tos.rtd", , "LAST", ".EWA201120P22")</f>
        <v>N/A</v>
      </c>
      <c r="F122" t="str">
        <f>RTD("tos.rtd", , "VOLUME", ".EWA201120P22")</f>
        <v>N/A</v>
      </c>
      <c r="G122" t="str">
        <f>RTD("tos.rtd", , "OPEN_INT", ".EWA201120P22")</f>
        <v>N/A</v>
      </c>
      <c r="H122" t="str">
        <f>RTD("tos.rtd", , "BID", ".EWA201120P22")</f>
        <v>N/A</v>
      </c>
      <c r="I122" t="str">
        <f>RTD("tos.rtd", , "ASK", ".EWA201120P22")</f>
        <v>N/A</v>
      </c>
      <c r="J122" t="str">
        <f>RTD("tos.rtd", , "HIGH", ".EWA201120P22")</f>
        <v>N/A</v>
      </c>
      <c r="K122" t="str">
        <f>RTD("tos.rtd", , "LOW", ".EWA201120P22")</f>
        <v>N/A</v>
      </c>
      <c r="L122" t="str">
        <f>RTD("tos.rtd", , "OPEN", ".EWA201120P22")</f>
        <v>N/A</v>
      </c>
      <c r="M122" t="str">
        <f>RTD("tos.rtd", , "DELTA", ".EWA201120P22")</f>
        <v>N/A</v>
      </c>
      <c r="N122" t="str">
        <f>RTD("tos.rtd", , "GAMMA", ".EWA201120P22")</f>
        <v>N/A</v>
      </c>
      <c r="O122" t="str">
        <f>RTD("tos.rtd", , "THETA", ".EWA201120P22")</f>
        <v>N/A</v>
      </c>
      <c r="P122" t="str">
        <f>RTD("tos.rtd", , "VEGA", ".EWA201120P22")</f>
        <v>N/A</v>
      </c>
      <c r="Q122" t="str">
        <f>RTD("tos.rtd", , "RHO", ".EWA201120P22")</f>
        <v>N/A</v>
      </c>
      <c r="R122" t="str">
        <f>RTD("tos.rtd", , "INTRINSIC", ".EWA201120P22")</f>
        <v>N/A</v>
      </c>
      <c r="S122" t="str">
        <f>RTD("tos.rtd", , "EXTRINSIC", ".EWA201120P22")</f>
        <v>N/A</v>
      </c>
      <c r="T122" t="str">
        <f>RTD("tos.rtd", , "PROB_OF_EXPIRING", ".EWA201120P22")</f>
        <v>N/A</v>
      </c>
      <c r="U122" t="str">
        <f>RTD("tos.rtd", , "PROB_OTM", ".EWA201120P22")</f>
        <v>N/A</v>
      </c>
      <c r="V122" t="str">
        <f>RTD("tos.rtd", , "PROB_OF_TOUCHING", ".EWA201120P22")</f>
        <v>N/A</v>
      </c>
      <c r="W122" t="str">
        <f>RTD("tos.rtd", , "STRIKE", ".EWA201120P22")</f>
        <v>N/A</v>
      </c>
    </row>
    <row r="123" spans="1:23" x14ac:dyDescent="0.45">
      <c r="A123" t="s">
        <v>144</v>
      </c>
      <c r="B123" t="str">
        <f>RTD("tos.rtd", , "DESCRIPTION", "EWC")</f>
        <v>N/A</v>
      </c>
      <c r="C123">
        <f>RTD("tos.rtd", , "PUT_CALL_RATIO", "EWC")</f>
        <v>312.58300000000003</v>
      </c>
      <c r="D123" t="str">
        <f>RTD("tos.rtd", , "IMPL_VOL", "EWC")</f>
        <v>28.45%</v>
      </c>
      <c r="E123">
        <f>RTD("tos.rtd", , "LAST", "EWC")</f>
        <v>28.65</v>
      </c>
      <c r="F123">
        <f>RTD("tos.rtd", , "VOLUME", "EWC")</f>
        <v>2585665</v>
      </c>
      <c r="G123">
        <f>RTD("tos.rtd", , "OPEN_INT", "EWC")</f>
        <v>0</v>
      </c>
      <c r="H123">
        <f>RTD("tos.rtd", , "BID", "EWC")</f>
        <v>28.42</v>
      </c>
      <c r="I123">
        <f>RTD("tos.rtd", , "ASK", "EWC")</f>
        <v>28.85</v>
      </c>
      <c r="J123">
        <f>RTD("tos.rtd", , "HIGH", "EWC")</f>
        <v>29.1</v>
      </c>
      <c r="K123">
        <f>RTD("tos.rtd", , "LOW", "EWC")</f>
        <v>28.535</v>
      </c>
      <c r="L123">
        <f>RTD("tos.rtd", , "OPEN", "EWC")</f>
        <v>29.03</v>
      </c>
      <c r="M123">
        <f>RTD("tos.rtd", , "DELTA", "EWC")</f>
        <v>1</v>
      </c>
      <c r="N123">
        <f>RTD("tos.rtd", , "GAMMA", "EWC")</f>
        <v>0</v>
      </c>
      <c r="O123">
        <f>RTD("tos.rtd", , "THETA", "EWC")</f>
        <v>0</v>
      </c>
      <c r="P123">
        <f>RTD("tos.rtd", , "VEGA", "EWC")</f>
        <v>0</v>
      </c>
      <c r="Q123">
        <f>RTD("tos.rtd", , "RHO", "EWC")</f>
        <v>0</v>
      </c>
      <c r="R123" t="str">
        <f>RTD("tos.rtd", , "INTRINSIC", "EWC")</f>
        <v>N/A</v>
      </c>
      <c r="S123" t="str">
        <f>RTD("tos.rtd", , "EXTRINSIC", "EWC")</f>
        <v>N/A</v>
      </c>
      <c r="T123" t="str">
        <f>RTD("tos.rtd", , "PROB_OF_EXPIRING", "EWC")</f>
        <v>N/A</v>
      </c>
      <c r="U123" t="str">
        <f>RTD("tos.rtd", , "PROB_OTM", "EWC")</f>
        <v>N/A</v>
      </c>
      <c r="V123" t="str">
        <f>RTD("tos.rtd", , "PROB_OF_TOUCHING", "EWC")</f>
        <v>N/A</v>
      </c>
      <c r="W123" t="str">
        <f>RTD("tos.rtd", , "STRIKE", "EWC")</f>
        <v>N/A</v>
      </c>
    </row>
    <row r="124" spans="1:23" x14ac:dyDescent="0.45">
      <c r="A124" t="s">
        <v>145</v>
      </c>
      <c r="B124" t="str">
        <f>RTD("tos.rtd", , "DESCRIPTION", ".EWC201120C29")</f>
        <v>N/A</v>
      </c>
      <c r="C124" t="str">
        <f>RTD("tos.rtd", , "PUT_CALL_RATIO", ".EWC201120C29")</f>
        <v>N/A</v>
      </c>
      <c r="D124" t="str">
        <f>RTD("tos.rtd", , "IMPL_VOL", ".EWC201120C29")</f>
        <v>N/A</v>
      </c>
      <c r="E124" t="str">
        <f>RTD("tos.rtd", , "LAST", ".EWC201120C29")</f>
        <v>N/A</v>
      </c>
      <c r="F124" t="str">
        <f>RTD("tos.rtd", , "VOLUME", ".EWC201120C29")</f>
        <v>N/A</v>
      </c>
      <c r="G124" t="str">
        <f>RTD("tos.rtd", , "OPEN_INT", ".EWC201120C29")</f>
        <v>N/A</v>
      </c>
      <c r="H124" t="str">
        <f>RTD("tos.rtd", , "BID", ".EWC201120C29")</f>
        <v>N/A</v>
      </c>
      <c r="I124" t="str">
        <f>RTD("tos.rtd", , "ASK", ".EWC201120C29")</f>
        <v>N/A</v>
      </c>
      <c r="J124" t="str">
        <f>RTD("tos.rtd", , "HIGH", ".EWC201120C29")</f>
        <v>N/A</v>
      </c>
      <c r="K124" t="str">
        <f>RTD("tos.rtd", , "LOW", ".EWC201120C29")</f>
        <v>N/A</v>
      </c>
      <c r="L124" t="str">
        <f>RTD("tos.rtd", , "OPEN", ".EWC201120C29")</f>
        <v>N/A</v>
      </c>
      <c r="M124" t="str">
        <f>RTD("tos.rtd", , "DELTA", ".EWC201120C29")</f>
        <v>N/A</v>
      </c>
      <c r="N124" t="str">
        <f>RTD("tos.rtd", , "GAMMA", ".EWC201120C29")</f>
        <v>N/A</v>
      </c>
      <c r="O124" t="str">
        <f>RTD("tos.rtd", , "THETA", ".EWC201120C29")</f>
        <v>N/A</v>
      </c>
      <c r="P124" t="str">
        <f>RTD("tos.rtd", , "VEGA", ".EWC201120C29")</f>
        <v>N/A</v>
      </c>
      <c r="Q124" t="str">
        <f>RTD("tos.rtd", , "RHO", ".EWC201120C29")</f>
        <v>N/A</v>
      </c>
      <c r="R124" t="str">
        <f>RTD("tos.rtd", , "INTRINSIC", ".EWC201120C29")</f>
        <v>N/A</v>
      </c>
      <c r="S124" t="str">
        <f>RTD("tos.rtd", , "EXTRINSIC", ".EWC201120C29")</f>
        <v>N/A</v>
      </c>
      <c r="T124" t="str">
        <f>RTD("tos.rtd", , "PROB_OF_EXPIRING", ".EWC201120C29")</f>
        <v>N/A</v>
      </c>
      <c r="U124" t="str">
        <f>RTD("tos.rtd", , "PROB_OTM", ".EWC201120C29")</f>
        <v>N/A</v>
      </c>
      <c r="V124" t="str">
        <f>RTD("tos.rtd", , "PROB_OF_TOUCHING", ".EWC201120C29")</f>
        <v>N/A</v>
      </c>
      <c r="W124" t="str">
        <f>RTD("tos.rtd", , "STRIKE", ".EWC201120C29")</f>
        <v>N/A</v>
      </c>
    </row>
    <row r="125" spans="1:23" x14ac:dyDescent="0.45">
      <c r="A125" t="s">
        <v>146</v>
      </c>
      <c r="B125" t="str">
        <f>RTD("tos.rtd", , "DESCRIPTION", ".EWC201120P29")</f>
        <v>N/A</v>
      </c>
      <c r="C125" t="str">
        <f>RTD("tos.rtd", , "PUT_CALL_RATIO", ".EWC201120P29")</f>
        <v>N/A</v>
      </c>
      <c r="D125" t="str">
        <f>RTD("tos.rtd", , "IMPL_VOL", ".EWC201120P29")</f>
        <v>N/A</v>
      </c>
      <c r="E125" t="str">
        <f>RTD("tos.rtd", , "LAST", ".EWC201120P29")</f>
        <v>N/A</v>
      </c>
      <c r="F125" t="str">
        <f>RTD("tos.rtd", , "VOLUME", ".EWC201120P29")</f>
        <v>N/A</v>
      </c>
      <c r="G125" t="str">
        <f>RTD("tos.rtd", , "OPEN_INT", ".EWC201120P29")</f>
        <v>N/A</v>
      </c>
      <c r="H125" t="str">
        <f>RTD("tos.rtd", , "BID", ".EWC201120P29")</f>
        <v>N/A</v>
      </c>
      <c r="I125" t="str">
        <f>RTD("tos.rtd", , "ASK", ".EWC201120P29")</f>
        <v>N/A</v>
      </c>
      <c r="J125" t="str">
        <f>RTD("tos.rtd", , "HIGH", ".EWC201120P29")</f>
        <v>N/A</v>
      </c>
      <c r="K125" t="str">
        <f>RTD("tos.rtd", , "LOW", ".EWC201120P29")</f>
        <v>N/A</v>
      </c>
      <c r="L125" t="str">
        <f>RTD("tos.rtd", , "OPEN", ".EWC201120P29")</f>
        <v>N/A</v>
      </c>
      <c r="M125" t="str">
        <f>RTD("tos.rtd", , "DELTA", ".EWC201120P29")</f>
        <v>N/A</v>
      </c>
      <c r="N125" t="str">
        <f>RTD("tos.rtd", , "GAMMA", ".EWC201120P29")</f>
        <v>N/A</v>
      </c>
      <c r="O125" t="str">
        <f>RTD("tos.rtd", , "THETA", ".EWC201120P29")</f>
        <v>N/A</v>
      </c>
      <c r="P125" t="str">
        <f>RTD("tos.rtd", , "VEGA", ".EWC201120P29")</f>
        <v>N/A</v>
      </c>
      <c r="Q125" t="str">
        <f>RTD("tos.rtd", , "RHO", ".EWC201120P29")</f>
        <v>N/A</v>
      </c>
      <c r="R125" t="str">
        <f>RTD("tos.rtd", , "INTRINSIC", ".EWC201120P29")</f>
        <v>N/A</v>
      </c>
      <c r="S125" t="str">
        <f>RTD("tos.rtd", , "EXTRINSIC", ".EWC201120P29")</f>
        <v>N/A</v>
      </c>
      <c r="T125" t="str">
        <f>RTD("tos.rtd", , "PROB_OF_EXPIRING", ".EWC201120P29")</f>
        <v>N/A</v>
      </c>
      <c r="U125" t="str">
        <f>RTD("tos.rtd", , "PROB_OTM", ".EWC201120P29")</f>
        <v>N/A</v>
      </c>
      <c r="V125" t="str">
        <f>RTD("tos.rtd", , "PROB_OF_TOUCHING", ".EWC201120P29")</f>
        <v>N/A</v>
      </c>
      <c r="W125" t="str">
        <f>RTD("tos.rtd", , "STRIKE", ".EWC201120P29")</f>
        <v>N/A</v>
      </c>
    </row>
    <row r="126" spans="1:23" x14ac:dyDescent="0.45">
      <c r="A126" t="s">
        <v>147</v>
      </c>
      <c r="B126" t="str">
        <f>RTD("tos.rtd", , "DESCRIPTION", "EWG")</f>
        <v>N/A</v>
      </c>
      <c r="C126">
        <f>RTD("tos.rtd", , "PUT_CALL_RATIO", "EWG")</f>
        <v>24.709</v>
      </c>
      <c r="D126" t="str">
        <f>RTD("tos.rtd", , "IMPL_VOL", "EWG")</f>
        <v>28.48%</v>
      </c>
      <c r="E126">
        <f>RTD("tos.rtd", , "LAST", "EWG")</f>
        <v>29.48</v>
      </c>
      <c r="F126">
        <f>RTD("tos.rtd", , "VOLUME", "EWG")</f>
        <v>5645624</v>
      </c>
      <c r="G126">
        <f>RTD("tos.rtd", , "OPEN_INT", "EWG")</f>
        <v>0</v>
      </c>
      <c r="H126">
        <f>RTD("tos.rtd", , "BID", "EWG")</f>
        <v>29</v>
      </c>
      <c r="I126">
        <f>RTD("tos.rtd", , "ASK", "EWG")</f>
        <v>30.3</v>
      </c>
      <c r="J126">
        <f>RTD("tos.rtd", , "HIGH", "EWG")</f>
        <v>29.72</v>
      </c>
      <c r="K126">
        <f>RTD("tos.rtd", , "LOW", "EWG")</f>
        <v>29.35</v>
      </c>
      <c r="L126">
        <f>RTD("tos.rtd", , "OPEN", "EWG")</f>
        <v>29.62</v>
      </c>
      <c r="M126">
        <f>RTD("tos.rtd", , "DELTA", "EWG")</f>
        <v>1</v>
      </c>
      <c r="N126">
        <f>RTD("tos.rtd", , "GAMMA", "EWG")</f>
        <v>0</v>
      </c>
      <c r="O126">
        <f>RTD("tos.rtd", , "THETA", "EWG")</f>
        <v>0</v>
      </c>
      <c r="P126">
        <f>RTD("tos.rtd", , "VEGA", "EWG")</f>
        <v>0</v>
      </c>
      <c r="Q126">
        <f>RTD("tos.rtd", , "RHO", "EWG")</f>
        <v>0</v>
      </c>
      <c r="R126" t="str">
        <f>RTD("tos.rtd", , "INTRINSIC", "EWG")</f>
        <v>N/A</v>
      </c>
      <c r="S126" t="str">
        <f>RTD("tos.rtd", , "EXTRINSIC", "EWG")</f>
        <v>N/A</v>
      </c>
      <c r="T126" t="str">
        <f>RTD("tos.rtd", , "PROB_OF_EXPIRING", "EWG")</f>
        <v>N/A</v>
      </c>
      <c r="U126" t="str">
        <f>RTD("tos.rtd", , "PROB_OTM", "EWG")</f>
        <v>N/A</v>
      </c>
      <c r="V126" t="str">
        <f>RTD("tos.rtd", , "PROB_OF_TOUCHING", "EWG")</f>
        <v>N/A</v>
      </c>
      <c r="W126" t="str">
        <f>RTD("tos.rtd", , "STRIKE", "EWG")</f>
        <v>N/A</v>
      </c>
    </row>
    <row r="127" spans="1:23" x14ac:dyDescent="0.45">
      <c r="A127" t="s">
        <v>148</v>
      </c>
      <c r="B127" t="str">
        <f>RTD("tos.rtd", , "DESCRIPTION", ".EWG201120C30")</f>
        <v>N/A</v>
      </c>
      <c r="C127" t="str">
        <f>RTD("tos.rtd", , "PUT_CALL_RATIO", ".EWG201120C30")</f>
        <v>N/A</v>
      </c>
      <c r="D127" t="str">
        <f>RTD("tos.rtd", , "IMPL_VOL", ".EWG201120C30")</f>
        <v>N/A</v>
      </c>
      <c r="E127">
        <f>RTD("tos.rtd", , "LAST", ".EWG201120C30")</f>
        <v>0</v>
      </c>
      <c r="F127" t="str">
        <f>RTD("tos.rtd", , "VOLUME", ".EWG201120C30")</f>
        <v>N/A</v>
      </c>
      <c r="G127" t="str">
        <f>RTD("tos.rtd", , "OPEN_INT", ".EWG201120C30")</f>
        <v>N/A</v>
      </c>
      <c r="H127">
        <f>RTD("tos.rtd", , "BID", ".EWG201120C30")</f>
        <v>0.15</v>
      </c>
      <c r="I127">
        <f>RTD("tos.rtd", , "ASK", ".EWG201120C30")</f>
        <v>0.25</v>
      </c>
      <c r="J127" t="str">
        <f>RTD("tos.rtd", , "HIGH", ".EWG201120C30")</f>
        <v>N/A</v>
      </c>
      <c r="K127" t="str">
        <f>RTD("tos.rtd", , "LOW", ".EWG201120C30")</f>
        <v>N/A</v>
      </c>
      <c r="L127" t="str">
        <f>RTD("tos.rtd", , "OPEN", ".EWG201120C30")</f>
        <v>N/A</v>
      </c>
      <c r="M127" t="str">
        <f>RTD("tos.rtd", , "DELTA", ".EWG201120C30")</f>
        <v>N/A</v>
      </c>
      <c r="N127" t="str">
        <f>RTD("tos.rtd", , "GAMMA", ".EWG201120C30")</f>
        <v>N/A</v>
      </c>
      <c r="O127" t="str">
        <f>RTD("tos.rtd", , "THETA", ".EWG201120C30")</f>
        <v>N/A</v>
      </c>
      <c r="P127" t="str">
        <f>RTD("tos.rtd", , "VEGA", ".EWG201120C30")</f>
        <v>N/A</v>
      </c>
      <c r="Q127" t="str">
        <f>RTD("tos.rtd", , "RHO", ".EWG201120C30")</f>
        <v>N/A</v>
      </c>
      <c r="R127" t="str">
        <f>RTD("tos.rtd", , "INTRINSIC", ".EWG201120C30")</f>
        <v>N/A</v>
      </c>
      <c r="S127" t="str">
        <f>RTD("tos.rtd", , "EXTRINSIC", ".EWG201120C30")</f>
        <v>N/A</v>
      </c>
      <c r="T127" t="str">
        <f>RTD("tos.rtd", , "PROB_OF_EXPIRING", ".EWG201120C30")</f>
        <v>N/A</v>
      </c>
      <c r="U127" t="str">
        <f>RTD("tos.rtd", , "PROB_OTM", ".EWG201120C30")</f>
        <v>N/A</v>
      </c>
      <c r="V127" t="str">
        <f>RTD("tos.rtd", , "PROB_OF_TOUCHING", ".EWG201120C30")</f>
        <v>N/A</v>
      </c>
      <c r="W127" t="str">
        <f>RTD("tos.rtd", , "STRIKE", ".EWG201120C30")</f>
        <v>N/A</v>
      </c>
    </row>
    <row r="128" spans="1:23" x14ac:dyDescent="0.45">
      <c r="A128" t="s">
        <v>149</v>
      </c>
      <c r="B128" t="str">
        <f>RTD("tos.rtd", , "DESCRIPTION", ".EWG201120P30")</f>
        <v>N/A</v>
      </c>
      <c r="C128" t="str">
        <f>RTD("tos.rtd", , "PUT_CALL_RATIO", ".EWG201120P30")</f>
        <v>N/A</v>
      </c>
      <c r="D128" t="str">
        <f>RTD("tos.rtd", , "IMPL_VOL", ".EWG201120P30")</f>
        <v>N/A</v>
      </c>
      <c r="E128" t="str">
        <f>RTD("tos.rtd", , "LAST", ".EWG201120P30")</f>
        <v>N/A</v>
      </c>
      <c r="F128" t="str">
        <f>RTD("tos.rtd", , "VOLUME", ".EWG201120P30")</f>
        <v>N/A</v>
      </c>
      <c r="G128" t="str">
        <f>RTD("tos.rtd", , "OPEN_INT", ".EWG201120P30")</f>
        <v>N/A</v>
      </c>
      <c r="H128" t="str">
        <f>RTD("tos.rtd", , "BID", ".EWG201120P30")</f>
        <v>N/A</v>
      </c>
      <c r="I128" t="str">
        <f>RTD("tos.rtd", , "ASK", ".EWG201120P30")</f>
        <v>N/A</v>
      </c>
      <c r="J128" t="str">
        <f>RTD("tos.rtd", , "HIGH", ".EWG201120P30")</f>
        <v>N/A</v>
      </c>
      <c r="K128" t="str">
        <f>RTD("tos.rtd", , "LOW", ".EWG201120P30")</f>
        <v>N/A</v>
      </c>
      <c r="L128" t="str">
        <f>RTD("tos.rtd", , "OPEN", ".EWG201120P30")</f>
        <v>N/A</v>
      </c>
      <c r="M128" t="str">
        <f>RTD("tos.rtd", , "DELTA", ".EWG201120P30")</f>
        <v>N/A</v>
      </c>
      <c r="N128" t="str">
        <f>RTD("tos.rtd", , "GAMMA", ".EWG201120P30")</f>
        <v>N/A</v>
      </c>
      <c r="O128" t="str">
        <f>RTD("tos.rtd", , "THETA", ".EWG201120P30")</f>
        <v>N/A</v>
      </c>
      <c r="P128" t="str">
        <f>RTD("tos.rtd", , "VEGA", ".EWG201120P30")</f>
        <v>N/A</v>
      </c>
      <c r="Q128" t="str">
        <f>RTD("tos.rtd", , "RHO", ".EWG201120P30")</f>
        <v>N/A</v>
      </c>
      <c r="R128" t="str">
        <f>RTD("tos.rtd", , "INTRINSIC", ".EWG201120P30")</f>
        <v>N/A</v>
      </c>
      <c r="S128" t="str">
        <f>RTD("tos.rtd", , "EXTRINSIC", ".EWG201120P30")</f>
        <v>N/A</v>
      </c>
      <c r="T128" t="str">
        <f>RTD("tos.rtd", , "PROB_OF_EXPIRING", ".EWG201120P30")</f>
        <v>N/A</v>
      </c>
      <c r="U128" t="str">
        <f>RTD("tos.rtd", , "PROB_OTM", ".EWG201120P30")</f>
        <v>N/A</v>
      </c>
      <c r="V128" t="str">
        <f>RTD("tos.rtd", , "PROB_OF_TOUCHING", ".EWG201120P30")</f>
        <v>N/A</v>
      </c>
      <c r="W128" t="str">
        <f>RTD("tos.rtd", , "STRIKE", ".EWG201120P30")</f>
        <v>N/A</v>
      </c>
    </row>
    <row r="129" spans="1:23" x14ac:dyDescent="0.45">
      <c r="A129" t="s">
        <v>150</v>
      </c>
      <c r="B129" t="str">
        <f>RTD("tos.rtd", , "DESCRIPTION", "EWH")</f>
        <v>N/A</v>
      </c>
      <c r="C129">
        <f>RTD("tos.rtd", , "PUT_CALL_RATIO", "EWH")</f>
        <v>2.5</v>
      </c>
      <c r="D129" t="str">
        <f>RTD("tos.rtd", , "IMPL_VOL", "EWH")</f>
        <v>23.23%</v>
      </c>
      <c r="E129">
        <f>RTD("tos.rtd", , "LAST", "EWH")</f>
        <v>23.55</v>
      </c>
      <c r="F129">
        <f>RTD("tos.rtd", , "VOLUME", "EWH")</f>
        <v>10090239</v>
      </c>
      <c r="G129">
        <f>RTD("tos.rtd", , "OPEN_INT", "EWH")</f>
        <v>0</v>
      </c>
      <c r="H129">
        <f>RTD("tos.rtd", , "BID", "EWH")</f>
        <v>23</v>
      </c>
      <c r="I129">
        <f>RTD("tos.rtd", , "ASK", "EWH")</f>
        <v>24.1</v>
      </c>
      <c r="J129">
        <f>RTD("tos.rtd", , "HIGH", "EWH")</f>
        <v>23.7</v>
      </c>
      <c r="K129">
        <f>RTD("tos.rtd", , "LOW", "EWH")</f>
        <v>23.52</v>
      </c>
      <c r="L129">
        <f>RTD("tos.rtd", , "OPEN", "EWH")</f>
        <v>23.7</v>
      </c>
      <c r="M129">
        <f>RTD("tos.rtd", , "DELTA", "EWH")</f>
        <v>1</v>
      </c>
      <c r="N129">
        <f>RTD("tos.rtd", , "GAMMA", "EWH")</f>
        <v>0</v>
      </c>
      <c r="O129">
        <f>RTD("tos.rtd", , "THETA", "EWH")</f>
        <v>0</v>
      </c>
      <c r="P129">
        <f>RTD("tos.rtd", , "VEGA", "EWH")</f>
        <v>0</v>
      </c>
      <c r="Q129">
        <f>RTD("tos.rtd", , "RHO", "EWH")</f>
        <v>0</v>
      </c>
      <c r="R129" t="str">
        <f>RTD("tos.rtd", , "INTRINSIC", "EWH")</f>
        <v>N/A</v>
      </c>
      <c r="S129" t="str">
        <f>RTD("tos.rtd", , "EXTRINSIC", "EWH")</f>
        <v>N/A</v>
      </c>
      <c r="T129" t="str">
        <f>RTD("tos.rtd", , "PROB_OF_EXPIRING", "EWH")</f>
        <v>N/A</v>
      </c>
      <c r="U129" t="str">
        <f>RTD("tos.rtd", , "PROB_OTM", "EWH")</f>
        <v>N/A</v>
      </c>
      <c r="V129" t="str">
        <f>RTD("tos.rtd", , "PROB_OF_TOUCHING", "EWH")</f>
        <v>N/A</v>
      </c>
      <c r="W129" t="str">
        <f>RTD("tos.rtd", , "STRIKE", "EWH")</f>
        <v>N/A</v>
      </c>
    </row>
    <row r="130" spans="1:23" x14ac:dyDescent="0.45">
      <c r="A130" t="s">
        <v>151</v>
      </c>
      <c r="B130" t="str">
        <f>RTD("tos.rtd", , "DESCRIPTION", ".EWH201120C24")</f>
        <v>N/A</v>
      </c>
      <c r="C130" t="str">
        <f>RTD("tos.rtd", , "PUT_CALL_RATIO", ".EWH201120C24")</f>
        <v>N/A</v>
      </c>
      <c r="D130" t="str">
        <f>RTD("tos.rtd", , "IMPL_VOL", ".EWH201120C24")</f>
        <v>N/A</v>
      </c>
      <c r="E130" t="str">
        <f>RTD("tos.rtd", , "LAST", ".EWH201120C24")</f>
        <v>N/A</v>
      </c>
      <c r="F130" t="str">
        <f>RTD("tos.rtd", , "VOLUME", ".EWH201120C24")</f>
        <v>N/A</v>
      </c>
      <c r="G130" t="str">
        <f>RTD("tos.rtd", , "OPEN_INT", ".EWH201120C24")</f>
        <v>N/A</v>
      </c>
      <c r="H130" t="str">
        <f>RTD("tos.rtd", , "BID", ".EWH201120C24")</f>
        <v>N/A</v>
      </c>
      <c r="I130" t="str">
        <f>RTD("tos.rtd", , "ASK", ".EWH201120C24")</f>
        <v>N/A</v>
      </c>
      <c r="J130" t="str">
        <f>RTD("tos.rtd", , "HIGH", ".EWH201120C24")</f>
        <v>N/A</v>
      </c>
      <c r="K130" t="str">
        <f>RTD("tos.rtd", , "LOW", ".EWH201120C24")</f>
        <v>N/A</v>
      </c>
      <c r="L130" t="str">
        <f>RTD("tos.rtd", , "OPEN", ".EWH201120C24")</f>
        <v>N/A</v>
      </c>
      <c r="M130" t="str">
        <f>RTD("tos.rtd", , "DELTA", ".EWH201120C24")</f>
        <v>N/A</v>
      </c>
      <c r="N130" t="str">
        <f>RTD("tos.rtd", , "GAMMA", ".EWH201120C24")</f>
        <v>N/A</v>
      </c>
      <c r="O130" t="str">
        <f>RTD("tos.rtd", , "THETA", ".EWH201120C24")</f>
        <v>N/A</v>
      </c>
      <c r="P130" t="str">
        <f>RTD("tos.rtd", , "VEGA", ".EWH201120C24")</f>
        <v>N/A</v>
      </c>
      <c r="Q130" t="str">
        <f>RTD("tos.rtd", , "RHO", ".EWH201120C24")</f>
        <v>N/A</v>
      </c>
      <c r="R130" t="str">
        <f>RTD("tos.rtd", , "INTRINSIC", ".EWH201120C24")</f>
        <v>N/A</v>
      </c>
      <c r="S130" t="str">
        <f>RTD("tos.rtd", , "EXTRINSIC", ".EWH201120C24")</f>
        <v>N/A</v>
      </c>
      <c r="T130" t="str">
        <f>RTD("tos.rtd", , "PROB_OF_EXPIRING", ".EWH201120C24")</f>
        <v>N/A</v>
      </c>
      <c r="U130" t="str">
        <f>RTD("tos.rtd", , "PROB_OTM", ".EWH201120C24")</f>
        <v>N/A</v>
      </c>
      <c r="V130" t="str">
        <f>RTD("tos.rtd", , "PROB_OF_TOUCHING", ".EWH201120C24")</f>
        <v>N/A</v>
      </c>
      <c r="W130" t="str">
        <f>RTD("tos.rtd", , "STRIKE", ".EWH201120C24")</f>
        <v>N/A</v>
      </c>
    </row>
    <row r="131" spans="1:23" x14ac:dyDescent="0.45">
      <c r="A131" t="s">
        <v>152</v>
      </c>
      <c r="B131" t="str">
        <f>RTD("tos.rtd", , "DESCRIPTION", ".EWH201120P24")</f>
        <v>N/A</v>
      </c>
      <c r="C131" t="str">
        <f>RTD("tos.rtd", , "PUT_CALL_RATIO", ".EWH201120P24")</f>
        <v>N/A</v>
      </c>
      <c r="D131" t="str">
        <f>RTD("tos.rtd", , "IMPL_VOL", ".EWH201120P24")</f>
        <v>N/A</v>
      </c>
      <c r="E131" t="str">
        <f>RTD("tos.rtd", , "LAST", ".EWH201120P24")</f>
        <v>N/A</v>
      </c>
      <c r="F131" t="str">
        <f>RTD("tos.rtd", , "VOLUME", ".EWH201120P24")</f>
        <v>N/A</v>
      </c>
      <c r="G131" t="str">
        <f>RTD("tos.rtd", , "OPEN_INT", ".EWH201120P24")</f>
        <v>N/A</v>
      </c>
      <c r="H131" t="str">
        <f>RTD("tos.rtd", , "BID", ".EWH201120P24")</f>
        <v>N/A</v>
      </c>
      <c r="I131" t="str">
        <f>RTD("tos.rtd", , "ASK", ".EWH201120P24")</f>
        <v>N/A</v>
      </c>
      <c r="J131" t="str">
        <f>RTD("tos.rtd", , "HIGH", ".EWH201120P24")</f>
        <v>N/A</v>
      </c>
      <c r="K131" t="str">
        <f>RTD("tos.rtd", , "LOW", ".EWH201120P24")</f>
        <v>N/A</v>
      </c>
      <c r="L131" t="str">
        <f>RTD("tos.rtd", , "OPEN", ".EWH201120P24")</f>
        <v>N/A</v>
      </c>
      <c r="M131" t="str">
        <f>RTD("tos.rtd", , "DELTA", ".EWH201120P24")</f>
        <v>N/A</v>
      </c>
      <c r="N131" t="str">
        <f>RTD("tos.rtd", , "GAMMA", ".EWH201120P24")</f>
        <v>N/A</v>
      </c>
      <c r="O131" t="str">
        <f>RTD("tos.rtd", , "THETA", ".EWH201120P24")</f>
        <v>N/A</v>
      </c>
      <c r="P131" t="str">
        <f>RTD("tos.rtd", , "VEGA", ".EWH201120P24")</f>
        <v>N/A</v>
      </c>
      <c r="Q131" t="str">
        <f>RTD("tos.rtd", , "RHO", ".EWH201120P24")</f>
        <v>N/A</v>
      </c>
      <c r="R131" t="str">
        <f>RTD("tos.rtd", , "INTRINSIC", ".EWH201120P24")</f>
        <v>N/A</v>
      </c>
      <c r="S131" t="str">
        <f>RTD("tos.rtd", , "EXTRINSIC", ".EWH201120P24")</f>
        <v>N/A</v>
      </c>
      <c r="T131" t="str">
        <f>RTD("tos.rtd", , "PROB_OF_EXPIRING", ".EWH201120P24")</f>
        <v>N/A</v>
      </c>
      <c r="U131" t="str">
        <f>RTD("tos.rtd", , "PROB_OTM", ".EWH201120P24")</f>
        <v>N/A</v>
      </c>
      <c r="V131" t="str">
        <f>RTD("tos.rtd", , "PROB_OF_TOUCHING", ".EWH201120P24")</f>
        <v>N/A</v>
      </c>
      <c r="W131" t="str">
        <f>RTD("tos.rtd", , "STRIKE", ".EWH201120P24")</f>
        <v>N/A</v>
      </c>
    </row>
    <row r="132" spans="1:23" x14ac:dyDescent="0.45">
      <c r="A132" t="s">
        <v>153</v>
      </c>
      <c r="B132" t="str">
        <f>RTD("tos.rtd", , "DESCRIPTION", "EWI")</f>
        <v>N/A</v>
      </c>
      <c r="C132">
        <f>RTD("tos.rtd", , "PUT_CALL_RATIO", "EWI")</f>
        <v>26</v>
      </c>
      <c r="D132" t="str">
        <f>RTD("tos.rtd", , "IMPL_VOL", "EWI")</f>
        <v>31.70%</v>
      </c>
      <c r="E132">
        <f>RTD("tos.rtd", , "LAST", "EWI")</f>
        <v>26.63</v>
      </c>
      <c r="F132">
        <f>RTD("tos.rtd", , "VOLUME", "EWI")</f>
        <v>1068035</v>
      </c>
      <c r="G132">
        <f>RTD("tos.rtd", , "OPEN_INT", "EWI")</f>
        <v>0</v>
      </c>
      <c r="H132">
        <f>RTD("tos.rtd", , "BID", "EWI")</f>
        <v>24.61</v>
      </c>
      <c r="I132">
        <f>RTD("tos.rtd", , "ASK", "EWI")</f>
        <v>27.5</v>
      </c>
      <c r="J132">
        <f>RTD("tos.rtd", , "HIGH", "EWI")</f>
        <v>26.96</v>
      </c>
      <c r="K132">
        <f>RTD("tos.rtd", , "LOW", "EWI")</f>
        <v>26.58</v>
      </c>
      <c r="L132">
        <f>RTD("tos.rtd", , "OPEN", "EWI")</f>
        <v>26.85</v>
      </c>
      <c r="M132">
        <f>RTD("tos.rtd", , "DELTA", "EWI")</f>
        <v>1</v>
      </c>
      <c r="N132">
        <f>RTD("tos.rtd", , "GAMMA", "EWI")</f>
        <v>0</v>
      </c>
      <c r="O132">
        <f>RTD("tos.rtd", , "THETA", "EWI")</f>
        <v>0</v>
      </c>
      <c r="P132">
        <f>RTD("tos.rtd", , "VEGA", "EWI")</f>
        <v>0</v>
      </c>
      <c r="Q132">
        <f>RTD("tos.rtd", , "RHO", "EWI")</f>
        <v>0</v>
      </c>
      <c r="R132" t="str">
        <f>RTD("tos.rtd", , "INTRINSIC", "EWI")</f>
        <v>N/A</v>
      </c>
      <c r="S132" t="str">
        <f>RTD("tos.rtd", , "EXTRINSIC", "EWI")</f>
        <v>N/A</v>
      </c>
      <c r="T132" t="str">
        <f>RTD("tos.rtd", , "PROB_OF_EXPIRING", "EWI")</f>
        <v>N/A</v>
      </c>
      <c r="U132" t="str">
        <f>RTD("tos.rtd", , "PROB_OTM", "EWI")</f>
        <v>N/A</v>
      </c>
      <c r="V132" t="str">
        <f>RTD("tos.rtd", , "PROB_OF_TOUCHING", "EWI")</f>
        <v>N/A</v>
      </c>
      <c r="W132" t="str">
        <f>RTD("tos.rtd", , "STRIKE", "EWI")</f>
        <v>N/A</v>
      </c>
    </row>
    <row r="133" spans="1:23" x14ac:dyDescent="0.45">
      <c r="A133" t="s">
        <v>154</v>
      </c>
      <c r="B133" t="str">
        <f>RTD("tos.rtd", , "DESCRIPTION", ".EWI201120C27")</f>
        <v>N/A</v>
      </c>
      <c r="C133" t="str">
        <f>RTD("tos.rtd", , "PUT_CALL_RATIO", ".EWI201120C27")</f>
        <v>N/A</v>
      </c>
      <c r="D133" t="str">
        <f>RTD("tos.rtd", , "IMPL_VOL", ".EWI201120C27")</f>
        <v>N/A</v>
      </c>
      <c r="E133">
        <f>RTD("tos.rtd", , "LAST", ".EWI201120C27")</f>
        <v>0.18</v>
      </c>
      <c r="F133">
        <f>RTD("tos.rtd", , "VOLUME", ".EWI201120C27")</f>
        <v>0</v>
      </c>
      <c r="G133">
        <f>RTD("tos.rtd", , "OPEN_INT", ".EWI201120C27")</f>
        <v>400</v>
      </c>
      <c r="H133">
        <f>RTD("tos.rtd", , "BID", ".EWI201120C27")</f>
        <v>0.2</v>
      </c>
      <c r="I133">
        <f>RTD("tos.rtd", , "ASK", ".EWI201120C27")</f>
        <v>0.35</v>
      </c>
      <c r="J133">
        <f>RTD("tos.rtd", , "HIGH", ".EWI201120C27")</f>
        <v>0</v>
      </c>
      <c r="K133">
        <f>RTD("tos.rtd", , "LOW", ".EWI201120C27")</f>
        <v>0</v>
      </c>
      <c r="L133">
        <f>RTD("tos.rtd", , "OPEN", ".EWI201120C27")</f>
        <v>0</v>
      </c>
      <c r="M133" t="str">
        <f>RTD("tos.rtd", , "DELTA", ".EWI201120C27")</f>
        <v>N/A</v>
      </c>
      <c r="N133" t="str">
        <f>RTD("tos.rtd", , "GAMMA", ".EWI201120C27")</f>
        <v>N/A</v>
      </c>
      <c r="O133" t="str">
        <f>RTD("tos.rtd", , "THETA", ".EWI201120C27")</f>
        <v>N/A</v>
      </c>
      <c r="P133" t="str">
        <f>RTD("tos.rtd", , "VEGA", ".EWI201120C27")</f>
        <v>N/A</v>
      </c>
      <c r="Q133" t="str">
        <f>RTD("tos.rtd", , "RHO", ".EWI201120C27")</f>
        <v>N/A</v>
      </c>
      <c r="R133" t="str">
        <f>RTD("tos.rtd", , "INTRINSIC", ".EWI201120C27")</f>
        <v>N/A</v>
      </c>
      <c r="S133" t="str">
        <f>RTD("tos.rtd", , "EXTRINSIC", ".EWI201120C27")</f>
        <v>N/A</v>
      </c>
      <c r="T133" t="str">
        <f>RTD("tos.rtd", , "PROB_OF_EXPIRING", ".EWI201120C27")</f>
        <v>N/A</v>
      </c>
      <c r="U133" t="str">
        <f>RTD("tos.rtd", , "PROB_OTM", ".EWI201120C27")</f>
        <v>N/A</v>
      </c>
      <c r="V133" t="str">
        <f>RTD("tos.rtd", , "PROB_OF_TOUCHING", ".EWI201120C27")</f>
        <v>N/A</v>
      </c>
      <c r="W133" t="str">
        <f>RTD("tos.rtd", , "STRIKE", ".EWI201120C27")</f>
        <v>N/A</v>
      </c>
    </row>
    <row r="134" spans="1:23" x14ac:dyDescent="0.45">
      <c r="A134" t="s">
        <v>155</v>
      </c>
      <c r="B134" t="str">
        <f>RTD("tos.rtd", , "DESCRIPTION", ".EWI201120P27")</f>
        <v>N/A</v>
      </c>
      <c r="C134" t="str">
        <f>RTD("tos.rtd", , "PUT_CALL_RATIO", ".EWI201120P27")</f>
        <v>N/A</v>
      </c>
      <c r="D134" t="str">
        <f>RTD("tos.rtd", , "IMPL_VOL", ".EWI201120P27")</f>
        <v>N/A</v>
      </c>
      <c r="E134">
        <f>RTD("tos.rtd", , "LAST", ".EWI201120P27")</f>
        <v>2.09</v>
      </c>
      <c r="F134">
        <f>RTD("tos.rtd", , "VOLUME", ".EWI201120P27")</f>
        <v>0</v>
      </c>
      <c r="G134">
        <f>RTD("tos.rtd", , "OPEN_INT", ".EWI201120P27")</f>
        <v>1</v>
      </c>
      <c r="H134">
        <f>RTD("tos.rtd", , "BID", ".EWI201120P27")</f>
        <v>0.6</v>
      </c>
      <c r="I134">
        <f>RTD("tos.rtd", , "ASK", ".EWI201120P27")</f>
        <v>0.7</v>
      </c>
      <c r="J134">
        <f>RTD("tos.rtd", , "HIGH", ".EWI201120P27")</f>
        <v>0</v>
      </c>
      <c r="K134">
        <f>RTD("tos.rtd", , "LOW", ".EWI201120P27")</f>
        <v>0</v>
      </c>
      <c r="L134">
        <f>RTD("tos.rtd", , "OPEN", ".EWI201120P27")</f>
        <v>0</v>
      </c>
      <c r="M134" t="str">
        <f>RTD("tos.rtd", , "DELTA", ".EWI201120P27")</f>
        <v>N/A</v>
      </c>
      <c r="N134" t="str">
        <f>RTD("tos.rtd", , "GAMMA", ".EWI201120P27")</f>
        <v>N/A</v>
      </c>
      <c r="O134" t="str">
        <f>RTD("tos.rtd", , "THETA", ".EWI201120P27")</f>
        <v>N/A</v>
      </c>
      <c r="P134" t="str">
        <f>RTD("tos.rtd", , "VEGA", ".EWI201120P27")</f>
        <v>N/A</v>
      </c>
      <c r="Q134" t="str">
        <f>RTD("tos.rtd", , "RHO", ".EWI201120P27")</f>
        <v>N/A</v>
      </c>
      <c r="R134" t="str">
        <f>RTD("tos.rtd", , "INTRINSIC", ".EWI201120P27")</f>
        <v>N/A</v>
      </c>
      <c r="S134" t="str">
        <f>RTD("tos.rtd", , "EXTRINSIC", ".EWI201120P27")</f>
        <v>N/A</v>
      </c>
      <c r="T134" t="str">
        <f>RTD("tos.rtd", , "PROB_OF_EXPIRING", ".EWI201120P27")</f>
        <v>N/A</v>
      </c>
      <c r="U134" t="str">
        <f>RTD("tos.rtd", , "PROB_OTM", ".EWI201120P27")</f>
        <v>N/A</v>
      </c>
      <c r="V134" t="str">
        <f>RTD("tos.rtd", , "PROB_OF_TOUCHING", ".EWI201120P27")</f>
        <v>N/A</v>
      </c>
      <c r="W134" t="str">
        <f>RTD("tos.rtd", , "STRIKE", ".EWI201120P27")</f>
        <v>N/A</v>
      </c>
    </row>
    <row r="135" spans="1:23" x14ac:dyDescent="0.45">
      <c r="A135" t="s">
        <v>156</v>
      </c>
      <c r="B135" t="str">
        <f>RTD("tos.rtd", , "DESCRIPTION", "EWJ")</f>
        <v>ISHARES INC MSCI JPN ETF NEW</v>
      </c>
      <c r="C135">
        <f>RTD("tos.rtd", , "PUT_CALL_RATIO", "EWJ")</f>
        <v>0.128</v>
      </c>
      <c r="D135" t="str">
        <f>RTD("tos.rtd", , "IMPL_VOL", "EWJ")</f>
        <v>21.38%</v>
      </c>
      <c r="E135">
        <f>RTD("tos.rtd", , "LAST", "EWJ")</f>
        <v>62.49</v>
      </c>
      <c r="F135">
        <f>RTD("tos.rtd", , "VOLUME", "EWJ")</f>
        <v>9942669</v>
      </c>
      <c r="G135">
        <f>RTD("tos.rtd", , "OPEN_INT", "EWJ")</f>
        <v>0</v>
      </c>
      <c r="H135">
        <f>RTD("tos.rtd", , "BID", "EWJ")</f>
        <v>62.07</v>
      </c>
      <c r="I135">
        <f>RTD("tos.rtd", , "ASK", "EWJ")</f>
        <v>63.03</v>
      </c>
      <c r="J135">
        <f>RTD("tos.rtd", , "HIGH", "EWJ")</f>
        <v>62.965000000000003</v>
      </c>
      <c r="K135">
        <f>RTD("tos.rtd", , "LOW", "EWJ")</f>
        <v>62.4</v>
      </c>
      <c r="L135">
        <f>RTD("tos.rtd", , "OPEN", "EWJ")</f>
        <v>62.67</v>
      </c>
      <c r="M135">
        <f>RTD("tos.rtd", , "DELTA", "EWJ")</f>
        <v>1</v>
      </c>
      <c r="N135">
        <f>RTD("tos.rtd", , "GAMMA", "EWJ")</f>
        <v>0</v>
      </c>
      <c r="O135">
        <f>RTD("tos.rtd", , "THETA", "EWJ")</f>
        <v>0</v>
      </c>
      <c r="P135">
        <f>RTD("tos.rtd", , "VEGA", "EWJ")</f>
        <v>0</v>
      </c>
      <c r="Q135">
        <f>RTD("tos.rtd", , "RHO", "EWJ")</f>
        <v>0</v>
      </c>
      <c r="R135" t="str">
        <f>RTD("tos.rtd", , "INTRINSIC", "EWJ")</f>
        <v>N/A</v>
      </c>
      <c r="S135" t="str">
        <f>RTD("tos.rtd", , "EXTRINSIC", "EWJ")</f>
        <v>N/A</v>
      </c>
      <c r="T135" t="str">
        <f>RTD("tos.rtd", , "PROB_OF_EXPIRING", "EWJ")</f>
        <v>N/A</v>
      </c>
      <c r="U135" t="str">
        <f>RTD("tos.rtd", , "PROB_OTM", "EWJ")</f>
        <v>N/A</v>
      </c>
      <c r="V135" t="str">
        <f>RTD("tos.rtd", , "PROB_OF_TOUCHING", "EWJ")</f>
        <v>N/A</v>
      </c>
      <c r="W135" t="str">
        <f>RTD("tos.rtd", , "STRIKE", "EWJ")</f>
        <v>N/A</v>
      </c>
    </row>
    <row r="136" spans="1:23" x14ac:dyDescent="0.45">
      <c r="A136" t="s">
        <v>157</v>
      </c>
      <c r="B136" t="str">
        <f>RTD("tos.rtd", , "DESCRIPTION", ".EWJ201120C63")</f>
        <v>N/A</v>
      </c>
      <c r="C136" t="str">
        <f>RTD("tos.rtd", , "PUT_CALL_RATIO", ".EWJ201120C63")</f>
        <v>N/A</v>
      </c>
      <c r="D136" t="str">
        <f>RTD("tos.rtd", , "IMPL_VOL", ".EWJ201120C63")</f>
        <v>N/A</v>
      </c>
      <c r="E136">
        <f>RTD("tos.rtd", , "LAST", ".EWJ201120C63")</f>
        <v>0.48</v>
      </c>
      <c r="F136">
        <f>RTD("tos.rtd", , "VOLUME", ".EWJ201120C63")</f>
        <v>127</v>
      </c>
      <c r="G136">
        <f>RTD("tos.rtd", , "OPEN_INT", ".EWJ201120C63")</f>
        <v>1350</v>
      </c>
      <c r="H136">
        <f>RTD("tos.rtd", , "BID", ".EWJ201120C63")</f>
        <v>0.43</v>
      </c>
      <c r="I136">
        <f>RTD("tos.rtd", , "ASK", ".EWJ201120C63")</f>
        <v>0.47</v>
      </c>
      <c r="J136">
        <f>RTD("tos.rtd", , "HIGH", ".EWJ201120C63")</f>
        <v>0.62</v>
      </c>
      <c r="K136">
        <f>RTD("tos.rtd", , "LOW", ".EWJ201120C63")</f>
        <v>0.44</v>
      </c>
      <c r="L136">
        <f>RTD("tos.rtd", , "OPEN", ".EWJ201120C63")</f>
        <v>0.62</v>
      </c>
      <c r="M136" t="str">
        <f>RTD("tos.rtd", , "DELTA", ".EWJ201120C63")</f>
        <v>N/A</v>
      </c>
      <c r="N136" t="str">
        <f>RTD("tos.rtd", , "GAMMA", ".EWJ201120C63")</f>
        <v>N/A</v>
      </c>
      <c r="O136" t="str">
        <f>RTD("tos.rtd", , "THETA", ".EWJ201120C63")</f>
        <v>N/A</v>
      </c>
      <c r="P136" t="str">
        <f>RTD("tos.rtd", , "VEGA", ".EWJ201120C63")</f>
        <v>N/A</v>
      </c>
      <c r="Q136" t="str">
        <f>RTD("tos.rtd", , "RHO", ".EWJ201120C63")</f>
        <v>N/A</v>
      </c>
      <c r="R136" t="str">
        <f>RTD("tos.rtd", , "INTRINSIC", ".EWJ201120C63")</f>
        <v>N/A</v>
      </c>
      <c r="S136" t="str">
        <f>RTD("tos.rtd", , "EXTRINSIC", ".EWJ201120C63")</f>
        <v>N/A</v>
      </c>
      <c r="T136" t="str">
        <f>RTD("tos.rtd", , "PROB_OF_EXPIRING", ".EWJ201120C63")</f>
        <v>N/A</v>
      </c>
      <c r="U136" t="str">
        <f>RTD("tos.rtd", , "PROB_OTM", ".EWJ201120C63")</f>
        <v>N/A</v>
      </c>
      <c r="V136" t="str">
        <f>RTD("tos.rtd", , "PROB_OF_TOUCHING", ".EWJ201120C63")</f>
        <v>N/A</v>
      </c>
      <c r="W136" t="str">
        <f>RTD("tos.rtd", , "STRIKE", ".EWJ201120C63")</f>
        <v>N/A</v>
      </c>
    </row>
    <row r="137" spans="1:23" x14ac:dyDescent="0.45">
      <c r="A137" t="s">
        <v>158</v>
      </c>
      <c r="B137" t="str">
        <f>RTD("tos.rtd", , "DESCRIPTION", ".EWJ201120P63")</f>
        <v>N/A</v>
      </c>
      <c r="C137" t="str">
        <f>RTD("tos.rtd", , "PUT_CALL_RATIO", ".EWJ201120P63")</f>
        <v>N/A</v>
      </c>
      <c r="D137" t="str">
        <f>RTD("tos.rtd", , "IMPL_VOL", ".EWJ201120P63")</f>
        <v>N/A</v>
      </c>
      <c r="E137" t="str">
        <f>RTD("tos.rtd", , "LAST", ".EWJ201120P63")</f>
        <v>N/A</v>
      </c>
      <c r="F137" t="str">
        <f>RTD("tos.rtd", , "VOLUME", ".EWJ201120P63")</f>
        <v>N/A</v>
      </c>
      <c r="G137" t="str">
        <f>RTD("tos.rtd", , "OPEN_INT", ".EWJ201120P63")</f>
        <v>N/A</v>
      </c>
      <c r="H137" t="str">
        <f>RTD("tos.rtd", , "BID", ".EWJ201120P63")</f>
        <v>N/A</v>
      </c>
      <c r="I137" t="str">
        <f>RTD("tos.rtd", , "ASK", ".EWJ201120P63")</f>
        <v>N/A</v>
      </c>
      <c r="J137" t="str">
        <f>RTD("tos.rtd", , "HIGH", ".EWJ201120P63")</f>
        <v>N/A</v>
      </c>
      <c r="K137" t="str">
        <f>RTD("tos.rtd", , "LOW", ".EWJ201120P63")</f>
        <v>N/A</v>
      </c>
      <c r="L137" t="str">
        <f>RTD("tos.rtd", , "OPEN", ".EWJ201120P63")</f>
        <v>N/A</v>
      </c>
      <c r="M137" t="str">
        <f>RTD("tos.rtd", , "DELTA", ".EWJ201120P63")</f>
        <v>N/A</v>
      </c>
      <c r="N137" t="str">
        <f>RTD("tos.rtd", , "GAMMA", ".EWJ201120P63")</f>
        <v>N/A</v>
      </c>
      <c r="O137" t="str">
        <f>RTD("tos.rtd", , "THETA", ".EWJ201120P63")</f>
        <v>N/A</v>
      </c>
      <c r="P137" t="str">
        <f>RTD("tos.rtd", , "VEGA", ".EWJ201120P63")</f>
        <v>N/A</v>
      </c>
      <c r="Q137" t="str">
        <f>RTD("tos.rtd", , "RHO", ".EWJ201120P63")</f>
        <v>N/A</v>
      </c>
      <c r="R137" t="str">
        <f>RTD("tos.rtd", , "INTRINSIC", ".EWJ201120P63")</f>
        <v>N/A</v>
      </c>
      <c r="S137" t="str">
        <f>RTD("tos.rtd", , "EXTRINSIC", ".EWJ201120P63")</f>
        <v>N/A</v>
      </c>
      <c r="T137" t="str">
        <f>RTD("tos.rtd", , "PROB_OF_EXPIRING", ".EWJ201120P63")</f>
        <v>N/A</v>
      </c>
      <c r="U137" t="str">
        <f>RTD("tos.rtd", , "PROB_OTM", ".EWJ201120P63")</f>
        <v>N/A</v>
      </c>
      <c r="V137" t="str">
        <f>RTD("tos.rtd", , "PROB_OF_TOUCHING", ".EWJ201120P63")</f>
        <v>N/A</v>
      </c>
      <c r="W137" t="str">
        <f>RTD("tos.rtd", , "STRIKE", ".EWJ201120P63")</f>
        <v>N/A</v>
      </c>
    </row>
    <row r="138" spans="1:23" x14ac:dyDescent="0.45">
      <c r="A138" t="s">
        <v>159</v>
      </c>
      <c r="B138" t="str">
        <f>RTD("tos.rtd", , "DESCRIPTION", ".EWJ201120C63.5")</f>
        <v>N/A</v>
      </c>
      <c r="C138" t="str">
        <f>RTD("tos.rtd", , "PUT_CALL_RATIO", ".EWJ201120C63.5")</f>
        <v>N/A</v>
      </c>
      <c r="D138" t="str">
        <f>RTD("tos.rtd", , "IMPL_VOL", ".EWJ201120C63.5")</f>
        <v>N/A</v>
      </c>
      <c r="E138">
        <f>RTD("tos.rtd", , "LAST", ".EWJ201120C63.5")</f>
        <v>0.28000000000000003</v>
      </c>
      <c r="F138">
        <f>RTD("tos.rtd", , "VOLUME", ".EWJ201120C63.5")</f>
        <v>10</v>
      </c>
      <c r="G138">
        <f>RTD("tos.rtd", , "OPEN_INT", ".EWJ201120C63.5")</f>
        <v>15</v>
      </c>
      <c r="H138">
        <f>RTD("tos.rtd", , "BID", ".EWJ201120C63.5")</f>
        <v>0.27</v>
      </c>
      <c r="I138">
        <f>RTD("tos.rtd", , "ASK", ".EWJ201120C63.5")</f>
        <v>0.32</v>
      </c>
      <c r="J138">
        <f>RTD("tos.rtd", , "HIGH", ".EWJ201120C63.5")</f>
        <v>0.41</v>
      </c>
      <c r="K138">
        <f>RTD("tos.rtd", , "LOW", ".EWJ201120C63.5")</f>
        <v>0.28000000000000003</v>
      </c>
      <c r="L138">
        <f>RTD("tos.rtd", , "OPEN", ".EWJ201120C63.5")</f>
        <v>0.39</v>
      </c>
      <c r="M138" t="str">
        <f>RTD("tos.rtd", , "DELTA", ".EWJ201120C63.5")</f>
        <v>N/A</v>
      </c>
      <c r="N138" t="str">
        <f>RTD("tos.rtd", , "GAMMA", ".EWJ201120C63.5")</f>
        <v>N/A</v>
      </c>
      <c r="O138" t="str">
        <f>RTD("tos.rtd", , "THETA", ".EWJ201120C63.5")</f>
        <v>N/A</v>
      </c>
      <c r="P138" t="str">
        <f>RTD("tos.rtd", , "VEGA", ".EWJ201120C63.5")</f>
        <v>N/A</v>
      </c>
      <c r="Q138" t="str">
        <f>RTD("tos.rtd", , "RHO", ".EWJ201120C63.5")</f>
        <v>N/A</v>
      </c>
      <c r="R138" t="str">
        <f>RTD("tos.rtd", , "INTRINSIC", ".EWJ201120C63.5")</f>
        <v>N/A</v>
      </c>
      <c r="S138" t="str">
        <f>RTD("tos.rtd", , "EXTRINSIC", ".EWJ201120C63.5")</f>
        <v>N/A</v>
      </c>
      <c r="T138" t="str">
        <f>RTD("tos.rtd", , "PROB_OF_EXPIRING", ".EWJ201120C63.5")</f>
        <v>N/A</v>
      </c>
      <c r="U138" t="str">
        <f>RTD("tos.rtd", , "PROB_OTM", ".EWJ201120C63.5")</f>
        <v>N/A</v>
      </c>
      <c r="V138" t="str">
        <f>RTD("tos.rtd", , "PROB_OF_TOUCHING", ".EWJ201120C63.5")</f>
        <v>N/A</v>
      </c>
      <c r="W138" t="str">
        <f>RTD("tos.rtd", , "STRIKE", ".EWJ201120C63.5")</f>
        <v>N/A</v>
      </c>
    </row>
    <row r="139" spans="1:23" x14ac:dyDescent="0.45">
      <c r="A139" t="s">
        <v>160</v>
      </c>
      <c r="B139" t="str">
        <f>RTD("tos.rtd", , "DESCRIPTION", ".EWJ201120P63.5")</f>
        <v>N/A</v>
      </c>
      <c r="C139" t="str">
        <f>RTD("tos.rtd", , "PUT_CALL_RATIO", ".EWJ201120P63.5")</f>
        <v>N/A</v>
      </c>
      <c r="D139" t="str">
        <f>RTD("tos.rtd", , "IMPL_VOL", ".EWJ201120P63.5")</f>
        <v>N/A</v>
      </c>
      <c r="E139" t="str">
        <f>RTD("tos.rtd", , "LAST", ".EWJ201120P63.5")</f>
        <v>N/A</v>
      </c>
      <c r="F139" t="str">
        <f>RTD("tos.rtd", , "VOLUME", ".EWJ201120P63.5")</f>
        <v>N/A</v>
      </c>
      <c r="G139" t="str">
        <f>RTD("tos.rtd", , "OPEN_INT", ".EWJ201120P63.5")</f>
        <v>N/A</v>
      </c>
      <c r="H139" t="str">
        <f>RTD("tos.rtd", , "BID", ".EWJ201120P63.5")</f>
        <v>N/A</v>
      </c>
      <c r="I139" t="str">
        <f>RTD("tos.rtd", , "ASK", ".EWJ201120P63.5")</f>
        <v>N/A</v>
      </c>
      <c r="J139" t="str">
        <f>RTD("tos.rtd", , "HIGH", ".EWJ201120P63.5")</f>
        <v>N/A</v>
      </c>
      <c r="K139" t="str">
        <f>RTD("tos.rtd", , "LOW", ".EWJ201120P63.5")</f>
        <v>N/A</v>
      </c>
      <c r="L139" t="str">
        <f>RTD("tos.rtd", , "OPEN", ".EWJ201120P63.5")</f>
        <v>N/A</v>
      </c>
      <c r="M139" t="str">
        <f>RTD("tos.rtd", , "DELTA", ".EWJ201120P63.5")</f>
        <v>N/A</v>
      </c>
      <c r="N139" t="str">
        <f>RTD("tos.rtd", , "GAMMA", ".EWJ201120P63.5")</f>
        <v>N/A</v>
      </c>
      <c r="O139" t="str">
        <f>RTD("tos.rtd", , "THETA", ".EWJ201120P63.5")</f>
        <v>N/A</v>
      </c>
      <c r="P139" t="str">
        <f>RTD("tos.rtd", , "VEGA", ".EWJ201120P63.5")</f>
        <v>N/A</v>
      </c>
      <c r="Q139" t="str">
        <f>RTD("tos.rtd", , "RHO", ".EWJ201120P63.5")</f>
        <v>N/A</v>
      </c>
      <c r="R139" t="str">
        <f>RTD("tos.rtd", , "INTRINSIC", ".EWJ201120P63.5")</f>
        <v>N/A</v>
      </c>
      <c r="S139" t="str">
        <f>RTD("tos.rtd", , "EXTRINSIC", ".EWJ201120P63.5")</f>
        <v>N/A</v>
      </c>
      <c r="T139" t="str">
        <f>RTD("tos.rtd", , "PROB_OF_EXPIRING", ".EWJ201120P63.5")</f>
        <v>N/A</v>
      </c>
      <c r="U139" t="str">
        <f>RTD("tos.rtd", , "PROB_OTM", ".EWJ201120P63.5")</f>
        <v>N/A</v>
      </c>
      <c r="V139" t="str">
        <f>RTD("tos.rtd", , "PROB_OF_TOUCHING", ".EWJ201120P63.5")</f>
        <v>N/A</v>
      </c>
      <c r="W139" t="str">
        <f>RTD("tos.rtd", , "STRIKE", ".EWJ201120P63.5")</f>
        <v>N/A</v>
      </c>
    </row>
    <row r="140" spans="1:23" x14ac:dyDescent="0.45">
      <c r="A140" t="s">
        <v>161</v>
      </c>
      <c r="B140" t="str">
        <f>RTD("tos.rtd", , "DESCRIPTION", ".EWJ201120C64")</f>
        <v>N/A</v>
      </c>
      <c r="C140" t="str">
        <f>RTD("tos.rtd", , "PUT_CALL_RATIO", ".EWJ201120C64")</f>
        <v>N/A</v>
      </c>
      <c r="D140" t="str">
        <f>RTD("tos.rtd", , "IMPL_VOL", ".EWJ201120C64")</f>
        <v>N/A</v>
      </c>
      <c r="E140">
        <f>RTD("tos.rtd", , "LAST", ".EWJ201120C64")</f>
        <v>0.19</v>
      </c>
      <c r="F140">
        <f>RTD("tos.rtd", , "VOLUME", ".EWJ201120C64")</f>
        <v>23</v>
      </c>
      <c r="G140">
        <f>RTD("tos.rtd", , "OPEN_INT", ".EWJ201120C64")</f>
        <v>462</v>
      </c>
      <c r="H140">
        <f>RTD("tos.rtd", , "BID", ".EWJ201120C64")</f>
        <v>0.17</v>
      </c>
      <c r="I140">
        <f>RTD("tos.rtd", , "ASK", ".EWJ201120C64")</f>
        <v>0.2</v>
      </c>
      <c r="J140">
        <f>RTD("tos.rtd", , "HIGH", ".EWJ201120C64")</f>
        <v>0.27</v>
      </c>
      <c r="K140">
        <f>RTD("tos.rtd", , "LOW", ".EWJ201120C64")</f>
        <v>0.18</v>
      </c>
      <c r="L140">
        <f>RTD("tos.rtd", , "OPEN", ".EWJ201120C64")</f>
        <v>0.23</v>
      </c>
      <c r="M140" t="str">
        <f>RTD("tos.rtd", , "DELTA", ".EWJ201120C64")</f>
        <v>N/A</v>
      </c>
      <c r="N140" t="str">
        <f>RTD("tos.rtd", , "GAMMA", ".EWJ201120C64")</f>
        <v>N/A</v>
      </c>
      <c r="O140" t="str">
        <f>RTD("tos.rtd", , "THETA", ".EWJ201120C64")</f>
        <v>N/A</v>
      </c>
      <c r="P140" t="str">
        <f>RTD("tos.rtd", , "VEGA", ".EWJ201120C64")</f>
        <v>N/A</v>
      </c>
      <c r="Q140" t="str">
        <f>RTD("tos.rtd", , "RHO", ".EWJ201120C64")</f>
        <v>N/A</v>
      </c>
      <c r="R140" t="str">
        <f>RTD("tos.rtd", , "INTRINSIC", ".EWJ201120C64")</f>
        <v>N/A</v>
      </c>
      <c r="S140" t="str">
        <f>RTD("tos.rtd", , "EXTRINSIC", ".EWJ201120C64")</f>
        <v>N/A</v>
      </c>
      <c r="T140" t="str">
        <f>RTD("tos.rtd", , "PROB_OF_EXPIRING", ".EWJ201120C64")</f>
        <v>N/A</v>
      </c>
      <c r="U140" t="str">
        <f>RTD("tos.rtd", , "PROB_OTM", ".EWJ201120C64")</f>
        <v>N/A</v>
      </c>
      <c r="V140" t="str">
        <f>RTD("tos.rtd", , "PROB_OF_TOUCHING", ".EWJ201120C64")</f>
        <v>N/A</v>
      </c>
      <c r="W140" t="str">
        <f>RTD("tos.rtd", , "STRIKE", ".EWJ201120C64")</f>
        <v>N/A</v>
      </c>
    </row>
    <row r="141" spans="1:23" x14ac:dyDescent="0.45">
      <c r="A141" t="s">
        <v>162</v>
      </c>
      <c r="B141" t="str">
        <f>RTD("tos.rtd", , "DESCRIPTION", ".EWJ201120P64")</f>
        <v>N/A</v>
      </c>
      <c r="C141" t="str">
        <f>RTD("tos.rtd", , "PUT_CALL_RATIO", ".EWJ201120P64")</f>
        <v>N/A</v>
      </c>
      <c r="D141" t="str">
        <f>RTD("tos.rtd", , "IMPL_VOL", ".EWJ201120P64")</f>
        <v>N/A</v>
      </c>
      <c r="E141" t="str">
        <f>RTD("tos.rtd", , "LAST", ".EWJ201120P64")</f>
        <v>N/A</v>
      </c>
      <c r="F141" t="str">
        <f>RTD("tos.rtd", , "VOLUME", ".EWJ201120P64")</f>
        <v>N/A</v>
      </c>
      <c r="G141" t="str">
        <f>RTD("tos.rtd", , "OPEN_INT", ".EWJ201120P64")</f>
        <v>N/A</v>
      </c>
      <c r="H141" t="str">
        <f>RTD("tos.rtd", , "BID", ".EWJ201120P64")</f>
        <v>N/A</v>
      </c>
      <c r="I141" t="str">
        <f>RTD("tos.rtd", , "ASK", ".EWJ201120P64")</f>
        <v>N/A</v>
      </c>
      <c r="J141" t="str">
        <f>RTD("tos.rtd", , "HIGH", ".EWJ201120P64")</f>
        <v>N/A</v>
      </c>
      <c r="K141" t="str">
        <f>RTD("tos.rtd", , "LOW", ".EWJ201120P64")</f>
        <v>N/A</v>
      </c>
      <c r="L141" t="str">
        <f>RTD("tos.rtd", , "OPEN", ".EWJ201120P64")</f>
        <v>N/A</v>
      </c>
      <c r="M141" t="str">
        <f>RTD("tos.rtd", , "DELTA", ".EWJ201120P64")</f>
        <v>N/A</v>
      </c>
      <c r="N141" t="str">
        <f>RTD("tos.rtd", , "GAMMA", ".EWJ201120P64")</f>
        <v>N/A</v>
      </c>
      <c r="O141" t="str">
        <f>RTD("tos.rtd", , "THETA", ".EWJ201120P64")</f>
        <v>N/A</v>
      </c>
      <c r="P141" t="str">
        <f>RTD("tos.rtd", , "VEGA", ".EWJ201120P64")</f>
        <v>N/A</v>
      </c>
      <c r="Q141" t="str">
        <f>RTD("tos.rtd", , "RHO", ".EWJ201120P64")</f>
        <v>N/A</v>
      </c>
      <c r="R141" t="str">
        <f>RTD("tos.rtd", , "INTRINSIC", ".EWJ201120P64")</f>
        <v>N/A</v>
      </c>
      <c r="S141" t="str">
        <f>RTD("tos.rtd", , "EXTRINSIC", ".EWJ201120P64")</f>
        <v>N/A</v>
      </c>
      <c r="T141" t="str">
        <f>RTD("tos.rtd", , "PROB_OF_EXPIRING", ".EWJ201120P64")</f>
        <v>N/A</v>
      </c>
      <c r="U141" t="str">
        <f>RTD("tos.rtd", , "PROB_OTM", ".EWJ201120P64")</f>
        <v>N/A</v>
      </c>
      <c r="V141" t="str">
        <f>RTD("tos.rtd", , "PROB_OF_TOUCHING", ".EWJ201120P64")</f>
        <v>N/A</v>
      </c>
      <c r="W141" t="str">
        <f>RTD("tos.rtd", , "STRIKE", ".EWJ201120P64")</f>
        <v>N/A</v>
      </c>
    </row>
    <row r="142" spans="1:23" x14ac:dyDescent="0.45">
      <c r="A142" t="s">
        <v>163</v>
      </c>
      <c r="B142" t="str">
        <f>RTD("tos.rtd", , "DESCRIPTION", "EWL")</f>
        <v>N/A</v>
      </c>
      <c r="C142">
        <f>RTD("tos.rtd", , "PUT_CALL_RATIO", "EWL")</f>
        <v>2.5</v>
      </c>
      <c r="D142" t="str">
        <f>RTD("tos.rtd", , "IMPL_VOL", "EWL")</f>
        <v>21.42%</v>
      </c>
      <c r="E142">
        <f>RTD("tos.rtd", , "LAST", "EWL")</f>
        <v>42.31</v>
      </c>
      <c r="F142">
        <f>RTD("tos.rtd", , "VOLUME", "EWL")</f>
        <v>1299986</v>
      </c>
      <c r="G142">
        <f>RTD("tos.rtd", , "OPEN_INT", "EWL")</f>
        <v>0</v>
      </c>
      <c r="H142">
        <f>RTD("tos.rtd", , "BID", "EWL")</f>
        <v>39.5</v>
      </c>
      <c r="I142">
        <f>RTD("tos.rtd", , "ASK", "EWL")</f>
        <v>51.89</v>
      </c>
      <c r="J142">
        <f>RTD("tos.rtd", , "HIGH", "EWL")</f>
        <v>42.72</v>
      </c>
      <c r="K142">
        <f>RTD("tos.rtd", , "LOW", "EWL")</f>
        <v>42.28</v>
      </c>
      <c r="L142">
        <f>RTD("tos.rtd", , "OPEN", "EWL")</f>
        <v>42.65</v>
      </c>
      <c r="M142">
        <f>RTD("tos.rtd", , "DELTA", "EWL")</f>
        <v>1</v>
      </c>
      <c r="N142">
        <f>RTD("tos.rtd", , "GAMMA", "EWL")</f>
        <v>0</v>
      </c>
      <c r="O142">
        <f>RTD("tos.rtd", , "THETA", "EWL")</f>
        <v>0</v>
      </c>
      <c r="P142">
        <f>RTD("tos.rtd", , "VEGA", "EWL")</f>
        <v>0</v>
      </c>
      <c r="Q142">
        <f>RTD("tos.rtd", , "RHO", "EWL")</f>
        <v>0</v>
      </c>
      <c r="R142" t="str">
        <f>RTD("tos.rtd", , "INTRINSIC", "EWL")</f>
        <v>N/A</v>
      </c>
      <c r="S142" t="str">
        <f>RTD("tos.rtd", , "EXTRINSIC", "EWL")</f>
        <v>N/A</v>
      </c>
      <c r="T142" t="str">
        <f>RTD("tos.rtd", , "PROB_OF_EXPIRING", "EWL")</f>
        <v>N/A</v>
      </c>
      <c r="U142" t="str">
        <f>RTD("tos.rtd", , "PROB_OTM", "EWL")</f>
        <v>N/A</v>
      </c>
      <c r="V142" t="str">
        <f>RTD("tos.rtd", , "PROB_OF_TOUCHING", "EWL")</f>
        <v>N/A</v>
      </c>
      <c r="W142" t="str">
        <f>RTD("tos.rtd", , "STRIKE", "EWL")</f>
        <v>N/A</v>
      </c>
    </row>
    <row r="143" spans="1:23" x14ac:dyDescent="0.45">
      <c r="A143" t="s">
        <v>164</v>
      </c>
      <c r="B143" t="str">
        <f>RTD("tos.rtd", , "DESCRIPTION", ".EWL201120C43")</f>
        <v>N/A</v>
      </c>
      <c r="C143" t="str">
        <f>RTD("tos.rtd", , "PUT_CALL_RATIO", ".EWL201120C43")</f>
        <v>N/A</v>
      </c>
      <c r="D143" t="str">
        <f>RTD("tos.rtd", , "IMPL_VOL", ".EWL201120C43")</f>
        <v>N/A</v>
      </c>
      <c r="E143" t="str">
        <f>RTD("tos.rtd", , "LAST", ".EWL201120C43")</f>
        <v>N/A</v>
      </c>
      <c r="F143" t="str">
        <f>RTD("tos.rtd", , "VOLUME", ".EWL201120C43")</f>
        <v>N/A</v>
      </c>
      <c r="G143" t="str">
        <f>RTD("tos.rtd", , "OPEN_INT", ".EWL201120C43")</f>
        <v>N/A</v>
      </c>
      <c r="H143" t="str">
        <f>RTD("tos.rtd", , "BID", ".EWL201120C43")</f>
        <v>N/A</v>
      </c>
      <c r="I143" t="str">
        <f>RTD("tos.rtd", , "ASK", ".EWL201120C43")</f>
        <v>N/A</v>
      </c>
      <c r="J143" t="str">
        <f>RTD("tos.rtd", , "HIGH", ".EWL201120C43")</f>
        <v>N/A</v>
      </c>
      <c r="K143" t="str">
        <f>RTD("tos.rtd", , "LOW", ".EWL201120C43")</f>
        <v>N/A</v>
      </c>
      <c r="L143" t="str">
        <f>RTD("tos.rtd", , "OPEN", ".EWL201120C43")</f>
        <v>N/A</v>
      </c>
      <c r="M143" t="str">
        <f>RTD("tos.rtd", , "DELTA", ".EWL201120C43")</f>
        <v>N/A</v>
      </c>
      <c r="N143" t="str">
        <f>RTD("tos.rtd", , "GAMMA", ".EWL201120C43")</f>
        <v>N/A</v>
      </c>
      <c r="O143" t="str">
        <f>RTD("tos.rtd", , "THETA", ".EWL201120C43")</f>
        <v>N/A</v>
      </c>
      <c r="P143" t="str">
        <f>RTD("tos.rtd", , "VEGA", ".EWL201120C43")</f>
        <v>N/A</v>
      </c>
      <c r="Q143" t="str">
        <f>RTD("tos.rtd", , "RHO", ".EWL201120C43")</f>
        <v>N/A</v>
      </c>
      <c r="R143" t="str">
        <f>RTD("tos.rtd", , "INTRINSIC", ".EWL201120C43")</f>
        <v>N/A</v>
      </c>
      <c r="S143" t="str">
        <f>RTD("tos.rtd", , "EXTRINSIC", ".EWL201120C43")</f>
        <v>N/A</v>
      </c>
      <c r="T143" t="str">
        <f>RTD("tos.rtd", , "PROB_OF_EXPIRING", ".EWL201120C43")</f>
        <v>N/A</v>
      </c>
      <c r="U143" t="str">
        <f>RTD("tos.rtd", , "PROB_OTM", ".EWL201120C43")</f>
        <v>N/A</v>
      </c>
      <c r="V143" t="str">
        <f>RTD("tos.rtd", , "PROB_OF_TOUCHING", ".EWL201120C43")</f>
        <v>N/A</v>
      </c>
      <c r="W143" t="str">
        <f>RTD("tos.rtd", , "STRIKE", ".EWL201120C43")</f>
        <v>N/A</v>
      </c>
    </row>
    <row r="144" spans="1:23" x14ac:dyDescent="0.45">
      <c r="A144" t="s">
        <v>165</v>
      </c>
      <c r="B144" t="str">
        <f>RTD("tos.rtd", , "DESCRIPTION", ".EWL201120P43")</f>
        <v>N/A</v>
      </c>
      <c r="C144" t="str">
        <f>RTD("tos.rtd", , "PUT_CALL_RATIO", ".EWL201120P43")</f>
        <v>N/A</v>
      </c>
      <c r="D144" t="str">
        <f>RTD("tos.rtd", , "IMPL_VOL", ".EWL201120P43")</f>
        <v>N/A</v>
      </c>
      <c r="E144" t="str">
        <f>RTD("tos.rtd", , "LAST", ".EWL201120P43")</f>
        <v>N/A</v>
      </c>
      <c r="F144" t="str">
        <f>RTD("tos.rtd", , "VOLUME", ".EWL201120P43")</f>
        <v>N/A</v>
      </c>
      <c r="G144" t="str">
        <f>RTD("tos.rtd", , "OPEN_INT", ".EWL201120P43")</f>
        <v>N/A</v>
      </c>
      <c r="H144" t="str">
        <f>RTD("tos.rtd", , "BID", ".EWL201120P43")</f>
        <v>N/A</v>
      </c>
      <c r="I144" t="str">
        <f>RTD("tos.rtd", , "ASK", ".EWL201120P43")</f>
        <v>N/A</v>
      </c>
      <c r="J144" t="str">
        <f>RTD("tos.rtd", , "HIGH", ".EWL201120P43")</f>
        <v>N/A</v>
      </c>
      <c r="K144" t="str">
        <f>RTD("tos.rtd", , "LOW", ".EWL201120P43")</f>
        <v>N/A</v>
      </c>
      <c r="L144" t="str">
        <f>RTD("tos.rtd", , "OPEN", ".EWL201120P43")</f>
        <v>N/A</v>
      </c>
      <c r="M144" t="str">
        <f>RTD("tos.rtd", , "DELTA", ".EWL201120P43")</f>
        <v>N/A</v>
      </c>
      <c r="N144" t="str">
        <f>RTD("tos.rtd", , "GAMMA", ".EWL201120P43")</f>
        <v>N/A</v>
      </c>
      <c r="O144" t="str">
        <f>RTD("tos.rtd", , "THETA", ".EWL201120P43")</f>
        <v>N/A</v>
      </c>
      <c r="P144" t="str">
        <f>RTD("tos.rtd", , "VEGA", ".EWL201120P43")</f>
        <v>N/A</v>
      </c>
      <c r="Q144" t="str">
        <f>RTD("tos.rtd", , "RHO", ".EWL201120P43")</f>
        <v>N/A</v>
      </c>
      <c r="R144" t="str">
        <f>RTD("tos.rtd", , "INTRINSIC", ".EWL201120P43")</f>
        <v>N/A</v>
      </c>
      <c r="S144" t="str">
        <f>RTD("tos.rtd", , "EXTRINSIC", ".EWL201120P43")</f>
        <v>N/A</v>
      </c>
      <c r="T144" t="str">
        <f>RTD("tos.rtd", , "PROB_OF_EXPIRING", ".EWL201120P43")</f>
        <v>N/A</v>
      </c>
      <c r="U144" t="str">
        <f>RTD("tos.rtd", , "PROB_OTM", ".EWL201120P43")</f>
        <v>N/A</v>
      </c>
      <c r="V144" t="str">
        <f>RTD("tos.rtd", , "PROB_OF_TOUCHING", ".EWL201120P43")</f>
        <v>N/A</v>
      </c>
      <c r="W144" t="str">
        <f>RTD("tos.rtd", , "STRIKE", ".EWL201120P43")</f>
        <v>N/A</v>
      </c>
    </row>
    <row r="145" spans="1:23" x14ac:dyDescent="0.45">
      <c r="A145" t="s">
        <v>166</v>
      </c>
      <c r="B145" t="str">
        <f>RTD("tos.rtd", , "DESCRIPTION", "EWP")</f>
        <v>N/A</v>
      </c>
      <c r="C145">
        <f>RTD("tos.rtd", , "PUT_CALL_RATIO", "EWP")</f>
        <v>30.4</v>
      </c>
      <c r="D145" t="str">
        <f>RTD("tos.rtd", , "IMPL_VOL", "EWP")</f>
        <v>30.12%</v>
      </c>
      <c r="E145">
        <f>RTD("tos.rtd", , "LAST", "EWP")</f>
        <v>25.26</v>
      </c>
      <c r="F145">
        <f>RTD("tos.rtd", , "VOLUME", "EWP")</f>
        <v>1545374</v>
      </c>
      <c r="G145">
        <f>RTD("tos.rtd", , "OPEN_INT", "EWP")</f>
        <v>0</v>
      </c>
      <c r="H145">
        <f>RTD("tos.rtd", , "BID", "EWP")</f>
        <v>24.83</v>
      </c>
      <c r="I145">
        <f>RTD("tos.rtd", , "ASK", "EWP")</f>
        <v>28.27</v>
      </c>
      <c r="J145">
        <f>RTD("tos.rtd", , "HIGH", "EWP")</f>
        <v>25.55</v>
      </c>
      <c r="K145">
        <f>RTD("tos.rtd", , "LOW", "EWP")</f>
        <v>25.19</v>
      </c>
      <c r="L145">
        <f>RTD("tos.rtd", , "OPEN", "EWP")</f>
        <v>25.49</v>
      </c>
      <c r="M145">
        <f>RTD("tos.rtd", , "DELTA", "EWP")</f>
        <v>1</v>
      </c>
      <c r="N145">
        <f>RTD("tos.rtd", , "GAMMA", "EWP")</f>
        <v>0</v>
      </c>
      <c r="O145">
        <f>RTD("tos.rtd", , "THETA", "EWP")</f>
        <v>0</v>
      </c>
      <c r="P145">
        <f>RTD("tos.rtd", , "VEGA", "EWP")</f>
        <v>0</v>
      </c>
      <c r="Q145">
        <f>RTD("tos.rtd", , "RHO", "EWP")</f>
        <v>0</v>
      </c>
      <c r="R145" t="str">
        <f>RTD("tos.rtd", , "INTRINSIC", "EWP")</f>
        <v>N/A</v>
      </c>
      <c r="S145" t="str">
        <f>RTD("tos.rtd", , "EXTRINSIC", "EWP")</f>
        <v>N/A</v>
      </c>
      <c r="T145" t="str">
        <f>RTD("tos.rtd", , "PROB_OF_EXPIRING", "EWP")</f>
        <v>N/A</v>
      </c>
      <c r="U145" t="str">
        <f>RTD("tos.rtd", , "PROB_OTM", "EWP")</f>
        <v>N/A</v>
      </c>
      <c r="V145" t="str">
        <f>RTD("tos.rtd", , "PROB_OF_TOUCHING", "EWP")</f>
        <v>N/A</v>
      </c>
      <c r="W145" t="str">
        <f>RTD("tos.rtd", , "STRIKE", "EWP")</f>
        <v>N/A</v>
      </c>
    </row>
    <row r="146" spans="1:23" x14ac:dyDescent="0.45">
      <c r="A146" t="s">
        <v>167</v>
      </c>
      <c r="B146" t="str">
        <f>RTD("tos.rtd", , "DESCRIPTION", ".EWP201120C26")</f>
        <v>N/A</v>
      </c>
      <c r="C146" t="str">
        <f>RTD("tos.rtd", , "PUT_CALL_RATIO", ".EWP201120C26")</f>
        <v>N/A</v>
      </c>
      <c r="D146" t="str">
        <f>RTD("tos.rtd", , "IMPL_VOL", ".EWP201120C26")</f>
        <v>N/A</v>
      </c>
      <c r="E146" t="str">
        <f>RTD("tos.rtd", , "LAST", ".EWP201120C26")</f>
        <v>N/A</v>
      </c>
      <c r="F146" t="str">
        <f>RTD("tos.rtd", , "VOLUME", ".EWP201120C26")</f>
        <v>N/A</v>
      </c>
      <c r="G146" t="str">
        <f>RTD("tos.rtd", , "OPEN_INT", ".EWP201120C26")</f>
        <v>N/A</v>
      </c>
      <c r="H146" t="str">
        <f>RTD("tos.rtd", , "BID", ".EWP201120C26")</f>
        <v>N/A</v>
      </c>
      <c r="I146" t="str">
        <f>RTD("tos.rtd", , "ASK", ".EWP201120C26")</f>
        <v>N/A</v>
      </c>
      <c r="J146" t="str">
        <f>RTD("tos.rtd", , "HIGH", ".EWP201120C26")</f>
        <v>N/A</v>
      </c>
      <c r="K146" t="str">
        <f>RTD("tos.rtd", , "LOW", ".EWP201120C26")</f>
        <v>N/A</v>
      </c>
      <c r="L146" t="str">
        <f>RTD("tos.rtd", , "OPEN", ".EWP201120C26")</f>
        <v>N/A</v>
      </c>
      <c r="M146" t="str">
        <f>RTD("tos.rtd", , "DELTA", ".EWP201120C26")</f>
        <v>N/A</v>
      </c>
      <c r="N146" t="str">
        <f>RTD("tos.rtd", , "GAMMA", ".EWP201120C26")</f>
        <v>N/A</v>
      </c>
      <c r="O146" t="str">
        <f>RTD("tos.rtd", , "THETA", ".EWP201120C26")</f>
        <v>N/A</v>
      </c>
      <c r="P146" t="str">
        <f>RTD("tos.rtd", , "VEGA", ".EWP201120C26")</f>
        <v>N/A</v>
      </c>
      <c r="Q146" t="str">
        <f>RTD("tos.rtd", , "RHO", ".EWP201120C26")</f>
        <v>N/A</v>
      </c>
      <c r="R146" t="str">
        <f>RTD("tos.rtd", , "INTRINSIC", ".EWP201120C26")</f>
        <v>N/A</v>
      </c>
      <c r="S146" t="str">
        <f>RTD("tos.rtd", , "EXTRINSIC", ".EWP201120C26")</f>
        <v>N/A</v>
      </c>
      <c r="T146" t="str">
        <f>RTD("tos.rtd", , "PROB_OF_EXPIRING", ".EWP201120C26")</f>
        <v>N/A</v>
      </c>
      <c r="U146" t="str">
        <f>RTD("tos.rtd", , "PROB_OTM", ".EWP201120C26")</f>
        <v>N/A</v>
      </c>
      <c r="V146" t="str">
        <f>RTD("tos.rtd", , "PROB_OF_TOUCHING", ".EWP201120C26")</f>
        <v>N/A</v>
      </c>
      <c r="W146" t="str">
        <f>RTD("tos.rtd", , "STRIKE", ".EWP201120C26")</f>
        <v>N/A</v>
      </c>
    </row>
    <row r="147" spans="1:23" x14ac:dyDescent="0.45">
      <c r="A147" t="s">
        <v>168</v>
      </c>
      <c r="B147" t="str">
        <f>RTD("tos.rtd", , "DESCRIPTION", ".EWP201120P26")</f>
        <v>N/A</v>
      </c>
      <c r="C147" t="str">
        <f>RTD("tos.rtd", , "PUT_CALL_RATIO", ".EWP201120P26")</f>
        <v>N/A</v>
      </c>
      <c r="D147" t="str">
        <f>RTD("tos.rtd", , "IMPL_VOL", ".EWP201120P26")</f>
        <v>N/A</v>
      </c>
      <c r="E147" t="str">
        <f>RTD("tos.rtd", , "LAST", ".EWP201120P26")</f>
        <v>N/A</v>
      </c>
      <c r="F147" t="str">
        <f>RTD("tos.rtd", , "VOLUME", ".EWP201120P26")</f>
        <v>N/A</v>
      </c>
      <c r="G147" t="str">
        <f>RTD("tos.rtd", , "OPEN_INT", ".EWP201120P26")</f>
        <v>N/A</v>
      </c>
      <c r="H147" t="str">
        <f>RTD("tos.rtd", , "BID", ".EWP201120P26")</f>
        <v>N/A</v>
      </c>
      <c r="I147" t="str">
        <f>RTD("tos.rtd", , "ASK", ".EWP201120P26")</f>
        <v>N/A</v>
      </c>
      <c r="J147" t="str">
        <f>RTD("tos.rtd", , "HIGH", ".EWP201120P26")</f>
        <v>N/A</v>
      </c>
      <c r="K147" t="str">
        <f>RTD("tos.rtd", , "LOW", ".EWP201120P26")</f>
        <v>N/A</v>
      </c>
      <c r="L147" t="str">
        <f>RTD("tos.rtd", , "OPEN", ".EWP201120P26")</f>
        <v>N/A</v>
      </c>
      <c r="M147" t="str">
        <f>RTD("tos.rtd", , "DELTA", ".EWP201120P26")</f>
        <v>N/A</v>
      </c>
      <c r="N147" t="str">
        <f>RTD("tos.rtd", , "GAMMA", ".EWP201120P26")</f>
        <v>N/A</v>
      </c>
      <c r="O147" t="str">
        <f>RTD("tos.rtd", , "THETA", ".EWP201120P26")</f>
        <v>N/A</v>
      </c>
      <c r="P147" t="str">
        <f>RTD("tos.rtd", , "VEGA", ".EWP201120P26")</f>
        <v>N/A</v>
      </c>
      <c r="Q147" t="str">
        <f>RTD("tos.rtd", , "RHO", ".EWP201120P26")</f>
        <v>N/A</v>
      </c>
      <c r="R147" t="str">
        <f>RTD("tos.rtd", , "INTRINSIC", ".EWP201120P26")</f>
        <v>N/A</v>
      </c>
      <c r="S147" t="str">
        <f>RTD("tos.rtd", , "EXTRINSIC", ".EWP201120P26")</f>
        <v>N/A</v>
      </c>
      <c r="T147" t="str">
        <f>RTD("tos.rtd", , "PROB_OF_EXPIRING", ".EWP201120P26")</f>
        <v>N/A</v>
      </c>
      <c r="U147" t="str">
        <f>RTD("tos.rtd", , "PROB_OTM", ".EWP201120P26")</f>
        <v>N/A</v>
      </c>
      <c r="V147" t="str">
        <f>RTD("tos.rtd", , "PROB_OF_TOUCHING", ".EWP201120P26")</f>
        <v>N/A</v>
      </c>
      <c r="W147" t="str">
        <f>RTD("tos.rtd", , "STRIKE", ".EWP201120P26")</f>
        <v>N/A</v>
      </c>
    </row>
    <row r="148" spans="1:23" x14ac:dyDescent="0.45">
      <c r="A148" t="s">
        <v>169</v>
      </c>
      <c r="B148" t="str">
        <f>RTD("tos.rtd", , "DESCRIPTION", "EWT")</f>
        <v>N/A</v>
      </c>
      <c r="C148">
        <f>RTD("tos.rtd", , "PUT_CALL_RATIO", "EWT")</f>
        <v>0.6</v>
      </c>
      <c r="D148" t="str">
        <f>RTD("tos.rtd", , "IMPL_VOL", "EWT")</f>
        <v>21.99%</v>
      </c>
      <c r="E148">
        <f>RTD("tos.rtd", , "LAST", "EWT")</f>
        <v>47.88</v>
      </c>
      <c r="F148">
        <f>RTD("tos.rtd", , "VOLUME", "EWT")</f>
        <v>4529076</v>
      </c>
      <c r="G148">
        <f>RTD("tos.rtd", , "OPEN_INT", "EWT")</f>
        <v>0</v>
      </c>
      <c r="H148">
        <f>RTD("tos.rtd", , "BID", "EWT")</f>
        <v>47.73</v>
      </c>
      <c r="I148">
        <f>RTD("tos.rtd", , "ASK", "EWT")</f>
        <v>50.03</v>
      </c>
      <c r="J148">
        <f>RTD("tos.rtd", , "HIGH", "EWT")</f>
        <v>48.17</v>
      </c>
      <c r="K148">
        <f>RTD("tos.rtd", , "LOW", "EWT")</f>
        <v>47.81</v>
      </c>
      <c r="L148">
        <f>RTD("tos.rtd", , "OPEN", "EWT")</f>
        <v>48.12</v>
      </c>
      <c r="M148">
        <f>RTD("tos.rtd", , "DELTA", "EWT")</f>
        <v>1</v>
      </c>
      <c r="N148">
        <f>RTD("tos.rtd", , "GAMMA", "EWT")</f>
        <v>0</v>
      </c>
      <c r="O148">
        <f>RTD("tos.rtd", , "THETA", "EWT")</f>
        <v>0</v>
      </c>
      <c r="P148">
        <f>RTD("tos.rtd", , "VEGA", "EWT")</f>
        <v>0</v>
      </c>
      <c r="Q148">
        <f>RTD("tos.rtd", , "RHO", "EWT")</f>
        <v>0</v>
      </c>
      <c r="R148" t="str">
        <f>RTD("tos.rtd", , "INTRINSIC", "EWT")</f>
        <v>N/A</v>
      </c>
      <c r="S148" t="str">
        <f>RTD("tos.rtd", , "EXTRINSIC", "EWT")</f>
        <v>N/A</v>
      </c>
      <c r="T148" t="str">
        <f>RTD("tos.rtd", , "PROB_OF_EXPIRING", "EWT")</f>
        <v>N/A</v>
      </c>
      <c r="U148" t="str">
        <f>RTD("tos.rtd", , "PROB_OTM", "EWT")</f>
        <v>N/A</v>
      </c>
      <c r="V148" t="str">
        <f>RTD("tos.rtd", , "PROB_OF_TOUCHING", "EWT")</f>
        <v>N/A</v>
      </c>
      <c r="W148" t="str">
        <f>RTD("tos.rtd", , "STRIKE", "EWT")</f>
        <v>N/A</v>
      </c>
    </row>
    <row r="149" spans="1:23" x14ac:dyDescent="0.45">
      <c r="A149" t="s">
        <v>170</v>
      </c>
      <c r="B149" t="str">
        <f>RTD("tos.rtd", , "DESCRIPTION", ".EWT201120C48")</f>
        <v>N/A</v>
      </c>
      <c r="C149" t="str">
        <f>RTD("tos.rtd", , "PUT_CALL_RATIO", ".EWT201120C48")</f>
        <v>N/A</v>
      </c>
      <c r="D149" t="str">
        <f>RTD("tos.rtd", , "IMPL_VOL", ".EWT201120C48")</f>
        <v>N/A</v>
      </c>
      <c r="E149" t="str">
        <f>RTD("tos.rtd", , "LAST", ".EWT201120C48")</f>
        <v>N/A</v>
      </c>
      <c r="F149" t="str">
        <f>RTD("tos.rtd", , "VOLUME", ".EWT201120C48")</f>
        <v>N/A</v>
      </c>
      <c r="G149" t="str">
        <f>RTD("tos.rtd", , "OPEN_INT", ".EWT201120C48")</f>
        <v>N/A</v>
      </c>
      <c r="H149" t="str">
        <f>RTD("tos.rtd", , "BID", ".EWT201120C48")</f>
        <v>N/A</v>
      </c>
      <c r="I149" t="str">
        <f>RTD("tos.rtd", , "ASK", ".EWT201120C48")</f>
        <v>N/A</v>
      </c>
      <c r="J149" t="str">
        <f>RTD("tos.rtd", , "HIGH", ".EWT201120C48")</f>
        <v>N/A</v>
      </c>
      <c r="K149" t="str">
        <f>RTD("tos.rtd", , "LOW", ".EWT201120C48")</f>
        <v>N/A</v>
      </c>
      <c r="L149" t="str">
        <f>RTD("tos.rtd", , "OPEN", ".EWT201120C48")</f>
        <v>N/A</v>
      </c>
      <c r="M149" t="str">
        <f>RTD("tos.rtd", , "DELTA", ".EWT201120C48")</f>
        <v>N/A</v>
      </c>
      <c r="N149" t="str">
        <f>RTD("tos.rtd", , "GAMMA", ".EWT201120C48")</f>
        <v>N/A</v>
      </c>
      <c r="O149" t="str">
        <f>RTD("tos.rtd", , "THETA", ".EWT201120C48")</f>
        <v>N/A</v>
      </c>
      <c r="P149" t="str">
        <f>RTD("tos.rtd", , "VEGA", ".EWT201120C48")</f>
        <v>N/A</v>
      </c>
      <c r="Q149" t="str">
        <f>RTD("tos.rtd", , "RHO", ".EWT201120C48")</f>
        <v>N/A</v>
      </c>
      <c r="R149" t="str">
        <f>RTD("tos.rtd", , "INTRINSIC", ".EWT201120C48")</f>
        <v>N/A</v>
      </c>
      <c r="S149" t="str">
        <f>RTD("tos.rtd", , "EXTRINSIC", ".EWT201120C48")</f>
        <v>N/A</v>
      </c>
      <c r="T149" t="str">
        <f>RTD("tos.rtd", , "PROB_OF_EXPIRING", ".EWT201120C48")</f>
        <v>N/A</v>
      </c>
      <c r="U149" t="str">
        <f>RTD("tos.rtd", , "PROB_OTM", ".EWT201120C48")</f>
        <v>N/A</v>
      </c>
      <c r="V149" t="str">
        <f>RTD("tos.rtd", , "PROB_OF_TOUCHING", ".EWT201120C48")</f>
        <v>N/A</v>
      </c>
      <c r="W149" t="str">
        <f>RTD("tos.rtd", , "STRIKE", ".EWT201120C48")</f>
        <v>N/A</v>
      </c>
    </row>
    <row r="150" spans="1:23" x14ac:dyDescent="0.45">
      <c r="A150" t="s">
        <v>171</v>
      </c>
      <c r="B150" t="str">
        <f>RTD("tos.rtd", , "DESCRIPTION", ".EWT201120P48")</f>
        <v>N/A</v>
      </c>
      <c r="C150" t="str">
        <f>RTD("tos.rtd", , "PUT_CALL_RATIO", ".EWT201120P48")</f>
        <v>N/A</v>
      </c>
      <c r="D150" t="str">
        <f>RTD("tos.rtd", , "IMPL_VOL", ".EWT201120P48")</f>
        <v>N/A</v>
      </c>
      <c r="E150">
        <f>RTD("tos.rtd", , "LAST", ".EWT201120P48")</f>
        <v>0.47</v>
      </c>
      <c r="F150">
        <f>RTD("tos.rtd", , "VOLUME", ".EWT201120P48")</f>
        <v>0</v>
      </c>
      <c r="G150">
        <f>RTD("tos.rtd", , "OPEN_INT", ".EWT201120P48")</f>
        <v>1</v>
      </c>
      <c r="H150">
        <f>RTD("tos.rtd", , "BID", ".EWT201120P48")</f>
        <v>0.55000000000000004</v>
      </c>
      <c r="I150">
        <f>RTD("tos.rtd", , "ASK", ".EWT201120P48")</f>
        <v>0.65</v>
      </c>
      <c r="J150">
        <f>RTD("tos.rtd", , "HIGH", ".EWT201120P48")</f>
        <v>0</v>
      </c>
      <c r="K150">
        <f>RTD("tos.rtd", , "LOW", ".EWT201120P48")</f>
        <v>0</v>
      </c>
      <c r="L150">
        <f>RTD("tos.rtd", , "OPEN", ".EWT201120P48")</f>
        <v>0</v>
      </c>
      <c r="M150" t="str">
        <f>RTD("tos.rtd", , "DELTA", ".EWT201120P48")</f>
        <v>N/A</v>
      </c>
      <c r="N150" t="str">
        <f>RTD("tos.rtd", , "GAMMA", ".EWT201120P48")</f>
        <v>N/A</v>
      </c>
      <c r="O150" t="str">
        <f>RTD("tos.rtd", , "THETA", ".EWT201120P48")</f>
        <v>N/A</v>
      </c>
      <c r="P150" t="str">
        <f>RTD("tos.rtd", , "VEGA", ".EWT201120P48")</f>
        <v>N/A</v>
      </c>
      <c r="Q150" t="str">
        <f>RTD("tos.rtd", , "RHO", ".EWT201120P48")</f>
        <v>N/A</v>
      </c>
      <c r="R150" t="str">
        <f>RTD("tos.rtd", , "INTRINSIC", ".EWT201120P48")</f>
        <v>N/A</v>
      </c>
      <c r="S150" t="str">
        <f>RTD("tos.rtd", , "EXTRINSIC", ".EWT201120P48")</f>
        <v>N/A</v>
      </c>
      <c r="T150" t="str">
        <f>RTD("tos.rtd", , "PROB_OF_EXPIRING", ".EWT201120P48")</f>
        <v>N/A</v>
      </c>
      <c r="U150" t="str">
        <f>RTD("tos.rtd", , "PROB_OTM", ".EWT201120P48")</f>
        <v>N/A</v>
      </c>
      <c r="V150" t="str">
        <f>RTD("tos.rtd", , "PROB_OF_TOUCHING", ".EWT201120P48")</f>
        <v>N/A</v>
      </c>
      <c r="W150" t="str">
        <f>RTD("tos.rtd", , "STRIKE", ".EWT201120P48")</f>
        <v>N/A</v>
      </c>
    </row>
    <row r="151" spans="1:23" x14ac:dyDescent="0.45">
      <c r="A151" t="s">
        <v>172</v>
      </c>
      <c r="B151" t="str">
        <f>RTD("tos.rtd", , "DESCRIPTION", "EWU")</f>
        <v>N/A</v>
      </c>
      <c r="C151">
        <f>RTD("tos.rtd", , "PUT_CALL_RATIO", "EWU")</f>
        <v>0.191</v>
      </c>
      <c r="D151" t="str">
        <f>RTD("tos.rtd", , "IMPL_VOL", "EWU")</f>
        <v>25.68%</v>
      </c>
      <c r="E151">
        <f>RTD("tos.rtd", , "LAST", "EWU")</f>
        <v>27.88</v>
      </c>
      <c r="F151">
        <f>RTD("tos.rtd", , "VOLUME", "EWU")</f>
        <v>4631335</v>
      </c>
      <c r="G151">
        <f>RTD("tos.rtd", , "OPEN_INT", "EWU")</f>
        <v>0</v>
      </c>
      <c r="H151">
        <f>RTD("tos.rtd", , "BID", "EWU")</f>
        <v>26.31</v>
      </c>
      <c r="I151">
        <f>RTD("tos.rtd", , "ASK", "EWU")</f>
        <v>29.07</v>
      </c>
      <c r="J151">
        <f>RTD("tos.rtd", , "HIGH", "EWU")</f>
        <v>28.22</v>
      </c>
      <c r="K151">
        <f>RTD("tos.rtd", , "LOW", "EWU")</f>
        <v>27.78</v>
      </c>
      <c r="L151">
        <f>RTD("tos.rtd", , "OPEN", "EWU")</f>
        <v>28.06</v>
      </c>
      <c r="M151">
        <f>RTD("tos.rtd", , "DELTA", "EWU")</f>
        <v>1</v>
      </c>
      <c r="N151">
        <f>RTD("tos.rtd", , "GAMMA", "EWU")</f>
        <v>0</v>
      </c>
      <c r="O151">
        <f>RTD("tos.rtd", , "THETA", "EWU")</f>
        <v>0</v>
      </c>
      <c r="P151">
        <f>RTD("tos.rtd", , "VEGA", "EWU")</f>
        <v>0</v>
      </c>
      <c r="Q151">
        <f>RTD("tos.rtd", , "RHO", "EWU")</f>
        <v>0</v>
      </c>
      <c r="R151" t="str">
        <f>RTD("tos.rtd", , "INTRINSIC", "EWU")</f>
        <v>N/A</v>
      </c>
      <c r="S151" t="str">
        <f>RTD("tos.rtd", , "EXTRINSIC", "EWU")</f>
        <v>N/A</v>
      </c>
      <c r="T151" t="str">
        <f>RTD("tos.rtd", , "PROB_OF_EXPIRING", "EWU")</f>
        <v>N/A</v>
      </c>
      <c r="U151" t="str">
        <f>RTD("tos.rtd", , "PROB_OTM", "EWU")</f>
        <v>N/A</v>
      </c>
      <c r="V151" t="str">
        <f>RTD("tos.rtd", , "PROB_OF_TOUCHING", "EWU")</f>
        <v>N/A</v>
      </c>
      <c r="W151" t="str">
        <f>RTD("tos.rtd", , "STRIKE", "EWU")</f>
        <v>N/A</v>
      </c>
    </row>
    <row r="152" spans="1:23" x14ac:dyDescent="0.45">
      <c r="A152" t="s">
        <v>173</v>
      </c>
      <c r="B152" t="str">
        <f>RTD("tos.rtd", , "DESCRIPTION", ".EWU201120C28.5")</f>
        <v>N/A</v>
      </c>
      <c r="C152" t="str">
        <f>RTD("tos.rtd", , "PUT_CALL_RATIO", ".EWU201120C28.5")</f>
        <v>N/A</v>
      </c>
      <c r="D152" t="str">
        <f>RTD("tos.rtd", , "IMPL_VOL", ".EWU201120C28.5")</f>
        <v>N/A</v>
      </c>
      <c r="E152" t="str">
        <f>RTD("tos.rtd", , "LAST", ".EWU201120C28.5")</f>
        <v>N/A</v>
      </c>
      <c r="F152" t="str">
        <f>RTD("tos.rtd", , "VOLUME", ".EWU201120C28.5")</f>
        <v>N/A</v>
      </c>
      <c r="G152" t="str">
        <f>RTD("tos.rtd", , "OPEN_INT", ".EWU201120C28.5")</f>
        <v>N/A</v>
      </c>
      <c r="H152" t="str">
        <f>RTD("tos.rtd", , "BID", ".EWU201120C28.5")</f>
        <v>N/A</v>
      </c>
      <c r="I152" t="str">
        <f>RTD("tos.rtd", , "ASK", ".EWU201120C28.5")</f>
        <v>N/A</v>
      </c>
      <c r="J152" t="str">
        <f>RTD("tos.rtd", , "HIGH", ".EWU201120C28.5")</f>
        <v>N/A</v>
      </c>
      <c r="K152" t="str">
        <f>RTD("tos.rtd", , "LOW", ".EWU201120C28.5")</f>
        <v>N/A</v>
      </c>
      <c r="L152" t="str">
        <f>RTD("tos.rtd", , "OPEN", ".EWU201120C28.5")</f>
        <v>N/A</v>
      </c>
      <c r="M152" t="str">
        <f>RTD("tos.rtd", , "DELTA", ".EWU201120C28.5")</f>
        <v>N/A</v>
      </c>
      <c r="N152" t="str">
        <f>RTD("tos.rtd", , "GAMMA", ".EWU201120C28.5")</f>
        <v>N/A</v>
      </c>
      <c r="O152" t="str">
        <f>RTD("tos.rtd", , "THETA", ".EWU201120C28.5")</f>
        <v>N/A</v>
      </c>
      <c r="P152" t="str">
        <f>RTD("tos.rtd", , "VEGA", ".EWU201120C28.5")</f>
        <v>N/A</v>
      </c>
      <c r="Q152" t="str">
        <f>RTD("tos.rtd", , "RHO", ".EWU201120C28.5")</f>
        <v>N/A</v>
      </c>
      <c r="R152" t="str">
        <f>RTD("tos.rtd", , "INTRINSIC", ".EWU201120C28.5")</f>
        <v>N/A</v>
      </c>
      <c r="S152" t="str">
        <f>RTD("tos.rtd", , "EXTRINSIC", ".EWU201120C28.5")</f>
        <v>N/A</v>
      </c>
      <c r="T152" t="str">
        <f>RTD("tos.rtd", , "PROB_OF_EXPIRING", ".EWU201120C28.5")</f>
        <v>N/A</v>
      </c>
      <c r="U152" t="str">
        <f>RTD("tos.rtd", , "PROB_OTM", ".EWU201120C28.5")</f>
        <v>N/A</v>
      </c>
      <c r="V152" t="str">
        <f>RTD("tos.rtd", , "PROB_OF_TOUCHING", ".EWU201120C28.5")</f>
        <v>N/A</v>
      </c>
      <c r="W152" t="str">
        <f>RTD("tos.rtd", , "STRIKE", ".EWU201120C28.5")</f>
        <v>N/A</v>
      </c>
    </row>
    <row r="153" spans="1:23" x14ac:dyDescent="0.45">
      <c r="A153" t="s">
        <v>174</v>
      </c>
      <c r="B153" t="str">
        <f>RTD("tos.rtd", , "DESCRIPTION", ".EWU201120P28.5")</f>
        <v>N/A</v>
      </c>
      <c r="C153" t="str">
        <f>RTD("tos.rtd", , "PUT_CALL_RATIO", ".EWU201120P28.5")</f>
        <v>N/A</v>
      </c>
      <c r="D153" t="str">
        <f>RTD("tos.rtd", , "IMPL_VOL", ".EWU201120P28.5")</f>
        <v>N/A</v>
      </c>
      <c r="E153" t="str">
        <f>RTD("tos.rtd", , "LAST", ".EWU201120P28.5")</f>
        <v>N/A</v>
      </c>
      <c r="F153" t="str">
        <f>RTD("tos.rtd", , "VOLUME", ".EWU201120P28.5")</f>
        <v>N/A</v>
      </c>
      <c r="G153" t="str">
        <f>RTD("tos.rtd", , "OPEN_INT", ".EWU201120P28.5")</f>
        <v>N/A</v>
      </c>
      <c r="H153" t="str">
        <f>RTD("tos.rtd", , "BID", ".EWU201120P28.5")</f>
        <v>N/A</v>
      </c>
      <c r="I153" t="str">
        <f>RTD("tos.rtd", , "ASK", ".EWU201120P28.5")</f>
        <v>N/A</v>
      </c>
      <c r="J153" t="str">
        <f>RTD("tos.rtd", , "HIGH", ".EWU201120P28.5")</f>
        <v>N/A</v>
      </c>
      <c r="K153" t="str">
        <f>RTD("tos.rtd", , "LOW", ".EWU201120P28.5")</f>
        <v>N/A</v>
      </c>
      <c r="L153" t="str">
        <f>RTD("tos.rtd", , "OPEN", ".EWU201120P28.5")</f>
        <v>N/A</v>
      </c>
      <c r="M153" t="str">
        <f>RTD("tos.rtd", , "DELTA", ".EWU201120P28.5")</f>
        <v>N/A</v>
      </c>
      <c r="N153" t="str">
        <f>RTD("tos.rtd", , "GAMMA", ".EWU201120P28.5")</f>
        <v>N/A</v>
      </c>
      <c r="O153" t="str">
        <f>RTD("tos.rtd", , "THETA", ".EWU201120P28.5")</f>
        <v>N/A</v>
      </c>
      <c r="P153" t="str">
        <f>RTD("tos.rtd", , "VEGA", ".EWU201120P28.5")</f>
        <v>N/A</v>
      </c>
      <c r="Q153" t="str">
        <f>RTD("tos.rtd", , "RHO", ".EWU201120P28.5")</f>
        <v>N/A</v>
      </c>
      <c r="R153" t="str">
        <f>RTD("tos.rtd", , "INTRINSIC", ".EWU201120P28.5")</f>
        <v>N/A</v>
      </c>
      <c r="S153" t="str">
        <f>RTD("tos.rtd", , "EXTRINSIC", ".EWU201120P28.5")</f>
        <v>N/A</v>
      </c>
      <c r="T153" t="str">
        <f>RTD("tos.rtd", , "PROB_OF_EXPIRING", ".EWU201120P28.5")</f>
        <v>N/A</v>
      </c>
      <c r="U153" t="str">
        <f>RTD("tos.rtd", , "PROB_OTM", ".EWU201120P28.5")</f>
        <v>N/A</v>
      </c>
      <c r="V153" t="str">
        <f>RTD("tos.rtd", , "PROB_OF_TOUCHING", ".EWU201120P28.5")</f>
        <v>N/A</v>
      </c>
      <c r="W153" t="str">
        <f>RTD("tos.rtd", , "STRIKE", ".EWU201120P28.5")</f>
        <v>N/A</v>
      </c>
    </row>
    <row r="154" spans="1:23" x14ac:dyDescent="0.45">
      <c r="A154" t="s">
        <v>175</v>
      </c>
      <c r="B154" t="str">
        <f>RTD("tos.rtd", , "DESCRIPTION", "EWW")</f>
        <v>N/A</v>
      </c>
      <c r="C154">
        <f>RTD("tos.rtd", , "PUT_CALL_RATIO", "EWW")</f>
        <v>0.497</v>
      </c>
      <c r="D154" t="str">
        <f>RTD("tos.rtd", , "IMPL_VOL", "EWW")</f>
        <v>33.67%</v>
      </c>
      <c r="E154">
        <f>RTD("tos.rtd", , "LAST", "EWW")</f>
        <v>38.19</v>
      </c>
      <c r="F154">
        <f>RTD("tos.rtd", , "VOLUME", "EWW")</f>
        <v>2438806</v>
      </c>
      <c r="G154">
        <f>RTD("tos.rtd", , "OPEN_INT", "EWW")</f>
        <v>0</v>
      </c>
      <c r="H154">
        <f>RTD("tos.rtd", , "BID", "EWW")</f>
        <v>38.17</v>
      </c>
      <c r="I154">
        <f>RTD("tos.rtd", , "ASK", "EWW")</f>
        <v>39.79</v>
      </c>
      <c r="J154">
        <f>RTD("tos.rtd", , "HIGH", "EWW")</f>
        <v>39.1</v>
      </c>
      <c r="K154">
        <f>RTD("tos.rtd", , "LOW", "EWW")</f>
        <v>38.104999999999997</v>
      </c>
      <c r="L154">
        <f>RTD("tos.rtd", , "OPEN", "EWW")</f>
        <v>38.96</v>
      </c>
      <c r="M154">
        <f>RTD("tos.rtd", , "DELTA", "EWW")</f>
        <v>1</v>
      </c>
      <c r="N154">
        <f>RTD("tos.rtd", , "GAMMA", "EWW")</f>
        <v>0</v>
      </c>
      <c r="O154">
        <f>RTD("tos.rtd", , "THETA", "EWW")</f>
        <v>0</v>
      </c>
      <c r="P154">
        <f>RTD("tos.rtd", , "VEGA", "EWW")</f>
        <v>0</v>
      </c>
      <c r="Q154">
        <f>RTD("tos.rtd", , "RHO", "EWW")</f>
        <v>0</v>
      </c>
      <c r="R154" t="str">
        <f>RTD("tos.rtd", , "INTRINSIC", "EWW")</f>
        <v>N/A</v>
      </c>
      <c r="S154" t="str">
        <f>RTD("tos.rtd", , "EXTRINSIC", "EWW")</f>
        <v>N/A</v>
      </c>
      <c r="T154" t="str">
        <f>RTD("tos.rtd", , "PROB_OF_EXPIRING", "EWW")</f>
        <v>N/A</v>
      </c>
      <c r="U154" t="str">
        <f>RTD("tos.rtd", , "PROB_OTM", "EWW")</f>
        <v>N/A</v>
      </c>
      <c r="V154" t="str">
        <f>RTD("tos.rtd", , "PROB_OF_TOUCHING", "EWW")</f>
        <v>N/A</v>
      </c>
      <c r="W154" t="str">
        <f>RTD("tos.rtd", , "STRIKE", "EWW")</f>
        <v>N/A</v>
      </c>
    </row>
    <row r="155" spans="1:23" x14ac:dyDescent="0.45">
      <c r="A155" t="s">
        <v>176</v>
      </c>
      <c r="B155" t="str">
        <f>RTD("tos.rtd", , "DESCRIPTION", ".EWW201120C38.5")</f>
        <v>N/A</v>
      </c>
      <c r="C155" t="str">
        <f>RTD("tos.rtd", , "PUT_CALL_RATIO", ".EWW201120C38.5")</f>
        <v>N/A</v>
      </c>
      <c r="D155" t="str">
        <f>RTD("tos.rtd", , "IMPL_VOL", ".EWW201120C38.5")</f>
        <v>N/A</v>
      </c>
      <c r="E155" t="str">
        <f>RTD("tos.rtd", , "LAST", ".EWW201120C38.5")</f>
        <v>N/A</v>
      </c>
      <c r="F155" t="str">
        <f>RTD("tos.rtd", , "VOLUME", ".EWW201120C38.5")</f>
        <v>N/A</v>
      </c>
      <c r="G155" t="str">
        <f>RTD("tos.rtd", , "OPEN_INT", ".EWW201120C38.5")</f>
        <v>N/A</v>
      </c>
      <c r="H155" t="str">
        <f>RTD("tos.rtd", , "BID", ".EWW201120C38.5")</f>
        <v>N/A</v>
      </c>
      <c r="I155" t="str">
        <f>RTD("tos.rtd", , "ASK", ".EWW201120C38.5")</f>
        <v>N/A</v>
      </c>
      <c r="J155" t="str">
        <f>RTD("tos.rtd", , "HIGH", ".EWW201120C38.5")</f>
        <v>N/A</v>
      </c>
      <c r="K155" t="str">
        <f>RTD("tos.rtd", , "LOW", ".EWW201120C38.5")</f>
        <v>N/A</v>
      </c>
      <c r="L155" t="str">
        <f>RTD("tos.rtd", , "OPEN", ".EWW201120C38.5")</f>
        <v>N/A</v>
      </c>
      <c r="M155" t="str">
        <f>RTD("tos.rtd", , "DELTA", ".EWW201120C38.5")</f>
        <v>N/A</v>
      </c>
      <c r="N155" t="str">
        <f>RTD("tos.rtd", , "GAMMA", ".EWW201120C38.5")</f>
        <v>N/A</v>
      </c>
      <c r="O155" t="str">
        <f>RTD("tos.rtd", , "THETA", ".EWW201120C38.5")</f>
        <v>N/A</v>
      </c>
      <c r="P155" t="str">
        <f>RTD("tos.rtd", , "VEGA", ".EWW201120C38.5")</f>
        <v>N/A</v>
      </c>
      <c r="Q155" t="str">
        <f>RTD("tos.rtd", , "RHO", ".EWW201120C38.5")</f>
        <v>N/A</v>
      </c>
      <c r="R155" t="str">
        <f>RTD("tos.rtd", , "INTRINSIC", ".EWW201120C38.5")</f>
        <v>N/A</v>
      </c>
      <c r="S155" t="str">
        <f>RTD("tos.rtd", , "EXTRINSIC", ".EWW201120C38.5")</f>
        <v>N/A</v>
      </c>
      <c r="T155" t="str">
        <f>RTD("tos.rtd", , "PROB_OF_EXPIRING", ".EWW201120C38.5")</f>
        <v>N/A</v>
      </c>
      <c r="U155" t="str">
        <f>RTD("tos.rtd", , "PROB_OTM", ".EWW201120C38.5")</f>
        <v>N/A</v>
      </c>
      <c r="V155" t="str">
        <f>RTD("tos.rtd", , "PROB_OF_TOUCHING", ".EWW201120C38.5")</f>
        <v>N/A</v>
      </c>
      <c r="W155" t="str">
        <f>RTD("tos.rtd", , "STRIKE", ".EWW201120C38.5")</f>
        <v>N/A</v>
      </c>
    </row>
    <row r="156" spans="1:23" x14ac:dyDescent="0.45">
      <c r="A156" t="s">
        <v>177</v>
      </c>
      <c r="B156" t="str">
        <f>RTD("tos.rtd", , "DESCRIPTION", ".EWW201120P38.5")</f>
        <v>N/A</v>
      </c>
      <c r="C156" t="str">
        <f>RTD("tos.rtd", , "PUT_CALL_RATIO", ".EWW201120P38.5")</f>
        <v>N/A</v>
      </c>
      <c r="D156" t="str">
        <f>RTD("tos.rtd", , "IMPL_VOL", ".EWW201120P38.5")</f>
        <v>N/A</v>
      </c>
      <c r="E156" t="str">
        <f>RTD("tos.rtd", , "LAST", ".EWW201120P38.5")</f>
        <v>N/A</v>
      </c>
      <c r="F156" t="str">
        <f>RTD("tos.rtd", , "VOLUME", ".EWW201120P38.5")</f>
        <v>N/A</v>
      </c>
      <c r="G156" t="str">
        <f>RTD("tos.rtd", , "OPEN_INT", ".EWW201120P38.5")</f>
        <v>N/A</v>
      </c>
      <c r="H156" t="str">
        <f>RTD("tos.rtd", , "BID", ".EWW201120P38.5")</f>
        <v>N/A</v>
      </c>
      <c r="I156" t="str">
        <f>RTD("tos.rtd", , "ASK", ".EWW201120P38.5")</f>
        <v>N/A</v>
      </c>
      <c r="J156" t="str">
        <f>RTD("tos.rtd", , "HIGH", ".EWW201120P38.5")</f>
        <v>N/A</v>
      </c>
      <c r="K156" t="str">
        <f>RTD("tos.rtd", , "LOW", ".EWW201120P38.5")</f>
        <v>N/A</v>
      </c>
      <c r="L156" t="str">
        <f>RTD("tos.rtd", , "OPEN", ".EWW201120P38.5")</f>
        <v>N/A</v>
      </c>
      <c r="M156" t="str">
        <f>RTD("tos.rtd", , "DELTA", ".EWW201120P38.5")</f>
        <v>N/A</v>
      </c>
      <c r="N156" t="str">
        <f>RTD("tos.rtd", , "GAMMA", ".EWW201120P38.5")</f>
        <v>N/A</v>
      </c>
      <c r="O156" t="str">
        <f>RTD("tos.rtd", , "THETA", ".EWW201120P38.5")</f>
        <v>N/A</v>
      </c>
      <c r="P156" t="str">
        <f>RTD("tos.rtd", , "VEGA", ".EWW201120P38.5")</f>
        <v>N/A</v>
      </c>
      <c r="Q156" t="str">
        <f>RTD("tos.rtd", , "RHO", ".EWW201120P38.5")</f>
        <v>N/A</v>
      </c>
      <c r="R156" t="str">
        <f>RTD("tos.rtd", , "INTRINSIC", ".EWW201120P38.5")</f>
        <v>N/A</v>
      </c>
      <c r="S156" t="str">
        <f>RTD("tos.rtd", , "EXTRINSIC", ".EWW201120P38.5")</f>
        <v>N/A</v>
      </c>
      <c r="T156" t="str">
        <f>RTD("tos.rtd", , "PROB_OF_EXPIRING", ".EWW201120P38.5")</f>
        <v>N/A</v>
      </c>
      <c r="U156" t="str">
        <f>RTD("tos.rtd", , "PROB_OTM", ".EWW201120P38.5")</f>
        <v>N/A</v>
      </c>
      <c r="V156" t="str">
        <f>RTD("tos.rtd", , "PROB_OF_TOUCHING", ".EWW201120P38.5")</f>
        <v>N/A</v>
      </c>
      <c r="W156" t="str">
        <f>RTD("tos.rtd", , "STRIKE", ".EWW201120P38.5")</f>
        <v>N/A</v>
      </c>
    </row>
    <row r="157" spans="1:23" x14ac:dyDescent="0.45">
      <c r="A157" t="s">
        <v>178</v>
      </c>
      <c r="B157" t="str">
        <f>RTD("tos.rtd", , "DESCRIPTION", ".EWW201120C39")</f>
        <v>N/A</v>
      </c>
      <c r="C157" t="str">
        <f>RTD("tos.rtd", , "PUT_CALL_RATIO", ".EWW201120C39")</f>
        <v>N/A</v>
      </c>
      <c r="D157" t="str">
        <f>RTD("tos.rtd", , "IMPL_VOL", ".EWW201120C39")</f>
        <v>N/A</v>
      </c>
      <c r="E157">
        <f>RTD("tos.rtd", , "LAST", ".EWW201120C39")</f>
        <v>0.35</v>
      </c>
      <c r="F157">
        <f>RTD("tos.rtd", , "VOLUME", ".EWW201120C39")</f>
        <v>233</v>
      </c>
      <c r="G157">
        <f>RTD("tos.rtd", , "OPEN_INT", ".EWW201120C39")</f>
        <v>929</v>
      </c>
      <c r="H157">
        <f>RTD("tos.rtd", , "BID", ".EWW201120C39")</f>
        <v>0.34</v>
      </c>
      <c r="I157">
        <f>RTD("tos.rtd", , "ASK", ".EWW201120C39")</f>
        <v>0.38</v>
      </c>
      <c r="J157">
        <f>RTD("tos.rtd", , "HIGH", ".EWW201120C39")</f>
        <v>0.6</v>
      </c>
      <c r="K157">
        <f>RTD("tos.rtd", , "LOW", ".EWW201120C39")</f>
        <v>0.35</v>
      </c>
      <c r="L157">
        <f>RTD("tos.rtd", , "OPEN", ".EWW201120C39")</f>
        <v>0.6</v>
      </c>
      <c r="M157" t="str">
        <f>RTD("tos.rtd", , "DELTA", ".EWW201120C39")</f>
        <v>N/A</v>
      </c>
      <c r="N157" t="str">
        <f>RTD("tos.rtd", , "GAMMA", ".EWW201120C39")</f>
        <v>N/A</v>
      </c>
      <c r="O157" t="str">
        <f>RTD("tos.rtd", , "THETA", ".EWW201120C39")</f>
        <v>N/A</v>
      </c>
      <c r="P157" t="str">
        <f>RTD("tos.rtd", , "VEGA", ".EWW201120C39")</f>
        <v>N/A</v>
      </c>
      <c r="Q157" t="str">
        <f>RTD("tos.rtd", , "RHO", ".EWW201120C39")</f>
        <v>N/A</v>
      </c>
      <c r="R157" t="str">
        <f>RTD("tos.rtd", , "INTRINSIC", ".EWW201120C39")</f>
        <v>N/A</v>
      </c>
      <c r="S157" t="str">
        <f>RTD("tos.rtd", , "EXTRINSIC", ".EWW201120C39")</f>
        <v>N/A</v>
      </c>
      <c r="T157" t="str">
        <f>RTD("tos.rtd", , "PROB_OF_EXPIRING", ".EWW201120C39")</f>
        <v>N/A</v>
      </c>
      <c r="U157" t="str">
        <f>RTD("tos.rtd", , "PROB_OTM", ".EWW201120C39")</f>
        <v>N/A</v>
      </c>
      <c r="V157" t="str">
        <f>RTD("tos.rtd", , "PROB_OF_TOUCHING", ".EWW201120C39")</f>
        <v>N/A</v>
      </c>
      <c r="W157" t="str">
        <f>RTD("tos.rtd", , "STRIKE", ".EWW201120C39")</f>
        <v>N/A</v>
      </c>
    </row>
    <row r="158" spans="1:23" x14ac:dyDescent="0.45">
      <c r="A158" t="s">
        <v>179</v>
      </c>
      <c r="B158" t="str">
        <f>RTD("tos.rtd", , "DESCRIPTION", ".EWW201120P39")</f>
        <v>N/A</v>
      </c>
      <c r="C158" t="str">
        <f>RTD("tos.rtd", , "PUT_CALL_RATIO", ".EWW201120P39")</f>
        <v>N/A</v>
      </c>
      <c r="D158" t="str">
        <f>RTD("tos.rtd", , "IMPL_VOL", ".EWW201120P39")</f>
        <v>N/A</v>
      </c>
      <c r="E158">
        <f>RTD("tos.rtd", , "LAST", ".EWW201120P39")</f>
        <v>0.83</v>
      </c>
      <c r="F158">
        <f>RTD("tos.rtd", , "VOLUME", ".EWW201120P39")</f>
        <v>2</v>
      </c>
      <c r="G158">
        <f>RTD("tos.rtd", , "OPEN_INT", ".EWW201120P39")</f>
        <v>23</v>
      </c>
      <c r="H158">
        <f>RTD("tos.rtd", , "BID", ".EWW201120P39")</f>
        <v>1.1200000000000001</v>
      </c>
      <c r="I158">
        <f>RTD("tos.rtd", , "ASK", ".EWW201120P39")</f>
        <v>1.25</v>
      </c>
      <c r="J158">
        <f>RTD("tos.rtd", , "HIGH", ".EWW201120P39")</f>
        <v>0.83</v>
      </c>
      <c r="K158">
        <f>RTD("tos.rtd", , "LOW", ".EWW201120P39")</f>
        <v>0.71</v>
      </c>
      <c r="L158">
        <f>RTD("tos.rtd", , "OPEN", ".EWW201120P39")</f>
        <v>0.71</v>
      </c>
      <c r="M158" t="str">
        <f>RTD("tos.rtd", , "DELTA", ".EWW201120P39")</f>
        <v>N/A</v>
      </c>
      <c r="N158" t="str">
        <f>RTD("tos.rtd", , "GAMMA", ".EWW201120P39")</f>
        <v>N/A</v>
      </c>
      <c r="O158" t="str">
        <f>RTD("tos.rtd", , "THETA", ".EWW201120P39")</f>
        <v>N/A</v>
      </c>
      <c r="P158" t="str">
        <f>RTD("tos.rtd", , "VEGA", ".EWW201120P39")</f>
        <v>N/A</v>
      </c>
      <c r="Q158" t="str">
        <f>RTD("tos.rtd", , "RHO", ".EWW201120P39")</f>
        <v>N/A</v>
      </c>
      <c r="R158" t="str">
        <f>RTD("tos.rtd", , "INTRINSIC", ".EWW201120P39")</f>
        <v>N/A</v>
      </c>
      <c r="S158" t="str">
        <f>RTD("tos.rtd", , "EXTRINSIC", ".EWW201120P39")</f>
        <v>N/A</v>
      </c>
      <c r="T158" t="str">
        <f>RTD("tos.rtd", , "PROB_OF_EXPIRING", ".EWW201120P39")</f>
        <v>N/A</v>
      </c>
      <c r="U158" t="str">
        <f>RTD("tos.rtd", , "PROB_OTM", ".EWW201120P39")</f>
        <v>N/A</v>
      </c>
      <c r="V158" t="str">
        <f>RTD("tos.rtd", , "PROB_OF_TOUCHING", ".EWW201120P39")</f>
        <v>N/A</v>
      </c>
      <c r="W158" t="str">
        <f>RTD("tos.rtd", , "STRIKE", ".EWW201120P39")</f>
        <v>N/A</v>
      </c>
    </row>
    <row r="159" spans="1:23" x14ac:dyDescent="0.45">
      <c r="A159" t="s">
        <v>180</v>
      </c>
      <c r="B159" t="str">
        <f>RTD("tos.rtd", , "DESCRIPTION", ".EWW201120C39.5")</f>
        <v>N/A</v>
      </c>
      <c r="C159" t="str">
        <f>RTD("tos.rtd", , "PUT_CALL_RATIO", ".EWW201120C39.5")</f>
        <v>N/A</v>
      </c>
      <c r="D159" t="str">
        <f>RTD("tos.rtd", , "IMPL_VOL", ".EWW201120C39.5")</f>
        <v>N/A</v>
      </c>
      <c r="E159" t="str">
        <f>RTD("tos.rtd", , "LAST", ".EWW201120C39.5")</f>
        <v>N/A</v>
      </c>
      <c r="F159" t="str">
        <f>RTD("tos.rtd", , "VOLUME", ".EWW201120C39.5")</f>
        <v>N/A</v>
      </c>
      <c r="G159" t="str">
        <f>RTD("tos.rtd", , "OPEN_INT", ".EWW201120C39.5")</f>
        <v>N/A</v>
      </c>
      <c r="H159" t="str">
        <f>RTD("tos.rtd", , "BID", ".EWW201120C39.5")</f>
        <v>N/A</v>
      </c>
      <c r="I159" t="str">
        <f>RTD("tos.rtd", , "ASK", ".EWW201120C39.5")</f>
        <v>N/A</v>
      </c>
      <c r="J159" t="str">
        <f>RTD("tos.rtd", , "HIGH", ".EWW201120C39.5")</f>
        <v>N/A</v>
      </c>
      <c r="K159" t="str">
        <f>RTD("tos.rtd", , "LOW", ".EWW201120C39.5")</f>
        <v>N/A</v>
      </c>
      <c r="L159" t="str">
        <f>RTD("tos.rtd", , "OPEN", ".EWW201120C39.5")</f>
        <v>N/A</v>
      </c>
      <c r="M159" t="str">
        <f>RTD("tos.rtd", , "DELTA", ".EWW201120C39.5")</f>
        <v>N/A</v>
      </c>
      <c r="N159" t="str">
        <f>RTD("tos.rtd", , "GAMMA", ".EWW201120C39.5")</f>
        <v>N/A</v>
      </c>
      <c r="O159" t="str">
        <f>RTD("tos.rtd", , "THETA", ".EWW201120C39.5")</f>
        <v>N/A</v>
      </c>
      <c r="P159" t="str">
        <f>RTD("tos.rtd", , "VEGA", ".EWW201120C39.5")</f>
        <v>N/A</v>
      </c>
      <c r="Q159" t="str">
        <f>RTD("tos.rtd", , "RHO", ".EWW201120C39.5")</f>
        <v>N/A</v>
      </c>
      <c r="R159" t="str">
        <f>RTD("tos.rtd", , "INTRINSIC", ".EWW201120C39.5")</f>
        <v>N/A</v>
      </c>
      <c r="S159" t="str">
        <f>RTD("tos.rtd", , "EXTRINSIC", ".EWW201120C39.5")</f>
        <v>N/A</v>
      </c>
      <c r="T159" t="str">
        <f>RTD("tos.rtd", , "PROB_OF_EXPIRING", ".EWW201120C39.5")</f>
        <v>N/A</v>
      </c>
      <c r="U159" t="str">
        <f>RTD("tos.rtd", , "PROB_OTM", ".EWW201120C39.5")</f>
        <v>N/A</v>
      </c>
      <c r="V159" t="str">
        <f>RTD("tos.rtd", , "PROB_OF_TOUCHING", ".EWW201120C39.5")</f>
        <v>N/A</v>
      </c>
      <c r="W159" t="str">
        <f>RTD("tos.rtd", , "STRIKE", ".EWW201120C39.5")</f>
        <v>N/A</v>
      </c>
    </row>
    <row r="160" spans="1:23" x14ac:dyDescent="0.45">
      <c r="A160" t="s">
        <v>181</v>
      </c>
      <c r="B160" t="str">
        <f>RTD("tos.rtd", , "DESCRIPTION", ".EWW201120P39.5")</f>
        <v>N/A</v>
      </c>
      <c r="C160" t="str">
        <f>RTD("tos.rtd", , "PUT_CALL_RATIO", ".EWW201120P39.5")</f>
        <v>N/A</v>
      </c>
      <c r="D160" t="str">
        <f>RTD("tos.rtd", , "IMPL_VOL", ".EWW201120P39.5")</f>
        <v>N/A</v>
      </c>
      <c r="E160" t="str">
        <f>RTD("tos.rtd", , "LAST", ".EWW201120P39.5")</f>
        <v>N/A</v>
      </c>
      <c r="F160" t="str">
        <f>RTD("tos.rtd", , "VOLUME", ".EWW201120P39.5")</f>
        <v>N/A</v>
      </c>
      <c r="G160" t="str">
        <f>RTD("tos.rtd", , "OPEN_INT", ".EWW201120P39.5")</f>
        <v>N/A</v>
      </c>
      <c r="H160" t="str">
        <f>RTD("tos.rtd", , "BID", ".EWW201120P39.5")</f>
        <v>N/A</v>
      </c>
      <c r="I160" t="str">
        <f>RTD("tos.rtd", , "ASK", ".EWW201120P39.5")</f>
        <v>N/A</v>
      </c>
      <c r="J160" t="str">
        <f>RTD("tos.rtd", , "HIGH", ".EWW201120P39.5")</f>
        <v>N/A</v>
      </c>
      <c r="K160" t="str">
        <f>RTD("tos.rtd", , "LOW", ".EWW201120P39.5")</f>
        <v>N/A</v>
      </c>
      <c r="L160" t="str">
        <f>RTD("tos.rtd", , "OPEN", ".EWW201120P39.5")</f>
        <v>N/A</v>
      </c>
      <c r="M160" t="str">
        <f>RTD("tos.rtd", , "DELTA", ".EWW201120P39.5")</f>
        <v>N/A</v>
      </c>
      <c r="N160" t="str">
        <f>RTD("tos.rtd", , "GAMMA", ".EWW201120P39.5")</f>
        <v>N/A</v>
      </c>
      <c r="O160" t="str">
        <f>RTD("tos.rtd", , "THETA", ".EWW201120P39.5")</f>
        <v>N/A</v>
      </c>
      <c r="P160" t="str">
        <f>RTD("tos.rtd", , "VEGA", ".EWW201120P39.5")</f>
        <v>N/A</v>
      </c>
      <c r="Q160" t="str">
        <f>RTD("tos.rtd", , "RHO", ".EWW201120P39.5")</f>
        <v>N/A</v>
      </c>
      <c r="R160" t="str">
        <f>RTD("tos.rtd", , "INTRINSIC", ".EWW201120P39.5")</f>
        <v>N/A</v>
      </c>
      <c r="S160" t="str">
        <f>RTD("tos.rtd", , "EXTRINSIC", ".EWW201120P39.5")</f>
        <v>N/A</v>
      </c>
      <c r="T160" t="str">
        <f>RTD("tos.rtd", , "PROB_OF_EXPIRING", ".EWW201120P39.5")</f>
        <v>N/A</v>
      </c>
      <c r="U160" t="str">
        <f>RTD("tos.rtd", , "PROB_OTM", ".EWW201120P39.5")</f>
        <v>N/A</v>
      </c>
      <c r="V160" t="str">
        <f>RTD("tos.rtd", , "PROB_OF_TOUCHING", ".EWW201120P39.5")</f>
        <v>N/A</v>
      </c>
      <c r="W160" t="str">
        <f>RTD("tos.rtd", , "STRIKE", ".EWW201120P39.5")</f>
        <v>N/A</v>
      </c>
    </row>
    <row r="161" spans="1:23" x14ac:dyDescent="0.45">
      <c r="A161" t="s">
        <v>182</v>
      </c>
      <c r="B161" t="str">
        <f>RTD("tos.rtd", , "DESCRIPTION", "EWY")</f>
        <v>N/A</v>
      </c>
      <c r="C161">
        <f>RTD("tos.rtd", , "PUT_CALL_RATIO", "EWY")</f>
        <v>0.20899999999999999</v>
      </c>
      <c r="D161" t="str">
        <f>RTD("tos.rtd", , "IMPL_VOL", "EWY")</f>
        <v>26.57%</v>
      </c>
      <c r="E161">
        <f>RTD("tos.rtd", , "LAST", "EWY")</f>
        <v>71.81</v>
      </c>
      <c r="F161">
        <f>RTD("tos.rtd", , "VOLUME", "EWY")</f>
        <v>3005962</v>
      </c>
      <c r="G161">
        <f>RTD("tos.rtd", , "OPEN_INT", "EWY")</f>
        <v>0</v>
      </c>
      <c r="H161">
        <f>RTD("tos.rtd", , "BID", "EWY")</f>
        <v>70.91</v>
      </c>
      <c r="I161">
        <f>RTD("tos.rtd", , "ASK", "EWY")</f>
        <v>72.989999999999995</v>
      </c>
      <c r="J161">
        <f>RTD("tos.rtd", , "HIGH", "EWY")</f>
        <v>72.48</v>
      </c>
      <c r="K161">
        <f>RTD("tos.rtd", , "LOW", "EWY")</f>
        <v>71.644999999999996</v>
      </c>
      <c r="L161">
        <f>RTD("tos.rtd", , "OPEN", "EWY")</f>
        <v>72.31</v>
      </c>
      <c r="M161">
        <f>RTD("tos.rtd", , "DELTA", "EWY")</f>
        <v>1</v>
      </c>
      <c r="N161">
        <f>RTD("tos.rtd", , "GAMMA", "EWY")</f>
        <v>0</v>
      </c>
      <c r="O161">
        <f>RTD("tos.rtd", , "THETA", "EWY")</f>
        <v>0</v>
      </c>
      <c r="P161">
        <f>RTD("tos.rtd", , "VEGA", "EWY")</f>
        <v>0</v>
      </c>
      <c r="Q161">
        <f>RTD("tos.rtd", , "RHO", "EWY")</f>
        <v>0</v>
      </c>
      <c r="R161" t="str">
        <f>RTD("tos.rtd", , "INTRINSIC", "EWY")</f>
        <v>N/A</v>
      </c>
      <c r="S161" t="str">
        <f>RTD("tos.rtd", , "EXTRINSIC", "EWY")</f>
        <v>N/A</v>
      </c>
      <c r="T161" t="str">
        <f>RTD("tos.rtd", , "PROB_OF_EXPIRING", "EWY")</f>
        <v>N/A</v>
      </c>
      <c r="U161" t="str">
        <f>RTD("tos.rtd", , "PROB_OTM", "EWY")</f>
        <v>N/A</v>
      </c>
      <c r="V161" t="str">
        <f>RTD("tos.rtd", , "PROB_OF_TOUCHING", "EWY")</f>
        <v>N/A</v>
      </c>
      <c r="W161" t="str">
        <f>RTD("tos.rtd", , "STRIKE", "EWY")</f>
        <v>N/A</v>
      </c>
    </row>
    <row r="162" spans="1:23" x14ac:dyDescent="0.45">
      <c r="A162" t="s">
        <v>183</v>
      </c>
      <c r="B162" t="str">
        <f>RTD("tos.rtd", , "DESCRIPTION", ".EWY201120C71.5")</f>
        <v>N/A</v>
      </c>
      <c r="C162" t="str">
        <f>RTD("tos.rtd", , "PUT_CALL_RATIO", ".EWY201120C71.5")</f>
        <v>N/A</v>
      </c>
      <c r="D162" t="str">
        <f>RTD("tos.rtd", , "IMPL_VOL", ".EWY201120C71.5")</f>
        <v>N/A</v>
      </c>
      <c r="E162" t="str">
        <f>RTD("tos.rtd", , "LAST", ".EWY201120C71.5")</f>
        <v>N/A</v>
      </c>
      <c r="F162" t="str">
        <f>RTD("tos.rtd", , "VOLUME", ".EWY201120C71.5")</f>
        <v>N/A</v>
      </c>
      <c r="G162" t="str">
        <f>RTD("tos.rtd", , "OPEN_INT", ".EWY201120C71.5")</f>
        <v>N/A</v>
      </c>
      <c r="H162" t="str">
        <f>RTD("tos.rtd", , "BID", ".EWY201120C71.5")</f>
        <v>N/A</v>
      </c>
      <c r="I162" t="str">
        <f>RTD("tos.rtd", , "ASK", ".EWY201120C71.5")</f>
        <v>N/A</v>
      </c>
      <c r="J162" t="str">
        <f>RTD("tos.rtd", , "HIGH", ".EWY201120C71.5")</f>
        <v>N/A</v>
      </c>
      <c r="K162" t="str">
        <f>RTD("tos.rtd", , "LOW", ".EWY201120C71.5")</f>
        <v>N/A</v>
      </c>
      <c r="L162" t="str">
        <f>RTD("tos.rtd", , "OPEN", ".EWY201120C71.5")</f>
        <v>N/A</v>
      </c>
      <c r="M162" t="str">
        <f>RTD("tos.rtd", , "DELTA", ".EWY201120C71.5")</f>
        <v>N/A</v>
      </c>
      <c r="N162" t="str">
        <f>RTD("tos.rtd", , "GAMMA", ".EWY201120C71.5")</f>
        <v>N/A</v>
      </c>
      <c r="O162" t="str">
        <f>RTD("tos.rtd", , "THETA", ".EWY201120C71.5")</f>
        <v>N/A</v>
      </c>
      <c r="P162" t="str">
        <f>RTD("tos.rtd", , "VEGA", ".EWY201120C71.5")</f>
        <v>N/A</v>
      </c>
      <c r="Q162" t="str">
        <f>RTD("tos.rtd", , "RHO", ".EWY201120C71.5")</f>
        <v>N/A</v>
      </c>
      <c r="R162" t="str">
        <f>RTD("tos.rtd", , "INTRINSIC", ".EWY201120C71.5")</f>
        <v>N/A</v>
      </c>
      <c r="S162" t="str">
        <f>RTD("tos.rtd", , "EXTRINSIC", ".EWY201120C71.5")</f>
        <v>N/A</v>
      </c>
      <c r="T162" t="str">
        <f>RTD("tos.rtd", , "PROB_OF_EXPIRING", ".EWY201120C71.5")</f>
        <v>N/A</v>
      </c>
      <c r="U162" t="str">
        <f>RTD("tos.rtd", , "PROB_OTM", ".EWY201120C71.5")</f>
        <v>N/A</v>
      </c>
      <c r="V162" t="str">
        <f>RTD("tos.rtd", , "PROB_OF_TOUCHING", ".EWY201120C71.5")</f>
        <v>N/A</v>
      </c>
      <c r="W162" t="str">
        <f>RTD("tos.rtd", , "STRIKE", ".EWY201120C71.5")</f>
        <v>N/A</v>
      </c>
    </row>
    <row r="163" spans="1:23" x14ac:dyDescent="0.45">
      <c r="A163" t="s">
        <v>184</v>
      </c>
      <c r="B163" t="str">
        <f>RTD("tos.rtd", , "DESCRIPTION", ".EWY201120P71.5")</f>
        <v>N/A</v>
      </c>
      <c r="C163" t="str">
        <f>RTD("tos.rtd", , "PUT_CALL_RATIO", ".EWY201120P71.5")</f>
        <v>N/A</v>
      </c>
      <c r="D163" t="str">
        <f>RTD("tos.rtd", , "IMPL_VOL", ".EWY201120P71.5")</f>
        <v>N/A</v>
      </c>
      <c r="E163">
        <f>RTD("tos.rtd", , "LAST", ".EWY201120P71.5")</f>
        <v>0.92</v>
      </c>
      <c r="F163">
        <f>RTD("tos.rtd", , "VOLUME", ".EWY201120P71.5")</f>
        <v>5</v>
      </c>
      <c r="G163">
        <f>RTD("tos.rtd", , "OPEN_INT", ".EWY201120P71.5")</f>
        <v>5</v>
      </c>
      <c r="H163">
        <f>RTD("tos.rtd", , "BID", ".EWY201120P71.5")</f>
        <v>0.86</v>
      </c>
      <c r="I163">
        <f>RTD("tos.rtd", , "ASK", ".EWY201120P71.5")</f>
        <v>1.03</v>
      </c>
      <c r="J163">
        <f>RTD("tos.rtd", , "HIGH", ".EWY201120P71.5")</f>
        <v>1.05</v>
      </c>
      <c r="K163">
        <f>RTD("tos.rtd", , "LOW", ".EWY201120P71.5")</f>
        <v>0.66</v>
      </c>
      <c r="L163">
        <f>RTD("tos.rtd", , "OPEN", ".EWY201120P71.5")</f>
        <v>0.66</v>
      </c>
      <c r="M163" t="str">
        <f>RTD("tos.rtd", , "DELTA", ".EWY201120P71.5")</f>
        <v>N/A</v>
      </c>
      <c r="N163" t="str">
        <f>RTD("tos.rtd", , "GAMMA", ".EWY201120P71.5")</f>
        <v>N/A</v>
      </c>
      <c r="O163" t="str">
        <f>RTD("tos.rtd", , "THETA", ".EWY201120P71.5")</f>
        <v>N/A</v>
      </c>
      <c r="P163" t="str">
        <f>RTD("tos.rtd", , "VEGA", ".EWY201120P71.5")</f>
        <v>N/A</v>
      </c>
      <c r="Q163" t="str">
        <f>RTD("tos.rtd", , "RHO", ".EWY201120P71.5")</f>
        <v>N/A</v>
      </c>
      <c r="R163" t="str">
        <f>RTD("tos.rtd", , "INTRINSIC", ".EWY201120P71.5")</f>
        <v>N/A</v>
      </c>
      <c r="S163" t="str">
        <f>RTD("tos.rtd", , "EXTRINSIC", ".EWY201120P71.5")</f>
        <v>N/A</v>
      </c>
      <c r="T163" t="str">
        <f>RTD("tos.rtd", , "PROB_OF_EXPIRING", ".EWY201120P71.5")</f>
        <v>N/A</v>
      </c>
      <c r="U163" t="str">
        <f>RTD("tos.rtd", , "PROB_OTM", ".EWY201120P71.5")</f>
        <v>N/A</v>
      </c>
      <c r="V163" t="str">
        <f>RTD("tos.rtd", , "PROB_OF_TOUCHING", ".EWY201120P71.5")</f>
        <v>N/A</v>
      </c>
      <c r="W163" t="str">
        <f>RTD("tos.rtd", , "STRIKE", ".EWY201120P71.5")</f>
        <v>N/A</v>
      </c>
    </row>
    <row r="164" spans="1:23" x14ac:dyDescent="0.45">
      <c r="A164" t="s">
        <v>185</v>
      </c>
      <c r="B164" t="str">
        <f>RTD("tos.rtd", , "DESCRIPTION", ".EWY201120C72")</f>
        <v>N/A</v>
      </c>
      <c r="C164" t="str">
        <f>RTD("tos.rtd", , "PUT_CALL_RATIO", ".EWY201120C72")</f>
        <v>N/A</v>
      </c>
      <c r="D164" t="str">
        <f>RTD("tos.rtd", , "IMPL_VOL", ".EWY201120C72")</f>
        <v>N/A</v>
      </c>
      <c r="E164" t="str">
        <f>RTD("tos.rtd", , "LAST", ".EWY201120C72")</f>
        <v>N/A</v>
      </c>
      <c r="F164" t="str">
        <f>RTD("tos.rtd", , "VOLUME", ".EWY201120C72")</f>
        <v>N/A</v>
      </c>
      <c r="G164" t="str">
        <f>RTD("tos.rtd", , "OPEN_INT", ".EWY201120C72")</f>
        <v>N/A</v>
      </c>
      <c r="H164" t="str">
        <f>RTD("tos.rtd", , "BID", ".EWY201120C72")</f>
        <v>N/A</v>
      </c>
      <c r="I164" t="str">
        <f>RTD("tos.rtd", , "ASK", ".EWY201120C72")</f>
        <v>N/A</v>
      </c>
      <c r="J164" t="str">
        <f>RTD("tos.rtd", , "HIGH", ".EWY201120C72")</f>
        <v>N/A</v>
      </c>
      <c r="K164" t="str">
        <f>RTD("tos.rtd", , "LOW", ".EWY201120C72")</f>
        <v>N/A</v>
      </c>
      <c r="L164" t="str">
        <f>RTD("tos.rtd", , "OPEN", ".EWY201120C72")</f>
        <v>N/A</v>
      </c>
      <c r="M164" t="str">
        <f>RTD("tos.rtd", , "DELTA", ".EWY201120C72")</f>
        <v>N/A</v>
      </c>
      <c r="N164" t="str">
        <f>RTD("tos.rtd", , "GAMMA", ".EWY201120C72")</f>
        <v>N/A</v>
      </c>
      <c r="O164" t="str">
        <f>RTD("tos.rtd", , "THETA", ".EWY201120C72")</f>
        <v>N/A</v>
      </c>
      <c r="P164" t="str">
        <f>RTD("tos.rtd", , "VEGA", ".EWY201120C72")</f>
        <v>N/A</v>
      </c>
      <c r="Q164" t="str">
        <f>RTD("tos.rtd", , "RHO", ".EWY201120C72")</f>
        <v>N/A</v>
      </c>
      <c r="R164" t="str">
        <f>RTD("tos.rtd", , "INTRINSIC", ".EWY201120C72")</f>
        <v>N/A</v>
      </c>
      <c r="S164" t="str">
        <f>RTD("tos.rtd", , "EXTRINSIC", ".EWY201120C72")</f>
        <v>N/A</v>
      </c>
      <c r="T164" t="str">
        <f>RTD("tos.rtd", , "PROB_OF_EXPIRING", ".EWY201120C72")</f>
        <v>N/A</v>
      </c>
      <c r="U164" t="str">
        <f>RTD("tos.rtd", , "PROB_OTM", ".EWY201120C72")</f>
        <v>N/A</v>
      </c>
      <c r="V164" t="str">
        <f>RTD("tos.rtd", , "PROB_OF_TOUCHING", ".EWY201120C72")</f>
        <v>N/A</v>
      </c>
      <c r="W164" t="str">
        <f>RTD("tos.rtd", , "STRIKE", ".EWY201120C72")</f>
        <v>N/A</v>
      </c>
    </row>
    <row r="165" spans="1:23" x14ac:dyDescent="0.45">
      <c r="A165" t="s">
        <v>186</v>
      </c>
      <c r="B165" t="str">
        <f>RTD("tos.rtd", , "DESCRIPTION", ".EWY201120P72")</f>
        <v>N/A</v>
      </c>
      <c r="C165" t="str">
        <f>RTD("tos.rtd", , "PUT_CALL_RATIO", ".EWY201120P72")</f>
        <v>N/A</v>
      </c>
      <c r="D165" t="str">
        <f>RTD("tos.rtd", , "IMPL_VOL", ".EWY201120P72")</f>
        <v>N/A</v>
      </c>
      <c r="E165" t="str">
        <f>RTD("tos.rtd", , "LAST", ".EWY201120P72")</f>
        <v>N/A</v>
      </c>
      <c r="F165" t="str">
        <f>RTD("tos.rtd", , "VOLUME", ".EWY201120P72")</f>
        <v>N/A</v>
      </c>
      <c r="G165" t="str">
        <f>RTD("tos.rtd", , "OPEN_INT", ".EWY201120P72")</f>
        <v>N/A</v>
      </c>
      <c r="H165" t="str">
        <f>RTD("tos.rtd", , "BID", ".EWY201120P72")</f>
        <v>N/A</v>
      </c>
      <c r="I165" t="str">
        <f>RTD("tos.rtd", , "ASK", ".EWY201120P72")</f>
        <v>N/A</v>
      </c>
      <c r="J165" t="str">
        <f>RTD("tos.rtd", , "HIGH", ".EWY201120P72")</f>
        <v>N/A</v>
      </c>
      <c r="K165" t="str">
        <f>RTD("tos.rtd", , "LOW", ".EWY201120P72")</f>
        <v>N/A</v>
      </c>
      <c r="L165" t="str">
        <f>RTD("tos.rtd", , "OPEN", ".EWY201120P72")</f>
        <v>N/A</v>
      </c>
      <c r="M165" t="str">
        <f>RTD("tos.rtd", , "DELTA", ".EWY201120P72")</f>
        <v>N/A</v>
      </c>
      <c r="N165" t="str">
        <f>RTD("tos.rtd", , "GAMMA", ".EWY201120P72")</f>
        <v>N/A</v>
      </c>
      <c r="O165" t="str">
        <f>RTD("tos.rtd", , "THETA", ".EWY201120P72")</f>
        <v>N/A</v>
      </c>
      <c r="P165" t="str">
        <f>RTD("tos.rtd", , "VEGA", ".EWY201120P72")</f>
        <v>N/A</v>
      </c>
      <c r="Q165" t="str">
        <f>RTD("tos.rtd", , "RHO", ".EWY201120P72")</f>
        <v>N/A</v>
      </c>
      <c r="R165" t="str">
        <f>RTD("tos.rtd", , "INTRINSIC", ".EWY201120P72")</f>
        <v>N/A</v>
      </c>
      <c r="S165" t="str">
        <f>RTD("tos.rtd", , "EXTRINSIC", ".EWY201120P72")</f>
        <v>N/A</v>
      </c>
      <c r="T165" t="str">
        <f>RTD("tos.rtd", , "PROB_OF_EXPIRING", ".EWY201120P72")</f>
        <v>N/A</v>
      </c>
      <c r="U165" t="str">
        <f>RTD("tos.rtd", , "PROB_OTM", ".EWY201120P72")</f>
        <v>N/A</v>
      </c>
      <c r="V165" t="str">
        <f>RTD("tos.rtd", , "PROB_OF_TOUCHING", ".EWY201120P72")</f>
        <v>N/A</v>
      </c>
      <c r="W165" t="str">
        <f>RTD("tos.rtd", , "STRIKE", ".EWY201120P72")</f>
        <v>N/A</v>
      </c>
    </row>
    <row r="166" spans="1:23" x14ac:dyDescent="0.45">
      <c r="A166" t="s">
        <v>187</v>
      </c>
      <c r="B166" t="str">
        <f>RTD("tos.rtd", , "DESCRIPTION", ".EWY201120C72.5")</f>
        <v>N/A</v>
      </c>
      <c r="C166" t="str">
        <f>RTD("tos.rtd", , "PUT_CALL_RATIO", ".EWY201120C72.5")</f>
        <v>N/A</v>
      </c>
      <c r="D166" t="str">
        <f>RTD("tos.rtd", , "IMPL_VOL", ".EWY201120C72.5")</f>
        <v>N/A</v>
      </c>
      <c r="E166" t="str">
        <f>RTD("tos.rtd", , "LAST", ".EWY201120C72.5")</f>
        <v>N/A</v>
      </c>
      <c r="F166" t="str">
        <f>RTD("tos.rtd", , "VOLUME", ".EWY201120C72.5")</f>
        <v>N/A</v>
      </c>
      <c r="G166" t="str">
        <f>RTD("tos.rtd", , "OPEN_INT", ".EWY201120C72.5")</f>
        <v>N/A</v>
      </c>
      <c r="H166" t="str">
        <f>RTD("tos.rtd", , "BID", ".EWY201120C72.5")</f>
        <v>N/A</v>
      </c>
      <c r="I166" t="str">
        <f>RTD("tos.rtd", , "ASK", ".EWY201120C72.5")</f>
        <v>N/A</v>
      </c>
      <c r="J166" t="str">
        <f>RTD("tos.rtd", , "HIGH", ".EWY201120C72.5")</f>
        <v>N/A</v>
      </c>
      <c r="K166" t="str">
        <f>RTD("tos.rtd", , "LOW", ".EWY201120C72.5")</f>
        <v>N/A</v>
      </c>
      <c r="L166" t="str">
        <f>RTD("tos.rtd", , "OPEN", ".EWY201120C72.5")</f>
        <v>N/A</v>
      </c>
      <c r="M166" t="str">
        <f>RTD("tos.rtd", , "DELTA", ".EWY201120C72.5")</f>
        <v>N/A</v>
      </c>
      <c r="N166" t="str">
        <f>RTD("tos.rtd", , "GAMMA", ".EWY201120C72.5")</f>
        <v>N/A</v>
      </c>
      <c r="O166" t="str">
        <f>RTD("tos.rtd", , "THETA", ".EWY201120C72.5")</f>
        <v>N/A</v>
      </c>
      <c r="P166" t="str">
        <f>RTD("tos.rtd", , "VEGA", ".EWY201120C72.5")</f>
        <v>N/A</v>
      </c>
      <c r="Q166" t="str">
        <f>RTD("tos.rtd", , "RHO", ".EWY201120C72.5")</f>
        <v>N/A</v>
      </c>
      <c r="R166" t="str">
        <f>RTD("tos.rtd", , "INTRINSIC", ".EWY201120C72.5")</f>
        <v>N/A</v>
      </c>
      <c r="S166" t="str">
        <f>RTD("tos.rtd", , "EXTRINSIC", ".EWY201120C72.5")</f>
        <v>N/A</v>
      </c>
      <c r="T166" t="str">
        <f>RTD("tos.rtd", , "PROB_OF_EXPIRING", ".EWY201120C72.5")</f>
        <v>N/A</v>
      </c>
      <c r="U166" t="str">
        <f>RTD("tos.rtd", , "PROB_OTM", ".EWY201120C72.5")</f>
        <v>N/A</v>
      </c>
      <c r="V166" t="str">
        <f>RTD("tos.rtd", , "PROB_OF_TOUCHING", ".EWY201120C72.5")</f>
        <v>N/A</v>
      </c>
      <c r="W166" t="str">
        <f>RTD("tos.rtd", , "STRIKE", ".EWY201120C72.5")</f>
        <v>N/A</v>
      </c>
    </row>
    <row r="167" spans="1:23" x14ac:dyDescent="0.45">
      <c r="A167" t="s">
        <v>188</v>
      </c>
      <c r="B167" t="str">
        <f>RTD("tos.rtd", , "DESCRIPTION", ".EWY201120P72.5")</f>
        <v>N/A</v>
      </c>
      <c r="C167" t="str">
        <f>RTD("tos.rtd", , "PUT_CALL_RATIO", ".EWY201120P72.5")</f>
        <v>N/A</v>
      </c>
      <c r="D167" t="str">
        <f>RTD("tos.rtd", , "IMPL_VOL", ".EWY201120P72.5")</f>
        <v>N/A</v>
      </c>
      <c r="E167" t="str">
        <f>RTD("tos.rtd", , "LAST", ".EWY201120P72.5")</f>
        <v>N/A</v>
      </c>
      <c r="F167" t="str">
        <f>RTD("tos.rtd", , "VOLUME", ".EWY201120P72.5")</f>
        <v>N/A</v>
      </c>
      <c r="G167" t="str">
        <f>RTD("tos.rtd", , "OPEN_INT", ".EWY201120P72.5")</f>
        <v>N/A</v>
      </c>
      <c r="H167" t="str">
        <f>RTD("tos.rtd", , "BID", ".EWY201120P72.5")</f>
        <v>N/A</v>
      </c>
      <c r="I167" t="str">
        <f>RTD("tos.rtd", , "ASK", ".EWY201120P72.5")</f>
        <v>N/A</v>
      </c>
      <c r="J167" t="str">
        <f>RTD("tos.rtd", , "HIGH", ".EWY201120P72.5")</f>
        <v>N/A</v>
      </c>
      <c r="K167" t="str">
        <f>RTD("tos.rtd", , "LOW", ".EWY201120P72.5")</f>
        <v>N/A</v>
      </c>
      <c r="L167" t="str">
        <f>RTD("tos.rtd", , "OPEN", ".EWY201120P72.5")</f>
        <v>N/A</v>
      </c>
      <c r="M167" t="str">
        <f>RTD("tos.rtd", , "DELTA", ".EWY201120P72.5")</f>
        <v>N/A</v>
      </c>
      <c r="N167" t="str">
        <f>RTD("tos.rtd", , "GAMMA", ".EWY201120P72.5")</f>
        <v>N/A</v>
      </c>
      <c r="O167" t="str">
        <f>RTD("tos.rtd", , "THETA", ".EWY201120P72.5")</f>
        <v>N/A</v>
      </c>
      <c r="P167" t="str">
        <f>RTD("tos.rtd", , "VEGA", ".EWY201120P72.5")</f>
        <v>N/A</v>
      </c>
      <c r="Q167" t="str">
        <f>RTD("tos.rtd", , "RHO", ".EWY201120P72.5")</f>
        <v>N/A</v>
      </c>
      <c r="R167" t="str">
        <f>RTD("tos.rtd", , "INTRINSIC", ".EWY201120P72.5")</f>
        <v>N/A</v>
      </c>
      <c r="S167" t="str">
        <f>RTD("tos.rtd", , "EXTRINSIC", ".EWY201120P72.5")</f>
        <v>N/A</v>
      </c>
      <c r="T167" t="str">
        <f>RTD("tos.rtd", , "PROB_OF_EXPIRING", ".EWY201120P72.5")</f>
        <v>N/A</v>
      </c>
      <c r="U167" t="str">
        <f>RTD("tos.rtd", , "PROB_OTM", ".EWY201120P72.5")</f>
        <v>N/A</v>
      </c>
      <c r="V167" t="str">
        <f>RTD("tos.rtd", , "PROB_OF_TOUCHING", ".EWY201120P72.5")</f>
        <v>N/A</v>
      </c>
      <c r="W167" t="str">
        <f>RTD("tos.rtd", , "STRIKE", ".EWY201120P72.5")</f>
        <v>N/A</v>
      </c>
    </row>
    <row r="168" spans="1:23" x14ac:dyDescent="0.45">
      <c r="A168" t="s">
        <v>189</v>
      </c>
      <c r="B168" t="str">
        <f>RTD("tos.rtd", , "DESCRIPTION", ".EWY201120C73")</f>
        <v>N/A</v>
      </c>
      <c r="C168" t="str">
        <f>RTD("tos.rtd", , "PUT_CALL_RATIO", ".EWY201120C73")</f>
        <v>N/A</v>
      </c>
      <c r="D168" t="str">
        <f>RTD("tos.rtd", , "IMPL_VOL", ".EWY201120C73")</f>
        <v>N/A</v>
      </c>
      <c r="E168" t="str">
        <f>RTD("tos.rtd", , "LAST", ".EWY201120C73")</f>
        <v>N/A</v>
      </c>
      <c r="F168" t="str">
        <f>RTD("tos.rtd", , "VOLUME", ".EWY201120C73")</f>
        <v>N/A</v>
      </c>
      <c r="G168" t="str">
        <f>RTD("tos.rtd", , "OPEN_INT", ".EWY201120C73")</f>
        <v>N/A</v>
      </c>
      <c r="H168" t="str">
        <f>RTD("tos.rtd", , "BID", ".EWY201120C73")</f>
        <v>N/A</v>
      </c>
      <c r="I168" t="str">
        <f>RTD("tos.rtd", , "ASK", ".EWY201120C73")</f>
        <v>N/A</v>
      </c>
      <c r="J168" t="str">
        <f>RTD("tos.rtd", , "HIGH", ".EWY201120C73")</f>
        <v>N/A</v>
      </c>
      <c r="K168" t="str">
        <f>RTD("tos.rtd", , "LOW", ".EWY201120C73")</f>
        <v>N/A</v>
      </c>
      <c r="L168" t="str">
        <f>RTD("tos.rtd", , "OPEN", ".EWY201120C73")</f>
        <v>N/A</v>
      </c>
      <c r="M168" t="str">
        <f>RTD("tos.rtd", , "DELTA", ".EWY201120C73")</f>
        <v>N/A</v>
      </c>
      <c r="N168" t="str">
        <f>RTD("tos.rtd", , "GAMMA", ".EWY201120C73")</f>
        <v>N/A</v>
      </c>
      <c r="O168" t="str">
        <f>RTD("tos.rtd", , "THETA", ".EWY201120C73")</f>
        <v>N/A</v>
      </c>
      <c r="P168" t="str">
        <f>RTD("tos.rtd", , "VEGA", ".EWY201120C73")</f>
        <v>N/A</v>
      </c>
      <c r="Q168" t="str">
        <f>RTD("tos.rtd", , "RHO", ".EWY201120C73")</f>
        <v>N/A</v>
      </c>
      <c r="R168" t="str">
        <f>RTD("tos.rtd", , "INTRINSIC", ".EWY201120C73")</f>
        <v>N/A</v>
      </c>
      <c r="S168" t="str">
        <f>RTD("tos.rtd", , "EXTRINSIC", ".EWY201120C73")</f>
        <v>N/A</v>
      </c>
      <c r="T168" t="str">
        <f>RTD("tos.rtd", , "PROB_OF_EXPIRING", ".EWY201120C73")</f>
        <v>N/A</v>
      </c>
      <c r="U168" t="str">
        <f>RTD("tos.rtd", , "PROB_OTM", ".EWY201120C73")</f>
        <v>N/A</v>
      </c>
      <c r="V168" t="str">
        <f>RTD("tos.rtd", , "PROB_OF_TOUCHING", ".EWY201120C73")</f>
        <v>N/A</v>
      </c>
      <c r="W168" t="str">
        <f>RTD("tos.rtd", , "STRIKE", ".EWY201120C73")</f>
        <v>N/A</v>
      </c>
    </row>
    <row r="169" spans="1:23" x14ac:dyDescent="0.45">
      <c r="A169" t="s">
        <v>190</v>
      </c>
      <c r="B169" t="str">
        <f>RTD("tos.rtd", , "DESCRIPTION", ".EWY201120P73")</f>
        <v>N/A</v>
      </c>
      <c r="C169" t="str">
        <f>RTD("tos.rtd", , "PUT_CALL_RATIO", ".EWY201120P73")</f>
        <v>N/A</v>
      </c>
      <c r="D169" t="str">
        <f>RTD("tos.rtd", , "IMPL_VOL", ".EWY201120P73")</f>
        <v>N/A</v>
      </c>
      <c r="E169" t="str">
        <f>RTD("tos.rtd", , "LAST", ".EWY201120P73")</f>
        <v>N/A</v>
      </c>
      <c r="F169" t="str">
        <f>RTD("tos.rtd", , "VOLUME", ".EWY201120P73")</f>
        <v>N/A</v>
      </c>
      <c r="G169" t="str">
        <f>RTD("tos.rtd", , "OPEN_INT", ".EWY201120P73")</f>
        <v>N/A</v>
      </c>
      <c r="H169" t="str">
        <f>RTD("tos.rtd", , "BID", ".EWY201120P73")</f>
        <v>N/A</v>
      </c>
      <c r="I169" t="str">
        <f>RTD("tos.rtd", , "ASK", ".EWY201120P73")</f>
        <v>N/A</v>
      </c>
      <c r="J169" t="str">
        <f>RTD("tos.rtd", , "HIGH", ".EWY201120P73")</f>
        <v>N/A</v>
      </c>
      <c r="K169" t="str">
        <f>RTD("tos.rtd", , "LOW", ".EWY201120P73")</f>
        <v>N/A</v>
      </c>
      <c r="L169" t="str">
        <f>RTD("tos.rtd", , "OPEN", ".EWY201120P73")</f>
        <v>N/A</v>
      </c>
      <c r="M169" t="str">
        <f>RTD("tos.rtd", , "DELTA", ".EWY201120P73")</f>
        <v>N/A</v>
      </c>
      <c r="N169" t="str">
        <f>RTD("tos.rtd", , "GAMMA", ".EWY201120P73")</f>
        <v>N/A</v>
      </c>
      <c r="O169" t="str">
        <f>RTD("tos.rtd", , "THETA", ".EWY201120P73")</f>
        <v>N/A</v>
      </c>
      <c r="P169" t="str">
        <f>RTD("tos.rtd", , "VEGA", ".EWY201120P73")</f>
        <v>N/A</v>
      </c>
      <c r="Q169" t="str">
        <f>RTD("tos.rtd", , "RHO", ".EWY201120P73")</f>
        <v>N/A</v>
      </c>
      <c r="R169" t="str">
        <f>RTD("tos.rtd", , "INTRINSIC", ".EWY201120P73")</f>
        <v>N/A</v>
      </c>
      <c r="S169" t="str">
        <f>RTD("tos.rtd", , "EXTRINSIC", ".EWY201120P73")</f>
        <v>N/A</v>
      </c>
      <c r="T169" t="str">
        <f>RTD("tos.rtd", , "PROB_OF_EXPIRING", ".EWY201120P73")</f>
        <v>N/A</v>
      </c>
      <c r="U169" t="str">
        <f>RTD("tos.rtd", , "PROB_OTM", ".EWY201120P73")</f>
        <v>N/A</v>
      </c>
      <c r="V169" t="str">
        <f>RTD("tos.rtd", , "PROB_OF_TOUCHING", ".EWY201120P73")</f>
        <v>N/A</v>
      </c>
      <c r="W169" t="str">
        <f>RTD("tos.rtd", , "STRIKE", ".EWY201120P73")</f>
        <v>N/A</v>
      </c>
    </row>
    <row r="170" spans="1:23" x14ac:dyDescent="0.45">
      <c r="A170" t="s">
        <v>191</v>
      </c>
      <c r="B170" t="str">
        <f>RTD("tos.rtd", , "DESCRIPTION", ".EWY201120C73.5")</f>
        <v>N/A</v>
      </c>
      <c r="C170" t="str">
        <f>RTD("tos.rtd", , "PUT_CALL_RATIO", ".EWY201120C73.5")</f>
        <v>N/A</v>
      </c>
      <c r="D170" t="str">
        <f>RTD("tos.rtd", , "IMPL_VOL", ".EWY201120C73.5")</f>
        <v>N/A</v>
      </c>
      <c r="E170" t="str">
        <f>RTD("tos.rtd", , "LAST", ".EWY201120C73.5")</f>
        <v>N/A</v>
      </c>
      <c r="F170" t="str">
        <f>RTD("tos.rtd", , "VOLUME", ".EWY201120C73.5")</f>
        <v>N/A</v>
      </c>
      <c r="G170" t="str">
        <f>RTD("tos.rtd", , "OPEN_INT", ".EWY201120C73.5")</f>
        <v>N/A</v>
      </c>
      <c r="H170" t="str">
        <f>RTD("tos.rtd", , "BID", ".EWY201120C73.5")</f>
        <v>N/A</v>
      </c>
      <c r="I170" t="str">
        <f>RTD("tos.rtd", , "ASK", ".EWY201120C73.5")</f>
        <v>N/A</v>
      </c>
      <c r="J170" t="str">
        <f>RTD("tos.rtd", , "HIGH", ".EWY201120C73.5")</f>
        <v>N/A</v>
      </c>
      <c r="K170" t="str">
        <f>RTD("tos.rtd", , "LOW", ".EWY201120C73.5")</f>
        <v>N/A</v>
      </c>
      <c r="L170" t="str">
        <f>RTD("tos.rtd", , "OPEN", ".EWY201120C73.5")</f>
        <v>N/A</v>
      </c>
      <c r="M170" t="str">
        <f>RTD("tos.rtd", , "DELTA", ".EWY201120C73.5")</f>
        <v>N/A</v>
      </c>
      <c r="N170" t="str">
        <f>RTD("tos.rtd", , "GAMMA", ".EWY201120C73.5")</f>
        <v>N/A</v>
      </c>
      <c r="O170" t="str">
        <f>RTD("tos.rtd", , "THETA", ".EWY201120C73.5")</f>
        <v>N/A</v>
      </c>
      <c r="P170" t="str">
        <f>RTD("tos.rtd", , "VEGA", ".EWY201120C73.5")</f>
        <v>N/A</v>
      </c>
      <c r="Q170" t="str">
        <f>RTD("tos.rtd", , "RHO", ".EWY201120C73.5")</f>
        <v>N/A</v>
      </c>
      <c r="R170" t="str">
        <f>RTD("tos.rtd", , "INTRINSIC", ".EWY201120C73.5")</f>
        <v>N/A</v>
      </c>
      <c r="S170" t="str">
        <f>RTD("tos.rtd", , "EXTRINSIC", ".EWY201120C73.5")</f>
        <v>N/A</v>
      </c>
      <c r="T170" t="str">
        <f>RTD("tos.rtd", , "PROB_OF_EXPIRING", ".EWY201120C73.5")</f>
        <v>N/A</v>
      </c>
      <c r="U170" t="str">
        <f>RTD("tos.rtd", , "PROB_OTM", ".EWY201120C73.5")</f>
        <v>N/A</v>
      </c>
      <c r="V170" t="str">
        <f>RTD("tos.rtd", , "PROB_OF_TOUCHING", ".EWY201120C73.5")</f>
        <v>N/A</v>
      </c>
      <c r="W170" t="str">
        <f>RTD("tos.rtd", , "STRIKE", ".EWY201120C73.5")</f>
        <v>N/A</v>
      </c>
    </row>
    <row r="171" spans="1:23" x14ac:dyDescent="0.45">
      <c r="A171" t="s">
        <v>192</v>
      </c>
      <c r="B171" t="str">
        <f>RTD("tos.rtd", , "DESCRIPTION", ".EWY201120P73.5")</f>
        <v>N/A</v>
      </c>
      <c r="C171" t="str">
        <f>RTD("tos.rtd", , "PUT_CALL_RATIO", ".EWY201120P73.5")</f>
        <v>N/A</v>
      </c>
      <c r="D171" t="str">
        <f>RTD("tos.rtd", , "IMPL_VOL", ".EWY201120P73.5")</f>
        <v>N/A</v>
      </c>
      <c r="E171" t="str">
        <f>RTD("tos.rtd", , "LAST", ".EWY201120P73.5")</f>
        <v>N/A</v>
      </c>
      <c r="F171" t="str">
        <f>RTD("tos.rtd", , "VOLUME", ".EWY201120P73.5")</f>
        <v>N/A</v>
      </c>
      <c r="G171" t="str">
        <f>RTD("tos.rtd", , "OPEN_INT", ".EWY201120P73.5")</f>
        <v>N/A</v>
      </c>
      <c r="H171" t="str">
        <f>RTD("tos.rtd", , "BID", ".EWY201120P73.5")</f>
        <v>N/A</v>
      </c>
      <c r="I171" t="str">
        <f>RTD("tos.rtd", , "ASK", ".EWY201120P73.5")</f>
        <v>N/A</v>
      </c>
      <c r="J171" t="str">
        <f>RTD("tos.rtd", , "HIGH", ".EWY201120P73.5")</f>
        <v>N/A</v>
      </c>
      <c r="K171" t="str">
        <f>RTD("tos.rtd", , "LOW", ".EWY201120P73.5")</f>
        <v>N/A</v>
      </c>
      <c r="L171" t="str">
        <f>RTD("tos.rtd", , "OPEN", ".EWY201120P73.5")</f>
        <v>N/A</v>
      </c>
      <c r="M171" t="str">
        <f>RTD("tos.rtd", , "DELTA", ".EWY201120P73.5")</f>
        <v>N/A</v>
      </c>
      <c r="N171" t="str">
        <f>RTD("tos.rtd", , "GAMMA", ".EWY201120P73.5")</f>
        <v>N/A</v>
      </c>
      <c r="O171" t="str">
        <f>RTD("tos.rtd", , "THETA", ".EWY201120P73.5")</f>
        <v>N/A</v>
      </c>
      <c r="P171" t="str">
        <f>RTD("tos.rtd", , "VEGA", ".EWY201120P73.5")</f>
        <v>N/A</v>
      </c>
      <c r="Q171" t="str">
        <f>RTD("tos.rtd", , "RHO", ".EWY201120P73.5")</f>
        <v>N/A</v>
      </c>
      <c r="R171" t="str">
        <f>RTD("tos.rtd", , "INTRINSIC", ".EWY201120P73.5")</f>
        <v>N/A</v>
      </c>
      <c r="S171" t="str">
        <f>RTD("tos.rtd", , "EXTRINSIC", ".EWY201120P73.5")</f>
        <v>N/A</v>
      </c>
      <c r="T171" t="str">
        <f>RTD("tos.rtd", , "PROB_OF_EXPIRING", ".EWY201120P73.5")</f>
        <v>N/A</v>
      </c>
      <c r="U171" t="str">
        <f>RTD("tos.rtd", , "PROB_OTM", ".EWY201120P73.5")</f>
        <v>N/A</v>
      </c>
      <c r="V171" t="str">
        <f>RTD("tos.rtd", , "PROB_OF_TOUCHING", ".EWY201120P73.5")</f>
        <v>N/A</v>
      </c>
      <c r="W171" t="str">
        <f>RTD("tos.rtd", , "STRIKE", ".EWY201120P73.5")</f>
        <v>N/A</v>
      </c>
    </row>
    <row r="172" spans="1:23" x14ac:dyDescent="0.45">
      <c r="A172" t="s">
        <v>193</v>
      </c>
      <c r="B172" t="str">
        <f>RTD("tos.rtd", , "DESCRIPTION", "EWZ")</f>
        <v>N/A</v>
      </c>
      <c r="C172">
        <f>RTD("tos.rtd", , "PUT_CALL_RATIO", "EWZ")</f>
        <v>1.603</v>
      </c>
      <c r="D172" t="str">
        <f>RTD("tos.rtd", , "IMPL_VOL", "EWZ")</f>
        <v>45.84%</v>
      </c>
      <c r="E172">
        <f>RTD("tos.rtd", , "LAST", "EWZ")</f>
        <v>30.74</v>
      </c>
      <c r="F172">
        <f>RTD("tos.rtd", , "VOLUME", "EWZ")</f>
        <v>21657499</v>
      </c>
      <c r="G172">
        <f>RTD("tos.rtd", , "OPEN_INT", "EWZ")</f>
        <v>0</v>
      </c>
      <c r="H172">
        <f>RTD("tos.rtd", , "BID", "EWZ")</f>
        <v>30</v>
      </c>
      <c r="I172">
        <f>RTD("tos.rtd", , "ASK", "EWZ")</f>
        <v>31.51</v>
      </c>
      <c r="J172">
        <f>RTD("tos.rtd", , "HIGH", "EWZ")</f>
        <v>31.55</v>
      </c>
      <c r="K172">
        <f>RTD("tos.rtd", , "LOW", "EWZ")</f>
        <v>30.475000000000001</v>
      </c>
      <c r="L172">
        <f>RTD("tos.rtd", , "OPEN", "EWZ")</f>
        <v>31.54</v>
      </c>
      <c r="M172">
        <f>RTD("tos.rtd", , "DELTA", "EWZ")</f>
        <v>1</v>
      </c>
      <c r="N172">
        <f>RTD("tos.rtd", , "GAMMA", "EWZ")</f>
        <v>0</v>
      </c>
      <c r="O172">
        <f>RTD("tos.rtd", , "THETA", "EWZ")</f>
        <v>0</v>
      </c>
      <c r="P172">
        <f>RTD("tos.rtd", , "VEGA", "EWZ")</f>
        <v>0</v>
      </c>
      <c r="Q172">
        <f>RTD("tos.rtd", , "RHO", "EWZ")</f>
        <v>0</v>
      </c>
      <c r="R172" t="str">
        <f>RTD("tos.rtd", , "INTRINSIC", "EWZ")</f>
        <v>N/A</v>
      </c>
      <c r="S172" t="str">
        <f>RTD("tos.rtd", , "EXTRINSIC", "EWZ")</f>
        <v>N/A</v>
      </c>
      <c r="T172" t="str">
        <f>RTD("tos.rtd", , "PROB_OF_EXPIRING", "EWZ")</f>
        <v>N/A</v>
      </c>
      <c r="U172" t="str">
        <f>RTD("tos.rtd", , "PROB_OTM", "EWZ")</f>
        <v>N/A</v>
      </c>
      <c r="V172" t="str">
        <f>RTD("tos.rtd", , "PROB_OF_TOUCHING", "EWZ")</f>
        <v>N/A</v>
      </c>
      <c r="W172" t="str">
        <f>RTD("tos.rtd", , "STRIKE", "EWZ")</f>
        <v>N/A</v>
      </c>
    </row>
    <row r="173" spans="1:23" x14ac:dyDescent="0.45">
      <c r="A173" t="s">
        <v>194</v>
      </c>
      <c r="B173" t="str">
        <f>RTD("tos.rtd", , "DESCRIPTION", ".EWZ201120C31.5")</f>
        <v>N/A</v>
      </c>
      <c r="C173" t="str">
        <f>RTD("tos.rtd", , "PUT_CALL_RATIO", ".EWZ201120C31.5")</f>
        <v>N/A</v>
      </c>
      <c r="D173" t="str">
        <f>RTD("tos.rtd", , "IMPL_VOL", ".EWZ201120C31.5")</f>
        <v>N/A</v>
      </c>
      <c r="E173">
        <f>RTD("tos.rtd", , "LAST", ".EWZ201120C31.5")</f>
        <v>0.37</v>
      </c>
      <c r="F173">
        <f>RTD("tos.rtd", , "VOLUME", ".EWZ201120C31.5")</f>
        <v>2989</v>
      </c>
      <c r="G173">
        <f>RTD("tos.rtd", , "OPEN_INT", ".EWZ201120C31.5")</f>
        <v>12678</v>
      </c>
      <c r="H173">
        <f>RTD("tos.rtd", , "BID", ".EWZ201120C31.5")</f>
        <v>0.39</v>
      </c>
      <c r="I173">
        <f>RTD("tos.rtd", , "ASK", ".EWZ201120C31.5")</f>
        <v>0.43</v>
      </c>
      <c r="J173">
        <f>RTD("tos.rtd", , "HIGH", ".EWZ201120C31.5")</f>
        <v>0.69</v>
      </c>
      <c r="K173">
        <f>RTD("tos.rtd", , "LOW", ".EWZ201120C31.5")</f>
        <v>0.33</v>
      </c>
      <c r="L173">
        <f>RTD("tos.rtd", , "OPEN", ".EWZ201120C31.5")</f>
        <v>0.65</v>
      </c>
      <c r="M173" t="str">
        <f>RTD("tos.rtd", , "DELTA", ".EWZ201120C31.5")</f>
        <v>N/A</v>
      </c>
      <c r="N173" t="str">
        <f>RTD("tos.rtd", , "GAMMA", ".EWZ201120C31.5")</f>
        <v>N/A</v>
      </c>
      <c r="O173" t="str">
        <f>RTD("tos.rtd", , "THETA", ".EWZ201120C31.5")</f>
        <v>N/A</v>
      </c>
      <c r="P173" t="str">
        <f>RTD("tos.rtd", , "VEGA", ".EWZ201120C31.5")</f>
        <v>N/A</v>
      </c>
      <c r="Q173" t="str">
        <f>RTD("tos.rtd", , "RHO", ".EWZ201120C31.5")</f>
        <v>N/A</v>
      </c>
      <c r="R173" t="str">
        <f>RTD("tos.rtd", , "INTRINSIC", ".EWZ201120C31.5")</f>
        <v>N/A</v>
      </c>
      <c r="S173" t="str">
        <f>RTD("tos.rtd", , "EXTRINSIC", ".EWZ201120C31.5")</f>
        <v>N/A</v>
      </c>
      <c r="T173" t="str">
        <f>RTD("tos.rtd", , "PROB_OF_EXPIRING", ".EWZ201120C31.5")</f>
        <v>N/A</v>
      </c>
      <c r="U173" t="str">
        <f>RTD("tos.rtd", , "PROB_OTM", ".EWZ201120C31.5")</f>
        <v>N/A</v>
      </c>
      <c r="V173" t="str">
        <f>RTD("tos.rtd", , "PROB_OF_TOUCHING", ".EWZ201120C31.5")</f>
        <v>N/A</v>
      </c>
      <c r="W173" t="str">
        <f>RTD("tos.rtd", , "STRIKE", ".EWZ201120C31.5")</f>
        <v>N/A</v>
      </c>
    </row>
    <row r="174" spans="1:23" x14ac:dyDescent="0.45">
      <c r="A174" t="s">
        <v>195</v>
      </c>
      <c r="B174" t="str">
        <f>RTD("tos.rtd", , "DESCRIPTION", ".EWZ201120P31.5")</f>
        <v>N/A</v>
      </c>
      <c r="C174" t="str">
        <f>RTD("tos.rtd", , "PUT_CALL_RATIO", ".EWZ201120P31.5")</f>
        <v>N/A</v>
      </c>
      <c r="D174" t="str">
        <f>RTD("tos.rtd", , "IMPL_VOL", ".EWZ201120P31.5")</f>
        <v>N/A</v>
      </c>
      <c r="E174">
        <f>RTD("tos.rtd", , "LAST", ".EWZ201120P31.5")</f>
        <v>1.1000000000000001</v>
      </c>
      <c r="F174">
        <f>RTD("tos.rtd", , "VOLUME", ".EWZ201120P31.5")</f>
        <v>155</v>
      </c>
      <c r="G174">
        <f>RTD("tos.rtd", , "OPEN_INT", ".EWZ201120P31.5")</f>
        <v>714</v>
      </c>
      <c r="H174">
        <f>RTD("tos.rtd", , "BID", ".EWZ201120P31.5")</f>
        <v>1.1499999999999999</v>
      </c>
      <c r="I174">
        <f>RTD("tos.rtd", , "ASK", ".EWZ201120P31.5")</f>
        <v>1.2</v>
      </c>
      <c r="J174">
        <f>RTD("tos.rtd", , "HIGH", ".EWZ201120P31.5")</f>
        <v>1.1499999999999999</v>
      </c>
      <c r="K174">
        <f>RTD("tos.rtd", , "LOW", ".EWZ201120P31.5")</f>
        <v>0.7</v>
      </c>
      <c r="L174">
        <f>RTD("tos.rtd", , "OPEN", ".EWZ201120P31.5")</f>
        <v>0.78</v>
      </c>
      <c r="M174" t="str">
        <f>RTD("tos.rtd", , "DELTA", ".EWZ201120P31.5")</f>
        <v>N/A</v>
      </c>
      <c r="N174" t="str">
        <f>RTD("tos.rtd", , "GAMMA", ".EWZ201120P31.5")</f>
        <v>N/A</v>
      </c>
      <c r="O174" t="str">
        <f>RTD("tos.rtd", , "THETA", ".EWZ201120P31.5")</f>
        <v>N/A</v>
      </c>
      <c r="P174" t="str">
        <f>RTD("tos.rtd", , "VEGA", ".EWZ201120P31.5")</f>
        <v>N/A</v>
      </c>
      <c r="Q174" t="str">
        <f>RTD("tos.rtd", , "RHO", ".EWZ201120P31.5")</f>
        <v>N/A</v>
      </c>
      <c r="R174" t="str">
        <f>RTD("tos.rtd", , "INTRINSIC", ".EWZ201120P31.5")</f>
        <v>N/A</v>
      </c>
      <c r="S174" t="str">
        <f>RTD("tos.rtd", , "EXTRINSIC", ".EWZ201120P31.5")</f>
        <v>N/A</v>
      </c>
      <c r="T174" t="str">
        <f>RTD("tos.rtd", , "PROB_OF_EXPIRING", ".EWZ201120P31.5")</f>
        <v>N/A</v>
      </c>
      <c r="U174" t="str">
        <f>RTD("tos.rtd", , "PROB_OTM", ".EWZ201120P31.5")</f>
        <v>N/A</v>
      </c>
      <c r="V174" t="str">
        <f>RTD("tos.rtd", , "PROB_OF_TOUCHING", ".EWZ201120P31.5")</f>
        <v>N/A</v>
      </c>
      <c r="W174" t="str">
        <f>RTD("tos.rtd", , "STRIKE", ".EWZ201120P31.5")</f>
        <v>N/A</v>
      </c>
    </row>
    <row r="175" spans="1:23" x14ac:dyDescent="0.45">
      <c r="A175" t="s">
        <v>196</v>
      </c>
      <c r="B175" t="str">
        <f>RTD("tos.rtd", , "DESCRIPTION", ".EWZ201120C32")</f>
        <v>N/A</v>
      </c>
      <c r="C175" t="str">
        <f>RTD("tos.rtd", , "PUT_CALL_RATIO", ".EWZ201120C32")</f>
        <v>N/A</v>
      </c>
      <c r="D175" t="str">
        <f>RTD("tos.rtd", , "IMPL_VOL", ".EWZ201120C32")</f>
        <v>N/A</v>
      </c>
      <c r="E175">
        <f>RTD("tos.rtd", , "LAST", ".EWZ201120C32")</f>
        <v>0.25</v>
      </c>
      <c r="F175">
        <f>RTD("tos.rtd", , "VOLUME", ".EWZ201120C32")</f>
        <v>141</v>
      </c>
      <c r="G175">
        <f>RTD("tos.rtd", , "OPEN_INT", ".EWZ201120C32")</f>
        <v>14010</v>
      </c>
      <c r="H175">
        <f>RTD("tos.rtd", , "BID", ".EWZ201120C32")</f>
        <v>0.24</v>
      </c>
      <c r="I175">
        <f>RTD("tos.rtd", , "ASK", ".EWZ201120C32")</f>
        <v>0.28000000000000003</v>
      </c>
      <c r="J175">
        <f>RTD("tos.rtd", , "HIGH", ".EWZ201120C32")</f>
        <v>0.52</v>
      </c>
      <c r="K175">
        <f>RTD("tos.rtd", , "LOW", ".EWZ201120C32")</f>
        <v>0.21</v>
      </c>
      <c r="L175">
        <f>RTD("tos.rtd", , "OPEN", ".EWZ201120C32")</f>
        <v>0.52</v>
      </c>
      <c r="M175" t="str">
        <f>RTD("tos.rtd", , "DELTA", ".EWZ201120C32")</f>
        <v>N/A</v>
      </c>
      <c r="N175" t="str">
        <f>RTD("tos.rtd", , "GAMMA", ".EWZ201120C32")</f>
        <v>N/A</v>
      </c>
      <c r="O175" t="str">
        <f>RTD("tos.rtd", , "THETA", ".EWZ201120C32")</f>
        <v>N/A</v>
      </c>
      <c r="P175" t="str">
        <f>RTD("tos.rtd", , "VEGA", ".EWZ201120C32")</f>
        <v>N/A</v>
      </c>
      <c r="Q175" t="str">
        <f>RTD("tos.rtd", , "RHO", ".EWZ201120C32")</f>
        <v>N/A</v>
      </c>
      <c r="R175" t="str">
        <f>RTD("tos.rtd", , "INTRINSIC", ".EWZ201120C32")</f>
        <v>N/A</v>
      </c>
      <c r="S175" t="str">
        <f>RTD("tos.rtd", , "EXTRINSIC", ".EWZ201120C32")</f>
        <v>N/A</v>
      </c>
      <c r="T175" t="str">
        <f>RTD("tos.rtd", , "PROB_OF_EXPIRING", ".EWZ201120C32")</f>
        <v>N/A</v>
      </c>
      <c r="U175" t="str">
        <f>RTD("tos.rtd", , "PROB_OTM", ".EWZ201120C32")</f>
        <v>N/A</v>
      </c>
      <c r="V175" t="str">
        <f>RTD("tos.rtd", , "PROB_OF_TOUCHING", ".EWZ201120C32")</f>
        <v>N/A</v>
      </c>
      <c r="W175" t="str">
        <f>RTD("tos.rtd", , "STRIKE", ".EWZ201120C32")</f>
        <v>N/A</v>
      </c>
    </row>
    <row r="176" spans="1:23" x14ac:dyDescent="0.45">
      <c r="A176" t="s">
        <v>197</v>
      </c>
      <c r="B176" t="str">
        <f>RTD("tos.rtd", , "DESCRIPTION", ".EWZ201120P32")</f>
        <v>N/A</v>
      </c>
      <c r="C176" t="str">
        <f>RTD("tos.rtd", , "PUT_CALL_RATIO", ".EWZ201120P32")</f>
        <v>N/A</v>
      </c>
      <c r="D176" t="str">
        <f>RTD("tos.rtd", , "IMPL_VOL", ".EWZ201120P32")</f>
        <v>N/A</v>
      </c>
      <c r="E176">
        <f>RTD("tos.rtd", , "LAST", ".EWZ201120P32")</f>
        <v>1.6</v>
      </c>
      <c r="F176">
        <f>RTD("tos.rtd", , "VOLUME", ".EWZ201120P32")</f>
        <v>64</v>
      </c>
      <c r="G176">
        <f>RTD("tos.rtd", , "OPEN_INT", ".EWZ201120P32")</f>
        <v>1429</v>
      </c>
      <c r="H176">
        <f>RTD("tos.rtd", , "BID", ".EWZ201120P32")</f>
        <v>1.48</v>
      </c>
      <c r="I176">
        <f>RTD("tos.rtd", , "ASK", ".EWZ201120P32")</f>
        <v>1.55</v>
      </c>
      <c r="J176">
        <f>RTD("tos.rtd", , "HIGH", ".EWZ201120P32")</f>
        <v>1.69</v>
      </c>
      <c r="K176">
        <f>RTD("tos.rtd", , "LOW", ".EWZ201120P32")</f>
        <v>1.05</v>
      </c>
      <c r="L176">
        <f>RTD("tos.rtd", , "OPEN", ".EWZ201120P32")</f>
        <v>1.05</v>
      </c>
      <c r="M176" t="str">
        <f>RTD("tos.rtd", , "DELTA", ".EWZ201120P32")</f>
        <v>N/A</v>
      </c>
      <c r="N176" t="str">
        <f>RTD("tos.rtd", , "GAMMA", ".EWZ201120P32")</f>
        <v>N/A</v>
      </c>
      <c r="O176" t="str">
        <f>RTD("tos.rtd", , "THETA", ".EWZ201120P32")</f>
        <v>N/A</v>
      </c>
      <c r="P176" t="str">
        <f>RTD("tos.rtd", , "VEGA", ".EWZ201120P32")</f>
        <v>N/A</v>
      </c>
      <c r="Q176" t="str">
        <f>RTD("tos.rtd", , "RHO", ".EWZ201120P32")</f>
        <v>N/A</v>
      </c>
      <c r="R176" t="str">
        <f>RTD("tos.rtd", , "INTRINSIC", ".EWZ201120P32")</f>
        <v>N/A</v>
      </c>
      <c r="S176" t="str">
        <f>RTD("tos.rtd", , "EXTRINSIC", ".EWZ201120P32")</f>
        <v>N/A</v>
      </c>
      <c r="T176" t="str">
        <f>RTD("tos.rtd", , "PROB_OF_EXPIRING", ".EWZ201120P32")</f>
        <v>N/A</v>
      </c>
      <c r="U176" t="str">
        <f>RTD("tos.rtd", , "PROB_OTM", ".EWZ201120P32")</f>
        <v>N/A</v>
      </c>
      <c r="V176" t="str">
        <f>RTD("tos.rtd", , "PROB_OF_TOUCHING", ".EWZ201120P32")</f>
        <v>N/A</v>
      </c>
      <c r="W176" t="str">
        <f>RTD("tos.rtd", , "STRIKE", ".EWZ201120P32")</f>
        <v>N/A</v>
      </c>
    </row>
    <row r="177" spans="1:23" x14ac:dyDescent="0.45">
      <c r="A177" t="s">
        <v>198</v>
      </c>
      <c r="B177" t="str">
        <f>RTD("tos.rtd", , "DESCRIPTION", "EZU")</f>
        <v>N/A</v>
      </c>
      <c r="C177">
        <f>RTD("tos.rtd", , "PUT_CALL_RATIO", "EZU")</f>
        <v>0.182</v>
      </c>
      <c r="D177" t="str">
        <f>RTD("tos.rtd", , "IMPL_VOL", "EZU")</f>
        <v>27.60%</v>
      </c>
      <c r="E177">
        <f>RTD("tos.rtd", , "LAST", "EZU")</f>
        <v>41.23</v>
      </c>
      <c r="F177">
        <f>RTD("tos.rtd", , "VOLUME", "EZU")</f>
        <v>7479192</v>
      </c>
      <c r="G177">
        <f>RTD("tos.rtd", , "OPEN_INT", "EZU")</f>
        <v>0</v>
      </c>
      <c r="H177">
        <f>RTD("tos.rtd", , "BID", "EZU")</f>
        <v>33.85</v>
      </c>
      <c r="I177">
        <f>RTD("tos.rtd", , "ASK", "EZU")</f>
        <v>42</v>
      </c>
      <c r="J177">
        <f>RTD("tos.rtd", , "HIGH", "EZU")</f>
        <v>41.67</v>
      </c>
      <c r="K177">
        <f>RTD("tos.rtd", , "LOW", "EZU")</f>
        <v>41.115000000000002</v>
      </c>
      <c r="L177">
        <f>RTD("tos.rtd", , "OPEN", "EZU")</f>
        <v>41.5</v>
      </c>
      <c r="M177">
        <f>RTD("tos.rtd", , "DELTA", "EZU")</f>
        <v>1</v>
      </c>
      <c r="N177">
        <f>RTD("tos.rtd", , "GAMMA", "EZU")</f>
        <v>0</v>
      </c>
      <c r="O177">
        <f>RTD("tos.rtd", , "THETA", "EZU")</f>
        <v>0</v>
      </c>
      <c r="P177">
        <f>RTD("tos.rtd", , "VEGA", "EZU")</f>
        <v>0</v>
      </c>
      <c r="Q177">
        <f>RTD("tos.rtd", , "RHO", "EZU")</f>
        <v>0</v>
      </c>
      <c r="R177" t="str">
        <f>RTD("tos.rtd", , "INTRINSIC", "EZU")</f>
        <v>N/A</v>
      </c>
      <c r="S177" t="str">
        <f>RTD("tos.rtd", , "EXTRINSIC", "EZU")</f>
        <v>N/A</v>
      </c>
      <c r="T177" t="str">
        <f>RTD("tos.rtd", , "PROB_OF_EXPIRING", "EZU")</f>
        <v>N/A</v>
      </c>
      <c r="U177" t="str">
        <f>RTD("tos.rtd", , "PROB_OTM", "EZU")</f>
        <v>N/A</v>
      </c>
      <c r="V177" t="str">
        <f>RTD("tos.rtd", , "PROB_OF_TOUCHING", "EZU")</f>
        <v>N/A</v>
      </c>
      <c r="W177" t="str">
        <f>RTD("tos.rtd", , "STRIKE", "EZU")</f>
        <v>N/A</v>
      </c>
    </row>
    <row r="178" spans="1:23" x14ac:dyDescent="0.45">
      <c r="A178" t="s">
        <v>199</v>
      </c>
      <c r="B178" t="str">
        <f>RTD("tos.rtd", , "DESCRIPTION", ".EZU201120C42")</f>
        <v>N/A</v>
      </c>
      <c r="C178" t="str">
        <f>RTD("tos.rtd", , "PUT_CALL_RATIO", ".EZU201120C42")</f>
        <v>N/A</v>
      </c>
      <c r="D178" t="str">
        <f>RTD("tos.rtd", , "IMPL_VOL", ".EZU201120C42")</f>
        <v>N/A</v>
      </c>
      <c r="E178" t="str">
        <f>RTD("tos.rtd", , "LAST", ".EZU201120C42")</f>
        <v>N/A</v>
      </c>
      <c r="F178" t="str">
        <f>RTD("tos.rtd", , "VOLUME", ".EZU201120C42")</f>
        <v>N/A</v>
      </c>
      <c r="G178" t="str">
        <f>RTD("tos.rtd", , "OPEN_INT", ".EZU201120C42")</f>
        <v>N/A</v>
      </c>
      <c r="H178" t="str">
        <f>RTD("tos.rtd", , "BID", ".EZU201120C42")</f>
        <v>N/A</v>
      </c>
      <c r="I178" t="str">
        <f>RTD("tos.rtd", , "ASK", ".EZU201120C42")</f>
        <v>N/A</v>
      </c>
      <c r="J178" t="str">
        <f>RTD("tos.rtd", , "HIGH", ".EZU201120C42")</f>
        <v>N/A</v>
      </c>
      <c r="K178" t="str">
        <f>RTD("tos.rtd", , "LOW", ".EZU201120C42")</f>
        <v>N/A</v>
      </c>
      <c r="L178" t="str">
        <f>RTD("tos.rtd", , "OPEN", ".EZU201120C42")</f>
        <v>N/A</v>
      </c>
      <c r="M178" t="str">
        <f>RTD("tos.rtd", , "DELTA", ".EZU201120C42")</f>
        <v>N/A</v>
      </c>
      <c r="N178" t="str">
        <f>RTD("tos.rtd", , "GAMMA", ".EZU201120C42")</f>
        <v>N/A</v>
      </c>
      <c r="O178" t="str">
        <f>RTD("tos.rtd", , "THETA", ".EZU201120C42")</f>
        <v>N/A</v>
      </c>
      <c r="P178" t="str">
        <f>RTD("tos.rtd", , "VEGA", ".EZU201120C42")</f>
        <v>N/A</v>
      </c>
      <c r="Q178" t="str">
        <f>RTD("tos.rtd", , "RHO", ".EZU201120C42")</f>
        <v>N/A</v>
      </c>
      <c r="R178" t="str">
        <f>RTD("tos.rtd", , "INTRINSIC", ".EZU201120C42")</f>
        <v>N/A</v>
      </c>
      <c r="S178" t="str">
        <f>RTD("tos.rtd", , "EXTRINSIC", ".EZU201120C42")</f>
        <v>N/A</v>
      </c>
      <c r="T178" t="str">
        <f>RTD("tos.rtd", , "PROB_OF_EXPIRING", ".EZU201120C42")</f>
        <v>N/A</v>
      </c>
      <c r="U178" t="str">
        <f>RTD("tos.rtd", , "PROB_OTM", ".EZU201120C42")</f>
        <v>N/A</v>
      </c>
      <c r="V178" t="str">
        <f>RTD("tos.rtd", , "PROB_OF_TOUCHING", ".EZU201120C42")</f>
        <v>N/A</v>
      </c>
      <c r="W178" t="str">
        <f>RTD("tos.rtd", , "STRIKE", ".EZU201120C42")</f>
        <v>N/A</v>
      </c>
    </row>
    <row r="179" spans="1:23" x14ac:dyDescent="0.45">
      <c r="A179" t="s">
        <v>200</v>
      </c>
      <c r="B179" t="str">
        <f>RTD("tos.rtd", , "DESCRIPTION", ".EZU201120P42")</f>
        <v>N/A</v>
      </c>
      <c r="C179" t="str">
        <f>RTD("tos.rtd", , "PUT_CALL_RATIO", ".EZU201120P42")</f>
        <v>N/A</v>
      </c>
      <c r="D179" t="str">
        <f>RTD("tos.rtd", , "IMPL_VOL", ".EZU201120P42")</f>
        <v>N/A</v>
      </c>
      <c r="E179" t="str">
        <f>RTD("tos.rtd", , "LAST", ".EZU201120P42")</f>
        <v>N/A</v>
      </c>
      <c r="F179" t="str">
        <f>RTD("tos.rtd", , "VOLUME", ".EZU201120P42")</f>
        <v>N/A</v>
      </c>
      <c r="G179" t="str">
        <f>RTD("tos.rtd", , "OPEN_INT", ".EZU201120P42")</f>
        <v>N/A</v>
      </c>
      <c r="H179" t="str">
        <f>RTD("tos.rtd", , "BID", ".EZU201120P42")</f>
        <v>N/A</v>
      </c>
      <c r="I179" t="str">
        <f>RTD("tos.rtd", , "ASK", ".EZU201120P42")</f>
        <v>N/A</v>
      </c>
      <c r="J179" t="str">
        <f>RTD("tos.rtd", , "HIGH", ".EZU201120P42")</f>
        <v>N/A</v>
      </c>
      <c r="K179" t="str">
        <f>RTD("tos.rtd", , "LOW", ".EZU201120P42")</f>
        <v>N/A</v>
      </c>
      <c r="L179" t="str">
        <f>RTD("tos.rtd", , "OPEN", ".EZU201120P42")</f>
        <v>N/A</v>
      </c>
      <c r="M179" t="str">
        <f>RTD("tos.rtd", , "DELTA", ".EZU201120P42")</f>
        <v>N/A</v>
      </c>
      <c r="N179" t="str">
        <f>RTD("tos.rtd", , "GAMMA", ".EZU201120P42")</f>
        <v>N/A</v>
      </c>
      <c r="O179" t="str">
        <f>RTD("tos.rtd", , "THETA", ".EZU201120P42")</f>
        <v>N/A</v>
      </c>
      <c r="P179" t="str">
        <f>RTD("tos.rtd", , "VEGA", ".EZU201120P42")</f>
        <v>N/A</v>
      </c>
      <c r="Q179" t="str">
        <f>RTD("tos.rtd", , "RHO", ".EZU201120P42")</f>
        <v>N/A</v>
      </c>
      <c r="R179" t="str">
        <f>RTD("tos.rtd", , "INTRINSIC", ".EZU201120P42")</f>
        <v>N/A</v>
      </c>
      <c r="S179" t="str">
        <f>RTD("tos.rtd", , "EXTRINSIC", ".EZU201120P42")</f>
        <v>N/A</v>
      </c>
      <c r="T179" t="str">
        <f>RTD("tos.rtd", , "PROB_OF_EXPIRING", ".EZU201120P42")</f>
        <v>N/A</v>
      </c>
      <c r="U179" t="str">
        <f>RTD("tos.rtd", , "PROB_OTM", ".EZU201120P42")</f>
        <v>N/A</v>
      </c>
      <c r="V179" t="str">
        <f>RTD("tos.rtd", , "PROB_OF_TOUCHING", ".EZU201120P42")</f>
        <v>N/A</v>
      </c>
      <c r="W179" t="str">
        <f>RTD("tos.rtd", , "STRIKE", ".EZU201120P42")</f>
        <v>N/A</v>
      </c>
    </row>
    <row r="180" spans="1:23" x14ac:dyDescent="0.45">
      <c r="A180" t="s">
        <v>201</v>
      </c>
      <c r="B180" t="str">
        <f>RTD("tos.rtd", , "DESCRIPTION", "FEZ")</f>
        <v>SPDR INDEX SHARES FUNDS EURO STOXX 50 ETF</v>
      </c>
      <c r="C180">
        <f>RTD("tos.rtd", , "PUT_CALL_RATIO", "FEZ")</f>
        <v>4.7290000000000001</v>
      </c>
      <c r="D180" t="str">
        <f>RTD("tos.rtd", , "IMPL_VOL", "FEZ")</f>
        <v>26.04%</v>
      </c>
      <c r="E180">
        <f>RTD("tos.rtd", , "LAST", "FEZ")</f>
        <v>39.06</v>
      </c>
      <c r="F180">
        <f>RTD("tos.rtd", , "VOLUME", "FEZ")</f>
        <v>3537710</v>
      </c>
      <c r="G180">
        <f>RTD("tos.rtd", , "OPEN_INT", "FEZ")</f>
        <v>0</v>
      </c>
      <c r="H180">
        <f>RTD("tos.rtd", , "BID", "FEZ")</f>
        <v>30.61</v>
      </c>
      <c r="I180">
        <f>RTD("tos.rtd", , "ASK", "FEZ")</f>
        <v>44</v>
      </c>
      <c r="J180">
        <f>RTD("tos.rtd", , "HIGH", "FEZ")</f>
        <v>39.450000000000003</v>
      </c>
      <c r="K180">
        <f>RTD("tos.rtd", , "LOW", "FEZ")</f>
        <v>38.94</v>
      </c>
      <c r="L180">
        <f>RTD("tos.rtd", , "OPEN", "FEZ")</f>
        <v>39.28</v>
      </c>
      <c r="M180">
        <f>RTD("tos.rtd", , "DELTA", "FEZ")</f>
        <v>1</v>
      </c>
      <c r="N180">
        <f>RTD("tos.rtd", , "GAMMA", "FEZ")</f>
        <v>0</v>
      </c>
      <c r="O180">
        <f>RTD("tos.rtd", , "THETA", "FEZ")</f>
        <v>0</v>
      </c>
      <c r="P180">
        <f>RTD("tos.rtd", , "VEGA", "FEZ")</f>
        <v>0</v>
      </c>
      <c r="Q180">
        <f>RTD("tos.rtd", , "RHO", "FEZ")</f>
        <v>0</v>
      </c>
      <c r="R180" t="str">
        <f>RTD("tos.rtd", , "INTRINSIC", "FEZ")</f>
        <v>N/A</v>
      </c>
      <c r="S180" t="str">
        <f>RTD("tos.rtd", , "EXTRINSIC", "FEZ")</f>
        <v>N/A</v>
      </c>
      <c r="T180" t="str">
        <f>RTD("tos.rtd", , "PROB_OF_EXPIRING", "FEZ")</f>
        <v>N/A</v>
      </c>
      <c r="U180" t="str">
        <f>RTD("tos.rtd", , "PROB_OTM", "FEZ")</f>
        <v>N/A</v>
      </c>
      <c r="V180" t="str">
        <f>RTD("tos.rtd", , "PROB_OF_TOUCHING", "FEZ")</f>
        <v>N/A</v>
      </c>
      <c r="W180" t="str">
        <f>RTD("tos.rtd", , "STRIKE", "FEZ")</f>
        <v>N/A</v>
      </c>
    </row>
    <row r="181" spans="1:23" x14ac:dyDescent="0.45">
      <c r="A181" t="s">
        <v>202</v>
      </c>
      <c r="B181" t="str">
        <f>RTD("tos.rtd", , "DESCRIPTION", ".FEZ201120C39.5")</f>
        <v>N/A</v>
      </c>
      <c r="C181" t="str">
        <f>RTD("tos.rtd", , "PUT_CALL_RATIO", ".FEZ201120C39.5")</f>
        <v>N/A</v>
      </c>
      <c r="D181" t="str">
        <f>RTD("tos.rtd", , "IMPL_VOL", ".FEZ201120C39.5")</f>
        <v>N/A</v>
      </c>
      <c r="E181" t="str">
        <f>RTD("tos.rtd", , "LAST", ".FEZ201120C39.5")</f>
        <v>N/A</v>
      </c>
      <c r="F181" t="str">
        <f>RTD("tos.rtd", , "VOLUME", ".FEZ201120C39.5")</f>
        <v>N/A</v>
      </c>
      <c r="G181" t="str">
        <f>RTD("tos.rtd", , "OPEN_INT", ".FEZ201120C39.5")</f>
        <v>N/A</v>
      </c>
      <c r="H181" t="str">
        <f>RTD("tos.rtd", , "BID", ".FEZ201120C39.5")</f>
        <v>N/A</v>
      </c>
      <c r="I181" t="str">
        <f>RTD("tos.rtd", , "ASK", ".FEZ201120C39.5")</f>
        <v>N/A</v>
      </c>
      <c r="J181" t="str">
        <f>RTD("tos.rtd", , "HIGH", ".FEZ201120C39.5")</f>
        <v>N/A</v>
      </c>
      <c r="K181" t="str">
        <f>RTD("tos.rtd", , "LOW", ".FEZ201120C39.5")</f>
        <v>N/A</v>
      </c>
      <c r="L181" t="str">
        <f>RTD("tos.rtd", , "OPEN", ".FEZ201120C39.5")</f>
        <v>N/A</v>
      </c>
      <c r="M181" t="str">
        <f>RTD("tos.rtd", , "DELTA", ".FEZ201120C39.5")</f>
        <v>N/A</v>
      </c>
      <c r="N181" t="str">
        <f>RTD("tos.rtd", , "GAMMA", ".FEZ201120C39.5")</f>
        <v>N/A</v>
      </c>
      <c r="O181" t="str">
        <f>RTD("tos.rtd", , "THETA", ".FEZ201120C39.5")</f>
        <v>N/A</v>
      </c>
      <c r="P181" t="str">
        <f>RTD("tos.rtd", , "VEGA", ".FEZ201120C39.5")</f>
        <v>N/A</v>
      </c>
      <c r="Q181" t="str">
        <f>RTD("tos.rtd", , "RHO", ".FEZ201120C39.5")</f>
        <v>N/A</v>
      </c>
      <c r="R181" t="str">
        <f>RTD("tos.rtd", , "INTRINSIC", ".FEZ201120C39.5")</f>
        <v>N/A</v>
      </c>
      <c r="S181" t="str">
        <f>RTD("tos.rtd", , "EXTRINSIC", ".FEZ201120C39.5")</f>
        <v>N/A</v>
      </c>
      <c r="T181" t="str">
        <f>RTD("tos.rtd", , "PROB_OF_EXPIRING", ".FEZ201120C39.5")</f>
        <v>N/A</v>
      </c>
      <c r="U181" t="str">
        <f>RTD("tos.rtd", , "PROB_OTM", ".FEZ201120C39.5")</f>
        <v>N/A</v>
      </c>
      <c r="V181" t="str">
        <f>RTD("tos.rtd", , "PROB_OF_TOUCHING", ".FEZ201120C39.5")</f>
        <v>N/A</v>
      </c>
      <c r="W181" t="str">
        <f>RTD("tos.rtd", , "STRIKE", ".FEZ201120C39.5")</f>
        <v>N/A</v>
      </c>
    </row>
    <row r="182" spans="1:23" x14ac:dyDescent="0.45">
      <c r="A182" t="s">
        <v>203</v>
      </c>
      <c r="B182" t="str">
        <f>RTD("tos.rtd", , "DESCRIPTION", ".FEZ201120P39.5")</f>
        <v>N/A</v>
      </c>
      <c r="C182" t="str">
        <f>RTD("tos.rtd", , "PUT_CALL_RATIO", ".FEZ201120P39.5")</f>
        <v>N/A</v>
      </c>
      <c r="D182" t="str">
        <f>RTD("tos.rtd", , "IMPL_VOL", ".FEZ201120P39.5")</f>
        <v>N/A</v>
      </c>
      <c r="E182">
        <f>RTD("tos.rtd", , "LAST", ".FEZ201120P39.5")</f>
        <v>0.7</v>
      </c>
      <c r="F182">
        <f>RTD("tos.rtd", , "VOLUME", ".FEZ201120P39.5")</f>
        <v>0</v>
      </c>
      <c r="G182">
        <f>RTD("tos.rtd", , "OPEN_INT", ".FEZ201120P39.5")</f>
        <v>2</v>
      </c>
      <c r="H182">
        <f>RTD("tos.rtd", , "BID", ".FEZ201120P39.5")</f>
        <v>0.75</v>
      </c>
      <c r="I182">
        <f>RTD("tos.rtd", , "ASK", ".FEZ201120P39.5")</f>
        <v>0.85</v>
      </c>
      <c r="J182">
        <f>RTD("tos.rtd", , "HIGH", ".FEZ201120P39.5")</f>
        <v>0</v>
      </c>
      <c r="K182">
        <f>RTD("tos.rtd", , "LOW", ".FEZ201120P39.5")</f>
        <v>0</v>
      </c>
      <c r="L182">
        <f>RTD("tos.rtd", , "OPEN", ".FEZ201120P39.5")</f>
        <v>0</v>
      </c>
      <c r="M182" t="str">
        <f>RTD("tos.rtd", , "DELTA", ".FEZ201120P39.5")</f>
        <v>N/A</v>
      </c>
      <c r="N182" t="str">
        <f>RTD("tos.rtd", , "GAMMA", ".FEZ201120P39.5")</f>
        <v>N/A</v>
      </c>
      <c r="O182" t="str">
        <f>RTD("tos.rtd", , "THETA", ".FEZ201120P39.5")</f>
        <v>N/A</v>
      </c>
      <c r="P182" t="str">
        <f>RTD("tos.rtd", , "VEGA", ".FEZ201120P39.5")</f>
        <v>N/A</v>
      </c>
      <c r="Q182" t="str">
        <f>RTD("tos.rtd", , "RHO", ".FEZ201120P39.5")</f>
        <v>N/A</v>
      </c>
      <c r="R182" t="str">
        <f>RTD("tos.rtd", , "INTRINSIC", ".FEZ201120P39.5")</f>
        <v>N/A</v>
      </c>
      <c r="S182" t="str">
        <f>RTD("tos.rtd", , "EXTRINSIC", ".FEZ201120P39.5")</f>
        <v>N/A</v>
      </c>
      <c r="T182" t="str">
        <f>RTD("tos.rtd", , "PROB_OF_EXPIRING", ".FEZ201120P39.5")</f>
        <v>N/A</v>
      </c>
      <c r="U182" t="str">
        <f>RTD("tos.rtd", , "PROB_OTM", ".FEZ201120P39.5")</f>
        <v>N/A</v>
      </c>
      <c r="V182" t="str">
        <f>RTD("tos.rtd", , "PROB_OF_TOUCHING", ".FEZ201120P39.5")</f>
        <v>N/A</v>
      </c>
      <c r="W182" t="str">
        <f>RTD("tos.rtd", , "STRIKE", ".FEZ201120P39.5")</f>
        <v>N/A</v>
      </c>
    </row>
    <row r="183" spans="1:23" x14ac:dyDescent="0.45">
      <c r="A183" t="s">
        <v>204</v>
      </c>
      <c r="B183" t="str">
        <f>RTD("tos.rtd", , "DESCRIPTION", ".FEZ201120C40")</f>
        <v>N/A</v>
      </c>
      <c r="C183" t="str">
        <f>RTD("tos.rtd", , "PUT_CALL_RATIO", ".FEZ201120C40")</f>
        <v>N/A</v>
      </c>
      <c r="D183" t="str">
        <f>RTD("tos.rtd", , "IMPL_VOL", ".FEZ201120C40")</f>
        <v>N/A</v>
      </c>
      <c r="E183" t="str">
        <f>RTD("tos.rtd", , "LAST", ".FEZ201120C40")</f>
        <v>N/A</v>
      </c>
      <c r="F183" t="str">
        <f>RTD("tos.rtd", , "VOLUME", ".FEZ201120C40")</f>
        <v>N/A</v>
      </c>
      <c r="G183" t="str">
        <f>RTD("tos.rtd", , "OPEN_INT", ".FEZ201120C40")</f>
        <v>N/A</v>
      </c>
      <c r="H183" t="str">
        <f>RTD("tos.rtd", , "BID", ".FEZ201120C40")</f>
        <v>N/A</v>
      </c>
      <c r="I183" t="str">
        <f>RTD("tos.rtd", , "ASK", ".FEZ201120C40")</f>
        <v>N/A</v>
      </c>
      <c r="J183" t="str">
        <f>RTD("tos.rtd", , "HIGH", ".FEZ201120C40")</f>
        <v>N/A</v>
      </c>
      <c r="K183" t="str">
        <f>RTD("tos.rtd", , "LOW", ".FEZ201120C40")</f>
        <v>N/A</v>
      </c>
      <c r="L183" t="str">
        <f>RTD("tos.rtd", , "OPEN", ".FEZ201120C40")</f>
        <v>N/A</v>
      </c>
      <c r="M183" t="str">
        <f>RTD("tos.rtd", , "DELTA", ".FEZ201120C40")</f>
        <v>N/A</v>
      </c>
      <c r="N183" t="str">
        <f>RTD("tos.rtd", , "GAMMA", ".FEZ201120C40")</f>
        <v>N/A</v>
      </c>
      <c r="O183" t="str">
        <f>RTD("tos.rtd", , "THETA", ".FEZ201120C40")</f>
        <v>N/A</v>
      </c>
      <c r="P183" t="str">
        <f>RTD("tos.rtd", , "VEGA", ".FEZ201120C40")</f>
        <v>N/A</v>
      </c>
      <c r="Q183" t="str">
        <f>RTD("tos.rtd", , "RHO", ".FEZ201120C40")</f>
        <v>N/A</v>
      </c>
      <c r="R183" t="str">
        <f>RTD("tos.rtd", , "INTRINSIC", ".FEZ201120C40")</f>
        <v>N/A</v>
      </c>
      <c r="S183" t="str">
        <f>RTD("tos.rtd", , "EXTRINSIC", ".FEZ201120C40")</f>
        <v>N/A</v>
      </c>
      <c r="T183" t="str">
        <f>RTD("tos.rtd", , "PROB_OF_EXPIRING", ".FEZ201120C40")</f>
        <v>N/A</v>
      </c>
      <c r="U183" t="str">
        <f>RTD("tos.rtd", , "PROB_OTM", ".FEZ201120C40")</f>
        <v>N/A</v>
      </c>
      <c r="V183" t="str">
        <f>RTD("tos.rtd", , "PROB_OF_TOUCHING", ".FEZ201120C40")</f>
        <v>N/A</v>
      </c>
      <c r="W183" t="str">
        <f>RTD("tos.rtd", , "STRIKE", ".FEZ201120C40")</f>
        <v>N/A</v>
      </c>
    </row>
    <row r="184" spans="1:23" x14ac:dyDescent="0.45">
      <c r="A184" t="s">
        <v>205</v>
      </c>
      <c r="B184" t="str">
        <f>RTD("tos.rtd", , "DESCRIPTION", ".FEZ201120P40")</f>
        <v>N/A</v>
      </c>
      <c r="C184" t="str">
        <f>RTD("tos.rtd", , "PUT_CALL_RATIO", ".FEZ201120P40")</f>
        <v>N/A</v>
      </c>
      <c r="D184" t="str">
        <f>RTD("tos.rtd", , "IMPL_VOL", ".FEZ201120P40")</f>
        <v>N/A</v>
      </c>
      <c r="E184">
        <f>RTD("tos.rtd", , "LAST", ".FEZ201120P40")</f>
        <v>1</v>
      </c>
      <c r="F184">
        <f>RTD("tos.rtd", , "VOLUME", ".FEZ201120P40")</f>
        <v>2</v>
      </c>
      <c r="G184">
        <f>RTD("tos.rtd", , "OPEN_INT", ".FEZ201120P40")</f>
        <v>7</v>
      </c>
      <c r="H184">
        <f>RTD("tos.rtd", , "BID", ".FEZ201120P40")</f>
        <v>1.05</v>
      </c>
      <c r="I184">
        <f>RTD("tos.rtd", , "ASK", ".FEZ201120P40")</f>
        <v>1.2</v>
      </c>
      <c r="J184">
        <f>RTD("tos.rtd", , "HIGH", ".FEZ201120P40")</f>
        <v>1</v>
      </c>
      <c r="K184">
        <f>RTD("tos.rtd", , "LOW", ".FEZ201120P40")</f>
        <v>1</v>
      </c>
      <c r="L184">
        <f>RTD("tos.rtd", , "OPEN", ".FEZ201120P40")</f>
        <v>1</v>
      </c>
      <c r="M184" t="str">
        <f>RTD("tos.rtd", , "DELTA", ".FEZ201120P40")</f>
        <v>N/A</v>
      </c>
      <c r="N184" t="str">
        <f>RTD("tos.rtd", , "GAMMA", ".FEZ201120P40")</f>
        <v>N/A</v>
      </c>
      <c r="O184" t="str">
        <f>RTD("tos.rtd", , "THETA", ".FEZ201120P40")</f>
        <v>N/A</v>
      </c>
      <c r="P184" t="str">
        <f>RTD("tos.rtd", , "VEGA", ".FEZ201120P40")</f>
        <v>N/A</v>
      </c>
      <c r="Q184" t="str">
        <f>RTD("tos.rtd", , "RHO", ".FEZ201120P40")</f>
        <v>N/A</v>
      </c>
      <c r="R184" t="str">
        <f>RTD("tos.rtd", , "INTRINSIC", ".FEZ201120P40")</f>
        <v>N/A</v>
      </c>
      <c r="S184" t="str">
        <f>RTD("tos.rtd", , "EXTRINSIC", ".FEZ201120P40")</f>
        <v>N/A</v>
      </c>
      <c r="T184" t="str">
        <f>RTD("tos.rtd", , "PROB_OF_EXPIRING", ".FEZ201120P40")</f>
        <v>N/A</v>
      </c>
      <c r="U184" t="str">
        <f>RTD("tos.rtd", , "PROB_OTM", ".FEZ201120P40")</f>
        <v>N/A</v>
      </c>
      <c r="V184" t="str">
        <f>RTD("tos.rtd", , "PROB_OF_TOUCHING", ".FEZ201120P40")</f>
        <v>N/A</v>
      </c>
      <c r="W184" t="str">
        <f>RTD("tos.rtd", , "STRIKE", ".FEZ201120P40")</f>
        <v>N/A</v>
      </c>
    </row>
    <row r="185" spans="1:23" x14ac:dyDescent="0.45">
      <c r="A185" t="s">
        <v>206</v>
      </c>
      <c r="B185" t="str">
        <f>RTD("tos.rtd", , "DESCRIPTION", "FVD")</f>
        <v>N/A</v>
      </c>
      <c r="C185">
        <f>RTD("tos.rtd", , "PUT_CALL_RATIO", "FVD")</f>
        <v>1</v>
      </c>
      <c r="D185" t="str">
        <f>RTD("tos.rtd", , "IMPL_VOL", "FVD")</f>
        <v>29.29%</v>
      </c>
      <c r="E185">
        <f>RTD("tos.rtd", , "LAST", "FVD")</f>
        <v>34.1</v>
      </c>
      <c r="F185">
        <f>RTD("tos.rtd", , "VOLUME", "FVD")</f>
        <v>1131983</v>
      </c>
      <c r="G185">
        <f>RTD("tos.rtd", , "OPEN_INT", "FVD")</f>
        <v>0</v>
      </c>
      <c r="H185">
        <f>RTD("tos.rtd", , "BID", "FVD")</f>
        <v>33.64</v>
      </c>
      <c r="I185">
        <f>RTD("tos.rtd", , "ASK", "FVD")</f>
        <v>34.659999999999997</v>
      </c>
      <c r="J185">
        <f>RTD("tos.rtd", , "HIGH", "FVD")</f>
        <v>34.5</v>
      </c>
      <c r="K185">
        <f>RTD("tos.rtd", , "LOW", "FVD")</f>
        <v>33.840000000000003</v>
      </c>
      <c r="L185">
        <f>RTD("tos.rtd", , "OPEN", "FVD")</f>
        <v>34.5</v>
      </c>
      <c r="M185">
        <f>RTD("tos.rtd", , "DELTA", "FVD")</f>
        <v>1</v>
      </c>
      <c r="N185">
        <f>RTD("tos.rtd", , "GAMMA", "FVD")</f>
        <v>0</v>
      </c>
      <c r="O185">
        <f>RTD("tos.rtd", , "THETA", "FVD")</f>
        <v>0</v>
      </c>
      <c r="P185">
        <f>RTD("tos.rtd", , "VEGA", "FVD")</f>
        <v>0</v>
      </c>
      <c r="Q185">
        <f>RTD("tos.rtd", , "RHO", "FVD")</f>
        <v>0</v>
      </c>
      <c r="R185" t="str">
        <f>RTD("tos.rtd", , "INTRINSIC", "FVD")</f>
        <v>N/A</v>
      </c>
      <c r="S185" t="str">
        <f>RTD("tos.rtd", , "EXTRINSIC", "FVD")</f>
        <v>N/A</v>
      </c>
      <c r="T185" t="str">
        <f>RTD("tos.rtd", , "PROB_OF_EXPIRING", "FVD")</f>
        <v>N/A</v>
      </c>
      <c r="U185" t="str">
        <f>RTD("tos.rtd", , "PROB_OTM", "FVD")</f>
        <v>N/A</v>
      </c>
      <c r="V185" t="str">
        <f>RTD("tos.rtd", , "PROB_OF_TOUCHING", "FVD")</f>
        <v>N/A</v>
      </c>
      <c r="W185" t="str">
        <f>RTD("tos.rtd", , "STRIKE", "FVD")</f>
        <v>N/A</v>
      </c>
    </row>
    <row r="186" spans="1:23" x14ac:dyDescent="0.45">
      <c r="A186" t="s">
        <v>207</v>
      </c>
      <c r="B186" t="str">
        <f>RTD("tos.rtd", , "DESCRIPTION", ".FVD201120C35")</f>
        <v>N/A</v>
      </c>
      <c r="C186" t="str">
        <f>RTD("tos.rtd", , "PUT_CALL_RATIO", ".FVD201120C35")</f>
        <v>N/A</v>
      </c>
      <c r="D186" t="str">
        <f>RTD("tos.rtd", , "IMPL_VOL", ".FVD201120C35")</f>
        <v>N/A</v>
      </c>
      <c r="E186" t="str">
        <f>RTD("tos.rtd", , "LAST", ".FVD201120C35")</f>
        <v>N/A</v>
      </c>
      <c r="F186" t="str">
        <f>RTD("tos.rtd", , "VOLUME", ".FVD201120C35")</f>
        <v>N/A</v>
      </c>
      <c r="G186" t="str">
        <f>RTD("tos.rtd", , "OPEN_INT", ".FVD201120C35")</f>
        <v>N/A</v>
      </c>
      <c r="H186" t="str">
        <f>RTD("tos.rtd", , "BID", ".FVD201120C35")</f>
        <v>N/A</v>
      </c>
      <c r="I186" t="str">
        <f>RTD("tos.rtd", , "ASK", ".FVD201120C35")</f>
        <v>N/A</v>
      </c>
      <c r="J186" t="str">
        <f>RTD("tos.rtd", , "HIGH", ".FVD201120C35")</f>
        <v>N/A</v>
      </c>
      <c r="K186" t="str">
        <f>RTD("tos.rtd", , "LOW", ".FVD201120C35")</f>
        <v>N/A</v>
      </c>
      <c r="L186" t="str">
        <f>RTD("tos.rtd", , "OPEN", ".FVD201120C35")</f>
        <v>N/A</v>
      </c>
      <c r="M186" t="str">
        <f>RTD("tos.rtd", , "DELTA", ".FVD201120C35")</f>
        <v>N/A</v>
      </c>
      <c r="N186" t="str">
        <f>RTD("tos.rtd", , "GAMMA", ".FVD201120C35")</f>
        <v>N/A</v>
      </c>
      <c r="O186" t="str">
        <f>RTD("tos.rtd", , "THETA", ".FVD201120C35")</f>
        <v>N/A</v>
      </c>
      <c r="P186" t="str">
        <f>RTD("tos.rtd", , "VEGA", ".FVD201120C35")</f>
        <v>N/A</v>
      </c>
      <c r="Q186" t="str">
        <f>RTD("tos.rtd", , "RHO", ".FVD201120C35")</f>
        <v>N/A</v>
      </c>
      <c r="R186" t="str">
        <f>RTD("tos.rtd", , "INTRINSIC", ".FVD201120C35")</f>
        <v>N/A</v>
      </c>
      <c r="S186" t="str">
        <f>RTD("tos.rtd", , "EXTRINSIC", ".FVD201120C35")</f>
        <v>N/A</v>
      </c>
      <c r="T186" t="str">
        <f>RTD("tos.rtd", , "PROB_OF_EXPIRING", ".FVD201120C35")</f>
        <v>N/A</v>
      </c>
      <c r="U186" t="str">
        <f>RTD("tos.rtd", , "PROB_OTM", ".FVD201120C35")</f>
        <v>N/A</v>
      </c>
      <c r="V186" t="str">
        <f>RTD("tos.rtd", , "PROB_OF_TOUCHING", ".FVD201120C35")</f>
        <v>N/A</v>
      </c>
      <c r="W186" t="str">
        <f>RTD("tos.rtd", , "STRIKE", ".FVD201120C35")</f>
        <v>N/A</v>
      </c>
    </row>
    <row r="187" spans="1:23" x14ac:dyDescent="0.45">
      <c r="A187" t="s">
        <v>208</v>
      </c>
      <c r="B187" t="str">
        <f>RTD("tos.rtd", , "DESCRIPTION", ".FVD201120P35")</f>
        <v>N/A</v>
      </c>
      <c r="C187" t="str">
        <f>RTD("tos.rtd", , "PUT_CALL_RATIO", ".FVD201120P35")</f>
        <v>N/A</v>
      </c>
      <c r="D187" t="str">
        <f>RTD("tos.rtd", , "IMPL_VOL", ".FVD201120P35")</f>
        <v>N/A</v>
      </c>
      <c r="E187" t="str">
        <f>RTD("tos.rtd", , "LAST", ".FVD201120P35")</f>
        <v>N/A</v>
      </c>
      <c r="F187" t="str">
        <f>RTD("tos.rtd", , "VOLUME", ".FVD201120P35")</f>
        <v>N/A</v>
      </c>
      <c r="G187" t="str">
        <f>RTD("tos.rtd", , "OPEN_INT", ".FVD201120P35")</f>
        <v>N/A</v>
      </c>
      <c r="H187" t="str">
        <f>RTD("tos.rtd", , "BID", ".FVD201120P35")</f>
        <v>N/A</v>
      </c>
      <c r="I187" t="str">
        <f>RTD("tos.rtd", , "ASK", ".FVD201120P35")</f>
        <v>N/A</v>
      </c>
      <c r="J187" t="str">
        <f>RTD("tos.rtd", , "HIGH", ".FVD201120P35")</f>
        <v>N/A</v>
      </c>
      <c r="K187" t="str">
        <f>RTD("tos.rtd", , "LOW", ".FVD201120P35")</f>
        <v>N/A</v>
      </c>
      <c r="L187" t="str">
        <f>RTD("tos.rtd", , "OPEN", ".FVD201120P35")</f>
        <v>N/A</v>
      </c>
      <c r="M187" t="str">
        <f>RTD("tos.rtd", , "DELTA", ".FVD201120P35")</f>
        <v>N/A</v>
      </c>
      <c r="N187" t="str">
        <f>RTD("tos.rtd", , "GAMMA", ".FVD201120P35")</f>
        <v>N/A</v>
      </c>
      <c r="O187" t="str">
        <f>RTD("tos.rtd", , "THETA", ".FVD201120P35")</f>
        <v>N/A</v>
      </c>
      <c r="P187" t="str">
        <f>RTD("tos.rtd", , "VEGA", ".FVD201120P35")</f>
        <v>N/A</v>
      </c>
      <c r="Q187" t="str">
        <f>RTD("tos.rtd", , "RHO", ".FVD201120P35")</f>
        <v>N/A</v>
      </c>
      <c r="R187" t="str">
        <f>RTD("tos.rtd", , "INTRINSIC", ".FVD201120P35")</f>
        <v>N/A</v>
      </c>
      <c r="S187" t="str">
        <f>RTD("tos.rtd", , "EXTRINSIC", ".FVD201120P35")</f>
        <v>N/A</v>
      </c>
      <c r="T187" t="str">
        <f>RTD("tos.rtd", , "PROB_OF_EXPIRING", ".FVD201120P35")</f>
        <v>N/A</v>
      </c>
      <c r="U187" t="str">
        <f>RTD("tos.rtd", , "PROB_OTM", ".FVD201120P35")</f>
        <v>N/A</v>
      </c>
      <c r="V187" t="str">
        <f>RTD("tos.rtd", , "PROB_OF_TOUCHING", ".FVD201120P35")</f>
        <v>N/A</v>
      </c>
      <c r="W187" t="str">
        <f>RTD("tos.rtd", , "STRIKE", ".FVD201120P35")</f>
        <v>N/A</v>
      </c>
    </row>
    <row r="188" spans="1:23" x14ac:dyDescent="0.45">
      <c r="A188" t="s">
        <v>209</v>
      </c>
      <c r="B188" t="str">
        <f>RTD("tos.rtd", , "DESCRIPTION", "FXI")</f>
        <v>N/A</v>
      </c>
      <c r="C188">
        <f>RTD("tos.rtd", , "PUT_CALL_RATIO", "FXI")</f>
        <v>1.0109999999999999</v>
      </c>
      <c r="D188" t="str">
        <f>RTD("tos.rtd", , "IMPL_VOL", "FXI")</f>
        <v>27.58%</v>
      </c>
      <c r="E188">
        <f>RTD("tos.rtd", , "LAST", "FXI")</f>
        <v>47.1</v>
      </c>
      <c r="F188">
        <f>RTD("tos.rtd", , "VOLUME", "FXI")</f>
        <v>18036258</v>
      </c>
      <c r="G188">
        <f>RTD("tos.rtd", , "OPEN_INT", "FXI")</f>
        <v>0</v>
      </c>
      <c r="H188">
        <f>RTD("tos.rtd", , "BID", "FXI")</f>
        <v>46.88</v>
      </c>
      <c r="I188">
        <f>RTD("tos.rtd", , "ASK", "FXI")</f>
        <v>47.23</v>
      </c>
      <c r="J188">
        <f>RTD("tos.rtd", , "HIGH", "FXI")</f>
        <v>47.7</v>
      </c>
      <c r="K188">
        <f>RTD("tos.rtd", , "LOW", "FXI")</f>
        <v>46.93</v>
      </c>
      <c r="L188">
        <f>RTD("tos.rtd", , "OPEN", "FXI")</f>
        <v>47.42</v>
      </c>
      <c r="M188">
        <f>RTD("tos.rtd", , "DELTA", "FXI")</f>
        <v>1</v>
      </c>
      <c r="N188">
        <f>RTD("tos.rtd", , "GAMMA", "FXI")</f>
        <v>0</v>
      </c>
      <c r="O188">
        <f>RTD("tos.rtd", , "THETA", "FXI")</f>
        <v>0</v>
      </c>
      <c r="P188">
        <f>RTD("tos.rtd", , "VEGA", "FXI")</f>
        <v>0</v>
      </c>
      <c r="Q188">
        <f>RTD("tos.rtd", , "RHO", "FXI")</f>
        <v>0</v>
      </c>
      <c r="R188" t="str">
        <f>RTD("tos.rtd", , "INTRINSIC", "FXI")</f>
        <v>N/A</v>
      </c>
      <c r="S188" t="str">
        <f>RTD("tos.rtd", , "EXTRINSIC", "FXI")</f>
        <v>N/A</v>
      </c>
      <c r="T188" t="str">
        <f>RTD("tos.rtd", , "PROB_OF_EXPIRING", "FXI")</f>
        <v>N/A</v>
      </c>
      <c r="U188" t="str">
        <f>RTD("tos.rtd", , "PROB_OTM", "FXI")</f>
        <v>N/A</v>
      </c>
      <c r="V188" t="str">
        <f>RTD("tos.rtd", , "PROB_OF_TOUCHING", "FXI")</f>
        <v>N/A</v>
      </c>
      <c r="W188" t="str">
        <f>RTD("tos.rtd", , "STRIKE", "FXI")</f>
        <v>N/A</v>
      </c>
    </row>
    <row r="189" spans="1:23" x14ac:dyDescent="0.45">
      <c r="A189" t="s">
        <v>210</v>
      </c>
      <c r="B189" t="str">
        <f>RTD("tos.rtd", , "DESCRIPTION", ".FXI201120C47")</f>
        <v>N/A</v>
      </c>
      <c r="C189" t="str">
        <f>RTD("tos.rtd", , "PUT_CALL_RATIO", ".FXI201120C47")</f>
        <v>N/A</v>
      </c>
      <c r="D189" t="str">
        <f>RTD("tos.rtd", , "IMPL_VOL", ".FXI201120C47")</f>
        <v>N/A</v>
      </c>
      <c r="E189">
        <f>RTD("tos.rtd", , "LAST", ".FXI201120C47")</f>
        <v>0.66</v>
      </c>
      <c r="F189">
        <f>RTD("tos.rtd", , "VOLUME", ".FXI201120C47")</f>
        <v>2539</v>
      </c>
      <c r="G189">
        <f>RTD("tos.rtd", , "OPEN_INT", ".FXI201120C47")</f>
        <v>90508</v>
      </c>
      <c r="H189">
        <f>RTD("tos.rtd", , "BID", ".FXI201120C47")</f>
        <v>0.64</v>
      </c>
      <c r="I189">
        <f>RTD("tos.rtd", , "ASK", ".FXI201120C47")</f>
        <v>0.68</v>
      </c>
      <c r="J189">
        <f>RTD("tos.rtd", , "HIGH", ".FXI201120C47")</f>
        <v>1.01</v>
      </c>
      <c r="K189">
        <f>RTD("tos.rtd", , "LOW", ".FXI201120C47")</f>
        <v>0.62</v>
      </c>
      <c r="L189">
        <f>RTD("tos.rtd", , "OPEN", ".FXI201120C47")</f>
        <v>0.94</v>
      </c>
      <c r="M189" t="str">
        <f>RTD("tos.rtd", , "DELTA", ".FXI201120C47")</f>
        <v>N/A</v>
      </c>
      <c r="N189" t="str">
        <f>RTD("tos.rtd", , "GAMMA", ".FXI201120C47")</f>
        <v>N/A</v>
      </c>
      <c r="O189" t="str">
        <f>RTD("tos.rtd", , "THETA", ".FXI201120C47")</f>
        <v>N/A</v>
      </c>
      <c r="P189" t="str">
        <f>RTD("tos.rtd", , "VEGA", ".FXI201120C47")</f>
        <v>N/A</v>
      </c>
      <c r="Q189" t="str">
        <f>RTD("tos.rtd", , "RHO", ".FXI201120C47")</f>
        <v>N/A</v>
      </c>
      <c r="R189" t="str">
        <f>RTD("tos.rtd", , "INTRINSIC", ".FXI201120C47")</f>
        <v>N/A</v>
      </c>
      <c r="S189" t="str">
        <f>RTD("tos.rtd", , "EXTRINSIC", ".FXI201120C47")</f>
        <v>N/A</v>
      </c>
      <c r="T189" t="str">
        <f>RTD("tos.rtd", , "PROB_OF_EXPIRING", ".FXI201120C47")</f>
        <v>N/A</v>
      </c>
      <c r="U189" t="str">
        <f>RTD("tos.rtd", , "PROB_OTM", ".FXI201120C47")</f>
        <v>N/A</v>
      </c>
      <c r="V189" t="str">
        <f>RTD("tos.rtd", , "PROB_OF_TOUCHING", ".FXI201120C47")</f>
        <v>N/A</v>
      </c>
      <c r="W189" t="str">
        <f>RTD("tos.rtd", , "STRIKE", ".FXI201120C47")</f>
        <v>N/A</v>
      </c>
    </row>
    <row r="190" spans="1:23" x14ac:dyDescent="0.45">
      <c r="A190" t="s">
        <v>211</v>
      </c>
      <c r="B190" t="str">
        <f>RTD("tos.rtd", , "DESCRIPTION", ".FXI201120P47")</f>
        <v>N/A</v>
      </c>
      <c r="C190" t="str">
        <f>RTD("tos.rtd", , "PUT_CALL_RATIO", ".FXI201120P47")</f>
        <v>N/A</v>
      </c>
      <c r="D190" t="str">
        <f>RTD("tos.rtd", , "IMPL_VOL", ".FXI201120P47")</f>
        <v>N/A</v>
      </c>
      <c r="E190">
        <f>RTD("tos.rtd", , "LAST", ".FXI201120P47")</f>
        <v>0.68</v>
      </c>
      <c r="F190">
        <f>RTD("tos.rtd", , "VOLUME", ".FXI201120P47")</f>
        <v>2724</v>
      </c>
      <c r="G190">
        <f>RTD("tos.rtd", , "OPEN_INT", ".FXI201120P47")</f>
        <v>71431</v>
      </c>
      <c r="H190">
        <f>RTD("tos.rtd", , "BID", ".FXI201120P47")</f>
        <v>0.62</v>
      </c>
      <c r="I190">
        <f>RTD("tos.rtd", , "ASK", ".FXI201120P47")</f>
        <v>0.67</v>
      </c>
      <c r="J190">
        <f>RTD("tos.rtd", , "HIGH", ".FXI201120P47")</f>
        <v>0.71</v>
      </c>
      <c r="K190">
        <f>RTD("tos.rtd", , "LOW", ".FXI201120P47")</f>
        <v>0.4</v>
      </c>
      <c r="L190">
        <f>RTD("tos.rtd", , "OPEN", ".FXI201120P47")</f>
        <v>0.47</v>
      </c>
      <c r="M190" t="str">
        <f>RTD("tos.rtd", , "DELTA", ".FXI201120P47")</f>
        <v>N/A</v>
      </c>
      <c r="N190" t="str">
        <f>RTD("tos.rtd", , "GAMMA", ".FXI201120P47")</f>
        <v>N/A</v>
      </c>
      <c r="O190" t="str">
        <f>RTD("tos.rtd", , "THETA", ".FXI201120P47")</f>
        <v>N/A</v>
      </c>
      <c r="P190" t="str">
        <f>RTD("tos.rtd", , "VEGA", ".FXI201120P47")</f>
        <v>N/A</v>
      </c>
      <c r="Q190" t="str">
        <f>RTD("tos.rtd", , "RHO", ".FXI201120P47")</f>
        <v>N/A</v>
      </c>
      <c r="R190" t="str">
        <f>RTD("tos.rtd", , "INTRINSIC", ".FXI201120P47")</f>
        <v>N/A</v>
      </c>
      <c r="S190" t="str">
        <f>RTD("tos.rtd", , "EXTRINSIC", ".FXI201120P47")</f>
        <v>N/A</v>
      </c>
      <c r="T190" t="str">
        <f>RTD("tos.rtd", , "PROB_OF_EXPIRING", ".FXI201120P47")</f>
        <v>N/A</v>
      </c>
      <c r="U190" t="str">
        <f>RTD("tos.rtd", , "PROB_OTM", ".FXI201120P47")</f>
        <v>N/A</v>
      </c>
      <c r="V190" t="str">
        <f>RTD("tos.rtd", , "PROB_OF_TOUCHING", ".FXI201120P47")</f>
        <v>N/A</v>
      </c>
      <c r="W190" t="str">
        <f>RTD("tos.rtd", , "STRIKE", ".FXI201120P47")</f>
        <v>N/A</v>
      </c>
    </row>
    <row r="191" spans="1:23" x14ac:dyDescent="0.45">
      <c r="A191" t="s">
        <v>212</v>
      </c>
      <c r="B191" t="str">
        <f>RTD("tos.rtd", , "DESCRIPTION", ".FXI201120C47.5")</f>
        <v>N/A</v>
      </c>
      <c r="C191" t="str">
        <f>RTD("tos.rtd", , "PUT_CALL_RATIO", ".FXI201120C47.5")</f>
        <v>N/A</v>
      </c>
      <c r="D191" t="str">
        <f>RTD("tos.rtd", , "IMPL_VOL", ".FXI201120C47.5")</f>
        <v>N/A</v>
      </c>
      <c r="E191">
        <f>RTD("tos.rtd", , "LAST", ".FXI201120C47.5")</f>
        <v>0.41</v>
      </c>
      <c r="F191">
        <f>RTD("tos.rtd", , "VOLUME", ".FXI201120C47.5")</f>
        <v>72</v>
      </c>
      <c r="G191">
        <f>RTD("tos.rtd", , "OPEN_INT", ".FXI201120C47.5")</f>
        <v>4675</v>
      </c>
      <c r="H191">
        <f>RTD("tos.rtd", , "BID", ".FXI201120C47.5")</f>
        <v>0.41</v>
      </c>
      <c r="I191">
        <f>RTD("tos.rtd", , "ASK", ".FXI201120C47.5")</f>
        <v>0.45</v>
      </c>
      <c r="J191">
        <f>RTD("tos.rtd", , "HIGH", ".FXI201120C47.5")</f>
        <v>0.71</v>
      </c>
      <c r="K191">
        <f>RTD("tos.rtd", , "LOW", ".FXI201120C47.5")</f>
        <v>0.4</v>
      </c>
      <c r="L191">
        <f>RTD("tos.rtd", , "OPEN", ".FXI201120C47.5")</f>
        <v>0.62</v>
      </c>
      <c r="M191" t="str">
        <f>RTD("tos.rtd", , "DELTA", ".FXI201120C47.5")</f>
        <v>N/A</v>
      </c>
      <c r="N191" t="str">
        <f>RTD("tos.rtd", , "GAMMA", ".FXI201120C47.5")</f>
        <v>N/A</v>
      </c>
      <c r="O191" t="str">
        <f>RTD("tos.rtd", , "THETA", ".FXI201120C47.5")</f>
        <v>N/A</v>
      </c>
      <c r="P191" t="str">
        <f>RTD("tos.rtd", , "VEGA", ".FXI201120C47.5")</f>
        <v>N/A</v>
      </c>
      <c r="Q191" t="str">
        <f>RTD("tos.rtd", , "RHO", ".FXI201120C47.5")</f>
        <v>N/A</v>
      </c>
      <c r="R191" t="str">
        <f>RTD("tos.rtd", , "INTRINSIC", ".FXI201120C47.5")</f>
        <v>N/A</v>
      </c>
      <c r="S191" t="str">
        <f>RTD("tos.rtd", , "EXTRINSIC", ".FXI201120C47.5")</f>
        <v>N/A</v>
      </c>
      <c r="T191" t="str">
        <f>RTD("tos.rtd", , "PROB_OF_EXPIRING", ".FXI201120C47.5")</f>
        <v>N/A</v>
      </c>
      <c r="U191" t="str">
        <f>RTD("tos.rtd", , "PROB_OTM", ".FXI201120C47.5")</f>
        <v>N/A</v>
      </c>
      <c r="V191" t="str">
        <f>RTD("tos.rtd", , "PROB_OF_TOUCHING", ".FXI201120C47.5")</f>
        <v>N/A</v>
      </c>
      <c r="W191" t="str">
        <f>RTD("tos.rtd", , "STRIKE", ".FXI201120C47.5")</f>
        <v>N/A</v>
      </c>
    </row>
    <row r="192" spans="1:23" x14ac:dyDescent="0.45">
      <c r="A192" t="s">
        <v>213</v>
      </c>
      <c r="B192" t="str">
        <f>RTD("tos.rtd", , "DESCRIPTION", ".FXI201120P47.5")</f>
        <v>N/A</v>
      </c>
      <c r="C192" t="str">
        <f>RTD("tos.rtd", , "PUT_CALL_RATIO", ".FXI201120P47.5")</f>
        <v>N/A</v>
      </c>
      <c r="D192" t="str">
        <f>RTD("tos.rtd", , "IMPL_VOL", ".FXI201120P47.5")</f>
        <v>N/A</v>
      </c>
      <c r="E192">
        <f>RTD("tos.rtd", , "LAST", ".FXI201120P47.5")</f>
        <v>0.85</v>
      </c>
      <c r="F192">
        <f>RTD("tos.rtd", , "VOLUME", ".FXI201120P47.5")</f>
        <v>53</v>
      </c>
      <c r="G192">
        <f>RTD("tos.rtd", , "OPEN_INT", ".FXI201120P47.5")</f>
        <v>2143</v>
      </c>
      <c r="H192">
        <f>RTD("tos.rtd", , "BID", ".FXI201120P47.5")</f>
        <v>0.89</v>
      </c>
      <c r="I192">
        <f>RTD("tos.rtd", , "ASK", ".FXI201120P47.5")</f>
        <v>0.95</v>
      </c>
      <c r="J192">
        <f>RTD("tos.rtd", , "HIGH", ".FXI201120P47.5")</f>
        <v>0.85</v>
      </c>
      <c r="K192">
        <f>RTD("tos.rtd", , "LOW", ".FXI201120P47.5")</f>
        <v>0.56999999999999995</v>
      </c>
      <c r="L192">
        <f>RTD("tos.rtd", , "OPEN", ".FXI201120P47.5")</f>
        <v>0.56999999999999995</v>
      </c>
      <c r="M192" t="str">
        <f>RTD("tos.rtd", , "DELTA", ".FXI201120P47.5")</f>
        <v>N/A</v>
      </c>
      <c r="N192" t="str">
        <f>RTD("tos.rtd", , "GAMMA", ".FXI201120P47.5")</f>
        <v>N/A</v>
      </c>
      <c r="O192" t="str">
        <f>RTD("tos.rtd", , "THETA", ".FXI201120P47.5")</f>
        <v>N/A</v>
      </c>
      <c r="P192" t="str">
        <f>RTD("tos.rtd", , "VEGA", ".FXI201120P47.5")</f>
        <v>N/A</v>
      </c>
      <c r="Q192" t="str">
        <f>RTD("tos.rtd", , "RHO", ".FXI201120P47.5")</f>
        <v>N/A</v>
      </c>
      <c r="R192" t="str">
        <f>RTD("tos.rtd", , "INTRINSIC", ".FXI201120P47.5")</f>
        <v>N/A</v>
      </c>
      <c r="S192" t="str">
        <f>RTD("tos.rtd", , "EXTRINSIC", ".FXI201120P47.5")</f>
        <v>N/A</v>
      </c>
      <c r="T192" t="str">
        <f>RTD("tos.rtd", , "PROB_OF_EXPIRING", ".FXI201120P47.5")</f>
        <v>N/A</v>
      </c>
      <c r="U192" t="str">
        <f>RTD("tos.rtd", , "PROB_OTM", ".FXI201120P47.5")</f>
        <v>N/A</v>
      </c>
      <c r="V192" t="str">
        <f>RTD("tos.rtd", , "PROB_OF_TOUCHING", ".FXI201120P47.5")</f>
        <v>N/A</v>
      </c>
      <c r="W192" t="str">
        <f>RTD("tos.rtd", , "STRIKE", ".FXI201120P47.5")</f>
        <v>N/A</v>
      </c>
    </row>
    <row r="193" spans="1:23" x14ac:dyDescent="0.45">
      <c r="A193" t="s">
        <v>214</v>
      </c>
      <c r="B193" t="str">
        <f>RTD("tos.rtd", , "DESCRIPTION", ".FXI201120C48")</f>
        <v>N/A</v>
      </c>
      <c r="C193" t="str">
        <f>RTD("tos.rtd", , "PUT_CALL_RATIO", ".FXI201120C48")</f>
        <v>N/A</v>
      </c>
      <c r="D193" t="str">
        <f>RTD("tos.rtd", , "IMPL_VOL", ".FXI201120C48")</f>
        <v>N/A</v>
      </c>
      <c r="E193">
        <f>RTD("tos.rtd", , "LAST", ".FXI201120C48")</f>
        <v>0.25</v>
      </c>
      <c r="F193">
        <f>RTD("tos.rtd", , "VOLUME", ".FXI201120C48")</f>
        <v>167</v>
      </c>
      <c r="G193">
        <f>RTD("tos.rtd", , "OPEN_INT", ".FXI201120C48")</f>
        <v>18968</v>
      </c>
      <c r="H193">
        <f>RTD("tos.rtd", , "BID", ".FXI201120C48")</f>
        <v>0.26</v>
      </c>
      <c r="I193">
        <f>RTD("tos.rtd", , "ASK", ".FXI201120C48")</f>
        <v>0.28999999999999998</v>
      </c>
      <c r="J193">
        <f>RTD("tos.rtd", , "HIGH", ".FXI201120C48")</f>
        <v>0.49</v>
      </c>
      <c r="K193">
        <f>RTD("tos.rtd", , "LOW", ".FXI201120C48")</f>
        <v>0.25</v>
      </c>
      <c r="L193">
        <f>RTD("tos.rtd", , "OPEN", ".FXI201120C48")</f>
        <v>0.43</v>
      </c>
      <c r="M193" t="str">
        <f>RTD("tos.rtd", , "DELTA", ".FXI201120C48")</f>
        <v>N/A</v>
      </c>
      <c r="N193" t="str">
        <f>RTD("tos.rtd", , "GAMMA", ".FXI201120C48")</f>
        <v>N/A</v>
      </c>
      <c r="O193" t="str">
        <f>RTD("tos.rtd", , "THETA", ".FXI201120C48")</f>
        <v>N/A</v>
      </c>
      <c r="P193" t="str">
        <f>RTD("tos.rtd", , "VEGA", ".FXI201120C48")</f>
        <v>N/A</v>
      </c>
      <c r="Q193" t="str">
        <f>RTD("tos.rtd", , "RHO", ".FXI201120C48")</f>
        <v>N/A</v>
      </c>
      <c r="R193" t="str">
        <f>RTD("tos.rtd", , "INTRINSIC", ".FXI201120C48")</f>
        <v>N/A</v>
      </c>
      <c r="S193" t="str">
        <f>RTD("tos.rtd", , "EXTRINSIC", ".FXI201120C48")</f>
        <v>N/A</v>
      </c>
      <c r="T193" t="str">
        <f>RTD("tos.rtd", , "PROB_OF_EXPIRING", ".FXI201120C48")</f>
        <v>N/A</v>
      </c>
      <c r="U193" t="str">
        <f>RTD("tos.rtd", , "PROB_OTM", ".FXI201120C48")</f>
        <v>N/A</v>
      </c>
      <c r="V193" t="str">
        <f>RTD("tos.rtd", , "PROB_OF_TOUCHING", ".FXI201120C48")</f>
        <v>N/A</v>
      </c>
      <c r="W193" t="str">
        <f>RTD("tos.rtd", , "STRIKE", ".FXI201120C48")</f>
        <v>N/A</v>
      </c>
    </row>
    <row r="194" spans="1:23" x14ac:dyDescent="0.45">
      <c r="A194" t="s">
        <v>215</v>
      </c>
      <c r="B194" t="str">
        <f>RTD("tos.rtd", , "DESCRIPTION", ".FXI201120P48")</f>
        <v>N/A</v>
      </c>
      <c r="C194" t="str">
        <f>RTD("tos.rtd", , "PUT_CALL_RATIO", ".FXI201120P48")</f>
        <v>N/A</v>
      </c>
      <c r="D194" t="str">
        <f>RTD("tos.rtd", , "IMPL_VOL", ".FXI201120P48")</f>
        <v>N/A</v>
      </c>
      <c r="E194">
        <f>RTD("tos.rtd", , "LAST", ".FXI201120P48")</f>
        <v>0.9</v>
      </c>
      <c r="F194">
        <f>RTD("tos.rtd", , "VOLUME", ".FXI201120P48")</f>
        <v>9</v>
      </c>
      <c r="G194">
        <f>RTD("tos.rtd", , "OPEN_INT", ".FXI201120P48")</f>
        <v>5865</v>
      </c>
      <c r="H194">
        <f>RTD("tos.rtd", , "BID", ".FXI201120P48")</f>
        <v>1.2</v>
      </c>
      <c r="I194">
        <f>RTD("tos.rtd", , "ASK", ".FXI201120P48")</f>
        <v>1.29</v>
      </c>
      <c r="J194">
        <f>RTD("tos.rtd", , "HIGH", ".FXI201120P48")</f>
        <v>0.9</v>
      </c>
      <c r="K194">
        <f>RTD("tos.rtd", , "LOW", ".FXI201120P48")</f>
        <v>0.85</v>
      </c>
      <c r="L194">
        <f>RTD("tos.rtd", , "OPEN", ".FXI201120P48")</f>
        <v>0.85</v>
      </c>
      <c r="M194" t="str">
        <f>RTD("tos.rtd", , "DELTA", ".FXI201120P48")</f>
        <v>N/A</v>
      </c>
      <c r="N194" t="str">
        <f>RTD("tos.rtd", , "GAMMA", ".FXI201120P48")</f>
        <v>N/A</v>
      </c>
      <c r="O194" t="str">
        <f>RTD("tos.rtd", , "THETA", ".FXI201120P48")</f>
        <v>N/A</v>
      </c>
      <c r="P194" t="str">
        <f>RTD("tos.rtd", , "VEGA", ".FXI201120P48")</f>
        <v>N/A</v>
      </c>
      <c r="Q194" t="str">
        <f>RTD("tos.rtd", , "RHO", ".FXI201120P48")</f>
        <v>N/A</v>
      </c>
      <c r="R194" t="str">
        <f>RTD("tos.rtd", , "INTRINSIC", ".FXI201120P48")</f>
        <v>N/A</v>
      </c>
      <c r="S194" t="str">
        <f>RTD("tos.rtd", , "EXTRINSIC", ".FXI201120P48")</f>
        <v>N/A</v>
      </c>
      <c r="T194" t="str">
        <f>RTD("tos.rtd", , "PROB_OF_EXPIRING", ".FXI201120P48")</f>
        <v>N/A</v>
      </c>
      <c r="U194" t="str">
        <f>RTD("tos.rtd", , "PROB_OTM", ".FXI201120P48")</f>
        <v>N/A</v>
      </c>
      <c r="V194" t="str">
        <f>RTD("tos.rtd", , "PROB_OF_TOUCHING", ".FXI201120P48")</f>
        <v>N/A</v>
      </c>
      <c r="W194" t="str">
        <f>RTD("tos.rtd", , "STRIKE", ".FXI201120P48")</f>
        <v>N/A</v>
      </c>
    </row>
    <row r="195" spans="1:23" x14ac:dyDescent="0.45">
      <c r="A195" t="s">
        <v>216</v>
      </c>
      <c r="B195" t="str">
        <f>RTD("tos.rtd", , "DESCRIPTION", "GDX")</f>
        <v>VANECK VECTORS ETF TRUST GOLD MINERS ETF</v>
      </c>
      <c r="C195">
        <f>RTD("tos.rtd", , "PUT_CALL_RATIO", "GDX")</f>
        <v>0.64500000000000002</v>
      </c>
      <c r="D195" t="str">
        <f>RTD("tos.rtd", , "IMPL_VOL", "GDX")</f>
        <v>41.39%</v>
      </c>
      <c r="E195">
        <f>RTD("tos.rtd", , "LAST", "GDX")</f>
        <v>37.49</v>
      </c>
      <c r="F195">
        <f>RTD("tos.rtd", , "VOLUME", "GDX")</f>
        <v>21204910</v>
      </c>
      <c r="G195">
        <f>RTD("tos.rtd", , "OPEN_INT", "GDX")</f>
        <v>0</v>
      </c>
      <c r="H195">
        <f>RTD("tos.rtd", , "BID", "GDX")</f>
        <v>37.56</v>
      </c>
      <c r="I195">
        <f>RTD("tos.rtd", , "ASK", "GDX")</f>
        <v>37.869999999999997</v>
      </c>
      <c r="J195">
        <f>RTD("tos.rtd", , "HIGH", "GDX")</f>
        <v>38.08</v>
      </c>
      <c r="K195">
        <f>RTD("tos.rtd", , "LOW", "GDX")</f>
        <v>37.39</v>
      </c>
      <c r="L195">
        <f>RTD("tos.rtd", , "OPEN", "GDX")</f>
        <v>37.5</v>
      </c>
      <c r="M195">
        <f>RTD("tos.rtd", , "DELTA", "GDX")</f>
        <v>1</v>
      </c>
      <c r="N195">
        <f>RTD("tos.rtd", , "GAMMA", "GDX")</f>
        <v>0</v>
      </c>
      <c r="O195">
        <f>RTD("tos.rtd", , "THETA", "GDX")</f>
        <v>0</v>
      </c>
      <c r="P195">
        <f>RTD("tos.rtd", , "VEGA", "GDX")</f>
        <v>0</v>
      </c>
      <c r="Q195">
        <f>RTD("tos.rtd", , "RHO", "GDX")</f>
        <v>0</v>
      </c>
      <c r="R195" t="str">
        <f>RTD("tos.rtd", , "INTRINSIC", "GDX")</f>
        <v>N/A</v>
      </c>
      <c r="S195" t="str">
        <f>RTD("tos.rtd", , "EXTRINSIC", "GDX")</f>
        <v>N/A</v>
      </c>
      <c r="T195" t="str">
        <f>RTD("tos.rtd", , "PROB_OF_EXPIRING", "GDX")</f>
        <v>N/A</v>
      </c>
      <c r="U195" t="str">
        <f>RTD("tos.rtd", , "PROB_OTM", "GDX")</f>
        <v>N/A</v>
      </c>
      <c r="V195" t="str">
        <f>RTD("tos.rtd", , "PROB_OF_TOUCHING", "GDX")</f>
        <v>N/A</v>
      </c>
      <c r="W195" t="str">
        <f>RTD("tos.rtd", , "STRIKE", "GDX")</f>
        <v>N/A</v>
      </c>
    </row>
    <row r="196" spans="1:23" x14ac:dyDescent="0.45">
      <c r="A196" t="s">
        <v>217</v>
      </c>
      <c r="B196" t="str">
        <f>RTD("tos.rtd", , "DESCRIPTION", ".GDX201120C36.5")</f>
        <v>N/A</v>
      </c>
      <c r="C196" t="str">
        <f>RTD("tos.rtd", , "PUT_CALL_RATIO", ".GDX201120C36.5")</f>
        <v>N/A</v>
      </c>
      <c r="D196" t="str">
        <f>RTD("tos.rtd", , "IMPL_VOL", ".GDX201120C36.5")</f>
        <v>N/A</v>
      </c>
      <c r="E196">
        <f>RTD("tos.rtd", , "LAST", ".GDX201120C36.5")</f>
        <v>1.46</v>
      </c>
      <c r="F196">
        <f>RTD("tos.rtd", , "VOLUME", ".GDX201120C36.5")</f>
        <v>567</v>
      </c>
      <c r="G196">
        <f>RTD("tos.rtd", , "OPEN_INT", ".GDX201120C36.5")</f>
        <v>236</v>
      </c>
      <c r="H196">
        <f>RTD("tos.rtd", , "BID", ".GDX201120C36.5")</f>
        <v>1.45</v>
      </c>
      <c r="I196">
        <f>RTD("tos.rtd", , "ASK", ".GDX201120C36.5")</f>
        <v>1.51</v>
      </c>
      <c r="J196">
        <f>RTD("tos.rtd", , "HIGH", ".GDX201120C36.5")</f>
        <v>1.81</v>
      </c>
      <c r="K196">
        <f>RTD("tos.rtd", , "LOW", ".GDX201120C36.5")</f>
        <v>1.45</v>
      </c>
      <c r="L196">
        <f>RTD("tos.rtd", , "OPEN", ".GDX201120C36.5")</f>
        <v>1.59</v>
      </c>
      <c r="M196" t="str">
        <f>RTD("tos.rtd", , "DELTA", ".GDX201120C36.5")</f>
        <v>N/A</v>
      </c>
      <c r="N196" t="str">
        <f>RTD("tos.rtd", , "GAMMA", ".GDX201120C36.5")</f>
        <v>N/A</v>
      </c>
      <c r="O196" t="str">
        <f>RTD("tos.rtd", , "THETA", ".GDX201120C36.5")</f>
        <v>N/A</v>
      </c>
      <c r="P196" t="str">
        <f>RTD("tos.rtd", , "VEGA", ".GDX201120C36.5")</f>
        <v>N/A</v>
      </c>
      <c r="Q196" t="str">
        <f>RTD("tos.rtd", , "RHO", ".GDX201120C36.5")</f>
        <v>N/A</v>
      </c>
      <c r="R196" t="str">
        <f>RTD("tos.rtd", , "INTRINSIC", ".GDX201120C36.5")</f>
        <v>N/A</v>
      </c>
      <c r="S196" t="str">
        <f>RTD("tos.rtd", , "EXTRINSIC", ".GDX201120C36.5")</f>
        <v>N/A</v>
      </c>
      <c r="T196" t="str">
        <f>RTD("tos.rtd", , "PROB_OF_EXPIRING", ".GDX201120C36.5")</f>
        <v>N/A</v>
      </c>
      <c r="U196" t="str">
        <f>RTD("tos.rtd", , "PROB_OTM", ".GDX201120C36.5")</f>
        <v>N/A</v>
      </c>
      <c r="V196" t="str">
        <f>RTD("tos.rtd", , "PROB_OF_TOUCHING", ".GDX201120C36.5")</f>
        <v>N/A</v>
      </c>
      <c r="W196" t="str">
        <f>RTD("tos.rtd", , "STRIKE", ".GDX201120C36.5")</f>
        <v>N/A</v>
      </c>
    </row>
    <row r="197" spans="1:23" x14ac:dyDescent="0.45">
      <c r="A197" t="s">
        <v>218</v>
      </c>
      <c r="B197" t="str">
        <f>RTD("tos.rtd", , "DESCRIPTION", ".GDX201120P36.5")</f>
        <v>N/A</v>
      </c>
      <c r="C197" t="str">
        <f>RTD("tos.rtd", , "PUT_CALL_RATIO", ".GDX201120P36.5")</f>
        <v>N/A</v>
      </c>
      <c r="D197" t="str">
        <f>RTD("tos.rtd", , "IMPL_VOL", ".GDX201120P36.5")</f>
        <v>N/A</v>
      </c>
      <c r="E197">
        <f>RTD("tos.rtd", , "LAST", ".GDX201120P36.5")</f>
        <v>0.47</v>
      </c>
      <c r="F197">
        <f>RTD("tos.rtd", , "VOLUME", ".GDX201120P36.5")</f>
        <v>415</v>
      </c>
      <c r="G197">
        <f>RTD("tos.rtd", , "OPEN_INT", ".GDX201120P36.5")</f>
        <v>8665</v>
      </c>
      <c r="H197">
        <f>RTD("tos.rtd", , "BID", ".GDX201120P36.5")</f>
        <v>0.45</v>
      </c>
      <c r="I197">
        <f>RTD("tos.rtd", , "ASK", ".GDX201120P36.5")</f>
        <v>0.5</v>
      </c>
      <c r="J197">
        <f>RTD("tos.rtd", , "HIGH", ".GDX201120P36.5")</f>
        <v>0.48</v>
      </c>
      <c r="K197">
        <f>RTD("tos.rtd", , "LOW", ".GDX201120P36.5")</f>
        <v>0.34</v>
      </c>
      <c r="L197">
        <f>RTD("tos.rtd", , "OPEN", ".GDX201120P36.5")</f>
        <v>0.44</v>
      </c>
      <c r="M197" t="str">
        <f>RTD("tos.rtd", , "DELTA", ".GDX201120P36.5")</f>
        <v>N/A</v>
      </c>
      <c r="N197" t="str">
        <f>RTD("tos.rtd", , "GAMMA", ".GDX201120P36.5")</f>
        <v>N/A</v>
      </c>
      <c r="O197" t="str">
        <f>RTD("tos.rtd", , "THETA", ".GDX201120P36.5")</f>
        <v>N/A</v>
      </c>
      <c r="P197" t="str">
        <f>RTD("tos.rtd", , "VEGA", ".GDX201120P36.5")</f>
        <v>N/A</v>
      </c>
      <c r="Q197" t="str">
        <f>RTD("tos.rtd", , "RHO", ".GDX201120P36.5")</f>
        <v>N/A</v>
      </c>
      <c r="R197" t="str">
        <f>RTD("tos.rtd", , "INTRINSIC", ".GDX201120P36.5")</f>
        <v>N/A</v>
      </c>
      <c r="S197" t="str">
        <f>RTD("tos.rtd", , "EXTRINSIC", ".GDX201120P36.5")</f>
        <v>N/A</v>
      </c>
      <c r="T197" t="str">
        <f>RTD("tos.rtd", , "PROB_OF_EXPIRING", ".GDX201120P36.5")</f>
        <v>N/A</v>
      </c>
      <c r="U197" t="str">
        <f>RTD("tos.rtd", , "PROB_OTM", ".GDX201120P36.5")</f>
        <v>N/A</v>
      </c>
      <c r="V197" t="str">
        <f>RTD("tos.rtd", , "PROB_OF_TOUCHING", ".GDX201120P36.5")</f>
        <v>N/A</v>
      </c>
      <c r="W197" t="str">
        <f>RTD("tos.rtd", , "STRIKE", ".GDX201120P36.5")</f>
        <v>N/A</v>
      </c>
    </row>
    <row r="198" spans="1:23" x14ac:dyDescent="0.45">
      <c r="A198" t="s">
        <v>219</v>
      </c>
      <c r="B198" t="str">
        <f>RTD("tos.rtd", , "DESCRIPTION", ".GDX201120C37")</f>
        <v>N/A</v>
      </c>
      <c r="C198" t="str">
        <f>RTD("tos.rtd", , "PUT_CALL_RATIO", ".GDX201120C37")</f>
        <v>N/A</v>
      </c>
      <c r="D198" t="str">
        <f>RTD("tos.rtd", , "IMPL_VOL", ".GDX201120C37")</f>
        <v>N/A</v>
      </c>
      <c r="E198">
        <f>RTD("tos.rtd", , "LAST", ".GDX201120C37")</f>
        <v>1.1299999999999999</v>
      </c>
      <c r="F198">
        <f>RTD("tos.rtd", , "VOLUME", ".GDX201120C37")</f>
        <v>647</v>
      </c>
      <c r="G198">
        <f>RTD("tos.rtd", , "OPEN_INT", ".GDX201120C37")</f>
        <v>2624</v>
      </c>
      <c r="H198">
        <f>RTD("tos.rtd", , "BID", ".GDX201120C37")</f>
        <v>1.1200000000000001</v>
      </c>
      <c r="I198">
        <f>RTD("tos.rtd", , "ASK", ".GDX201120C37")</f>
        <v>1.19</v>
      </c>
      <c r="J198">
        <f>RTD("tos.rtd", , "HIGH", ".GDX201120C37")</f>
        <v>1.54</v>
      </c>
      <c r="K198">
        <f>RTD("tos.rtd", , "LOW", ".GDX201120C37")</f>
        <v>1.1000000000000001</v>
      </c>
      <c r="L198">
        <f>RTD("tos.rtd", , "OPEN", ".GDX201120C37")</f>
        <v>1.54</v>
      </c>
      <c r="M198" t="str">
        <f>RTD("tos.rtd", , "DELTA", ".GDX201120C37")</f>
        <v>N/A</v>
      </c>
      <c r="N198" t="str">
        <f>RTD("tos.rtd", , "GAMMA", ".GDX201120C37")</f>
        <v>N/A</v>
      </c>
      <c r="O198" t="str">
        <f>RTD("tos.rtd", , "THETA", ".GDX201120C37")</f>
        <v>N/A</v>
      </c>
      <c r="P198" t="str">
        <f>RTD("tos.rtd", , "VEGA", ".GDX201120C37")</f>
        <v>N/A</v>
      </c>
      <c r="Q198" t="str">
        <f>RTD("tos.rtd", , "RHO", ".GDX201120C37")</f>
        <v>N/A</v>
      </c>
      <c r="R198" t="str">
        <f>RTD("tos.rtd", , "INTRINSIC", ".GDX201120C37")</f>
        <v>N/A</v>
      </c>
      <c r="S198" t="str">
        <f>RTD("tos.rtd", , "EXTRINSIC", ".GDX201120C37")</f>
        <v>N/A</v>
      </c>
      <c r="T198" t="str">
        <f>RTD("tos.rtd", , "PROB_OF_EXPIRING", ".GDX201120C37")</f>
        <v>N/A</v>
      </c>
      <c r="U198" t="str">
        <f>RTD("tos.rtd", , "PROB_OTM", ".GDX201120C37")</f>
        <v>N/A</v>
      </c>
      <c r="V198" t="str">
        <f>RTD("tos.rtd", , "PROB_OF_TOUCHING", ".GDX201120C37")</f>
        <v>N/A</v>
      </c>
      <c r="W198" t="str">
        <f>RTD("tos.rtd", , "STRIKE", ".GDX201120C37")</f>
        <v>N/A</v>
      </c>
    </row>
    <row r="199" spans="1:23" x14ac:dyDescent="0.45">
      <c r="A199" t="s">
        <v>220</v>
      </c>
      <c r="B199" t="str">
        <f>RTD("tos.rtd", , "DESCRIPTION", ".GDX201120P37")</f>
        <v>N/A</v>
      </c>
      <c r="C199" t="str">
        <f>RTD("tos.rtd", , "PUT_CALL_RATIO", ".GDX201120P37")</f>
        <v>N/A</v>
      </c>
      <c r="D199" t="str">
        <f>RTD("tos.rtd", , "IMPL_VOL", ".GDX201120P37")</f>
        <v>N/A</v>
      </c>
      <c r="E199">
        <f>RTD("tos.rtd", , "LAST", ".GDX201120P37")</f>
        <v>0.66</v>
      </c>
      <c r="F199">
        <f>RTD("tos.rtd", , "VOLUME", ".GDX201120P37")</f>
        <v>1996</v>
      </c>
      <c r="G199">
        <f>RTD("tos.rtd", , "OPEN_INT", ".GDX201120P37")</f>
        <v>29879</v>
      </c>
      <c r="H199">
        <f>RTD("tos.rtd", , "BID", ".GDX201120P37")</f>
        <v>0.62</v>
      </c>
      <c r="I199">
        <f>RTD("tos.rtd", , "ASK", ".GDX201120P37")</f>
        <v>0.72</v>
      </c>
      <c r="J199">
        <f>RTD("tos.rtd", , "HIGH", ".GDX201120P37")</f>
        <v>0.71</v>
      </c>
      <c r="K199">
        <f>RTD("tos.rtd", , "LOW", ".GDX201120P37")</f>
        <v>0.46</v>
      </c>
      <c r="L199">
        <f>RTD("tos.rtd", , "OPEN", ".GDX201120P37")</f>
        <v>0.71</v>
      </c>
      <c r="M199" t="str">
        <f>RTD("tos.rtd", , "DELTA", ".GDX201120P37")</f>
        <v>N/A</v>
      </c>
      <c r="N199" t="str">
        <f>RTD("tos.rtd", , "GAMMA", ".GDX201120P37")</f>
        <v>N/A</v>
      </c>
      <c r="O199" t="str">
        <f>RTD("tos.rtd", , "THETA", ".GDX201120P37")</f>
        <v>N/A</v>
      </c>
      <c r="P199" t="str">
        <f>RTD("tos.rtd", , "VEGA", ".GDX201120P37")</f>
        <v>N/A</v>
      </c>
      <c r="Q199" t="str">
        <f>RTD("tos.rtd", , "RHO", ".GDX201120P37")</f>
        <v>N/A</v>
      </c>
      <c r="R199" t="str">
        <f>RTD("tos.rtd", , "INTRINSIC", ".GDX201120P37")</f>
        <v>N/A</v>
      </c>
      <c r="S199" t="str">
        <f>RTD("tos.rtd", , "EXTRINSIC", ".GDX201120P37")</f>
        <v>N/A</v>
      </c>
      <c r="T199" t="str">
        <f>RTD("tos.rtd", , "PROB_OF_EXPIRING", ".GDX201120P37")</f>
        <v>N/A</v>
      </c>
      <c r="U199" t="str">
        <f>RTD("tos.rtd", , "PROB_OTM", ".GDX201120P37")</f>
        <v>N/A</v>
      </c>
      <c r="V199" t="str">
        <f>RTD("tos.rtd", , "PROB_OF_TOUCHING", ".GDX201120P37")</f>
        <v>N/A</v>
      </c>
      <c r="W199" t="str">
        <f>RTD("tos.rtd", , "STRIKE", ".GDX201120P37")</f>
        <v>N/A</v>
      </c>
    </row>
    <row r="200" spans="1:23" x14ac:dyDescent="0.45">
      <c r="A200" t="s">
        <v>221</v>
      </c>
      <c r="B200" t="str">
        <f>RTD("tos.rtd", , "DESCRIPTION", ".GDX201120C37.5")</f>
        <v>N/A</v>
      </c>
      <c r="C200" t="str">
        <f>RTD("tos.rtd", , "PUT_CALL_RATIO", ".GDX201120C37.5")</f>
        <v>N/A</v>
      </c>
      <c r="D200" t="str">
        <f>RTD("tos.rtd", , "IMPL_VOL", ".GDX201120C37.5")</f>
        <v>N/A</v>
      </c>
      <c r="E200">
        <f>RTD("tos.rtd", , "LAST", ".GDX201120C37.5")</f>
        <v>0.88</v>
      </c>
      <c r="F200">
        <f>RTD("tos.rtd", , "VOLUME", ".GDX201120C37.5")</f>
        <v>636</v>
      </c>
      <c r="G200">
        <f>RTD("tos.rtd", , "OPEN_INT", ".GDX201120C37.5")</f>
        <v>3861</v>
      </c>
      <c r="H200">
        <f>RTD("tos.rtd", , "BID", ".GDX201120C37.5")</f>
        <v>0.85</v>
      </c>
      <c r="I200">
        <f>RTD("tos.rtd", , "ASK", ".GDX201120C37.5")</f>
        <v>0.9</v>
      </c>
      <c r="J200">
        <f>RTD("tos.rtd", , "HIGH", ".GDX201120C37.5")</f>
        <v>1.18</v>
      </c>
      <c r="K200">
        <f>RTD("tos.rtd", , "LOW", ".GDX201120C37.5")</f>
        <v>0.84</v>
      </c>
      <c r="L200">
        <f>RTD("tos.rtd", , "OPEN", ".GDX201120C37.5")</f>
        <v>1.02</v>
      </c>
      <c r="M200" t="str">
        <f>RTD("tos.rtd", , "DELTA", ".GDX201120C37.5")</f>
        <v>N/A</v>
      </c>
      <c r="N200" t="str">
        <f>RTD("tos.rtd", , "GAMMA", ".GDX201120C37.5")</f>
        <v>N/A</v>
      </c>
      <c r="O200" t="str">
        <f>RTD("tos.rtd", , "THETA", ".GDX201120C37.5")</f>
        <v>N/A</v>
      </c>
      <c r="P200" t="str">
        <f>RTD("tos.rtd", , "VEGA", ".GDX201120C37.5")</f>
        <v>N/A</v>
      </c>
      <c r="Q200" t="str">
        <f>RTD("tos.rtd", , "RHO", ".GDX201120C37.5")</f>
        <v>N/A</v>
      </c>
      <c r="R200" t="str">
        <f>RTD("tos.rtd", , "INTRINSIC", ".GDX201120C37.5")</f>
        <v>N/A</v>
      </c>
      <c r="S200" t="str">
        <f>RTD("tos.rtd", , "EXTRINSIC", ".GDX201120C37.5")</f>
        <v>N/A</v>
      </c>
      <c r="T200" t="str">
        <f>RTD("tos.rtd", , "PROB_OF_EXPIRING", ".GDX201120C37.5")</f>
        <v>N/A</v>
      </c>
      <c r="U200" t="str">
        <f>RTD("tos.rtd", , "PROB_OTM", ".GDX201120C37.5")</f>
        <v>N/A</v>
      </c>
      <c r="V200" t="str">
        <f>RTD("tos.rtd", , "PROB_OF_TOUCHING", ".GDX201120C37.5")</f>
        <v>N/A</v>
      </c>
      <c r="W200" t="str">
        <f>RTD("tos.rtd", , "STRIKE", ".GDX201120C37.5")</f>
        <v>N/A</v>
      </c>
    </row>
    <row r="201" spans="1:23" x14ac:dyDescent="0.45">
      <c r="A201" t="s">
        <v>222</v>
      </c>
      <c r="B201" t="str">
        <f>RTD("tos.rtd", , "DESCRIPTION", ".GDX201120P37.5")</f>
        <v>N/A</v>
      </c>
      <c r="C201" t="str">
        <f>RTD("tos.rtd", , "PUT_CALL_RATIO", ".GDX201120P37.5")</f>
        <v>N/A</v>
      </c>
      <c r="D201" t="str">
        <f>RTD("tos.rtd", , "IMPL_VOL", ".GDX201120P37.5")</f>
        <v>N/A</v>
      </c>
      <c r="E201">
        <f>RTD("tos.rtd", , "LAST", ".GDX201120P37.5")</f>
        <v>0.91</v>
      </c>
      <c r="F201">
        <f>RTD("tos.rtd", , "VOLUME", ".GDX201120P37.5")</f>
        <v>368</v>
      </c>
      <c r="G201">
        <f>RTD("tos.rtd", , "OPEN_INT", ".GDX201120P37.5")</f>
        <v>4909</v>
      </c>
      <c r="H201">
        <f>RTD("tos.rtd", , "BID", ".GDX201120P37.5")</f>
        <v>0.86</v>
      </c>
      <c r="I201">
        <f>RTD("tos.rtd", , "ASK", ".GDX201120P37.5")</f>
        <v>0.9</v>
      </c>
      <c r="J201">
        <f>RTD("tos.rtd", , "HIGH", ".GDX201120P37.5")</f>
        <v>0.95</v>
      </c>
      <c r="K201">
        <f>RTD("tos.rtd", , "LOW", ".GDX201120P37.5")</f>
        <v>0.64</v>
      </c>
      <c r="L201">
        <f>RTD("tos.rtd", , "OPEN", ".GDX201120P37.5")</f>
        <v>0.92</v>
      </c>
      <c r="M201" t="str">
        <f>RTD("tos.rtd", , "DELTA", ".GDX201120P37.5")</f>
        <v>N/A</v>
      </c>
      <c r="N201" t="str">
        <f>RTD("tos.rtd", , "GAMMA", ".GDX201120P37.5")</f>
        <v>N/A</v>
      </c>
      <c r="O201" t="str">
        <f>RTD("tos.rtd", , "THETA", ".GDX201120P37.5")</f>
        <v>N/A</v>
      </c>
      <c r="P201" t="str">
        <f>RTD("tos.rtd", , "VEGA", ".GDX201120P37.5")</f>
        <v>N/A</v>
      </c>
      <c r="Q201" t="str">
        <f>RTD("tos.rtd", , "RHO", ".GDX201120P37.5")</f>
        <v>N/A</v>
      </c>
      <c r="R201" t="str">
        <f>RTD("tos.rtd", , "INTRINSIC", ".GDX201120P37.5")</f>
        <v>N/A</v>
      </c>
      <c r="S201" t="str">
        <f>RTD("tos.rtd", , "EXTRINSIC", ".GDX201120P37.5")</f>
        <v>N/A</v>
      </c>
      <c r="T201" t="str">
        <f>RTD("tos.rtd", , "PROB_OF_EXPIRING", ".GDX201120P37.5")</f>
        <v>N/A</v>
      </c>
      <c r="U201" t="str">
        <f>RTD("tos.rtd", , "PROB_OTM", ".GDX201120P37.5")</f>
        <v>N/A</v>
      </c>
      <c r="V201" t="str">
        <f>RTD("tos.rtd", , "PROB_OF_TOUCHING", ".GDX201120P37.5")</f>
        <v>N/A</v>
      </c>
      <c r="W201" t="str">
        <f>RTD("tos.rtd", , "STRIKE", ".GDX201120P37.5")</f>
        <v>N/A</v>
      </c>
    </row>
    <row r="202" spans="1:23" x14ac:dyDescent="0.45">
      <c r="A202" t="s">
        <v>223</v>
      </c>
      <c r="B202" t="str">
        <f>RTD("tos.rtd", , "DESCRIPTION", "GDXJ")</f>
        <v>VANECK VECTORS ETF TRUST JR GOLD MINERS E ETF</v>
      </c>
      <c r="C202">
        <f>RTD("tos.rtd", , "PUT_CALL_RATIO", "GDXJ")</f>
        <v>0.52400000000000002</v>
      </c>
      <c r="D202" t="str">
        <f>RTD("tos.rtd", , "IMPL_VOL", "GDXJ")</f>
        <v>47.66%</v>
      </c>
      <c r="E202">
        <f>RTD("tos.rtd", , "LAST", "GDXJ")</f>
        <v>53.49</v>
      </c>
      <c r="F202">
        <f>RTD("tos.rtd", , "VOLUME", "GDXJ")</f>
        <v>6467587</v>
      </c>
      <c r="G202">
        <f>RTD("tos.rtd", , "OPEN_INT", "GDXJ")</f>
        <v>0</v>
      </c>
      <c r="H202">
        <f>RTD("tos.rtd", , "BID", "GDXJ")</f>
        <v>53.25</v>
      </c>
      <c r="I202">
        <f>RTD("tos.rtd", , "ASK", "GDXJ")</f>
        <v>54.1</v>
      </c>
      <c r="J202">
        <f>RTD("tos.rtd", , "HIGH", "GDXJ")</f>
        <v>54.6</v>
      </c>
      <c r="K202">
        <f>RTD("tos.rtd", , "LOW", "GDXJ")</f>
        <v>53.34</v>
      </c>
      <c r="L202">
        <f>RTD("tos.rtd", , "OPEN", "GDXJ")</f>
        <v>53.38</v>
      </c>
      <c r="M202">
        <f>RTD("tos.rtd", , "DELTA", "GDXJ")</f>
        <v>1</v>
      </c>
      <c r="N202">
        <f>RTD("tos.rtd", , "GAMMA", "GDXJ")</f>
        <v>0</v>
      </c>
      <c r="O202">
        <f>RTD("tos.rtd", , "THETA", "GDXJ")</f>
        <v>0</v>
      </c>
      <c r="P202">
        <f>RTD("tos.rtd", , "VEGA", "GDXJ")</f>
        <v>0</v>
      </c>
      <c r="Q202">
        <f>RTD("tos.rtd", , "RHO", "GDXJ")</f>
        <v>0</v>
      </c>
      <c r="R202" t="str">
        <f>RTD("tos.rtd", , "INTRINSIC", "GDXJ")</f>
        <v>N/A</v>
      </c>
      <c r="S202" t="str">
        <f>RTD("tos.rtd", , "EXTRINSIC", "GDXJ")</f>
        <v>N/A</v>
      </c>
      <c r="T202" t="str">
        <f>RTD("tos.rtd", , "PROB_OF_EXPIRING", "GDXJ")</f>
        <v>N/A</v>
      </c>
      <c r="U202" t="str">
        <f>RTD("tos.rtd", , "PROB_OTM", "GDXJ")</f>
        <v>N/A</v>
      </c>
      <c r="V202" t="str">
        <f>RTD("tos.rtd", , "PROB_OF_TOUCHING", "GDXJ")</f>
        <v>N/A</v>
      </c>
      <c r="W202" t="str">
        <f>RTD("tos.rtd", , "STRIKE", "GDXJ")</f>
        <v>N/A</v>
      </c>
    </row>
    <row r="203" spans="1:23" x14ac:dyDescent="0.45">
      <c r="A203" t="s">
        <v>224</v>
      </c>
      <c r="B203" t="str">
        <f>RTD("tos.rtd", , "DESCRIPTION", ".GDXJ201120C52")</f>
        <v>N/A</v>
      </c>
      <c r="C203" t="str">
        <f>RTD("tos.rtd", , "PUT_CALL_RATIO", ".GDXJ201120C52")</f>
        <v>N/A</v>
      </c>
      <c r="D203" t="str">
        <f>RTD("tos.rtd", , "IMPL_VOL", ".GDXJ201120C52")</f>
        <v>N/A</v>
      </c>
      <c r="E203">
        <f>RTD("tos.rtd", , "LAST", ".GDXJ201120C52")</f>
        <v>2.11</v>
      </c>
      <c r="F203">
        <f>RTD("tos.rtd", , "VOLUME", ".GDXJ201120C52")</f>
        <v>0</v>
      </c>
      <c r="G203">
        <f>RTD("tos.rtd", , "OPEN_INT", ".GDXJ201120C52")</f>
        <v>65</v>
      </c>
      <c r="H203">
        <f>RTD("tos.rtd", , "BID", ".GDXJ201120C52")</f>
        <v>2.27</v>
      </c>
      <c r="I203">
        <f>RTD("tos.rtd", , "ASK", ".GDXJ201120C52")</f>
        <v>2.38</v>
      </c>
      <c r="J203">
        <f>RTD("tos.rtd", , "HIGH", ".GDXJ201120C52")</f>
        <v>0</v>
      </c>
      <c r="K203">
        <f>RTD("tos.rtd", , "LOW", ".GDXJ201120C52")</f>
        <v>0</v>
      </c>
      <c r="L203">
        <f>RTD("tos.rtd", , "OPEN", ".GDXJ201120C52")</f>
        <v>0</v>
      </c>
      <c r="M203" t="str">
        <f>RTD("tos.rtd", , "DELTA", ".GDXJ201120C52")</f>
        <v>N/A</v>
      </c>
      <c r="N203" t="str">
        <f>RTD("tos.rtd", , "GAMMA", ".GDXJ201120C52")</f>
        <v>N/A</v>
      </c>
      <c r="O203" t="str">
        <f>RTD("tos.rtd", , "THETA", ".GDXJ201120C52")</f>
        <v>N/A</v>
      </c>
      <c r="P203" t="str">
        <f>RTD("tos.rtd", , "VEGA", ".GDXJ201120C52")</f>
        <v>N/A</v>
      </c>
      <c r="Q203" t="str">
        <f>RTD("tos.rtd", , "RHO", ".GDXJ201120C52")</f>
        <v>N/A</v>
      </c>
      <c r="R203" t="str">
        <f>RTD("tos.rtd", , "INTRINSIC", ".GDXJ201120C52")</f>
        <v>N/A</v>
      </c>
      <c r="S203" t="str">
        <f>RTD("tos.rtd", , "EXTRINSIC", ".GDXJ201120C52")</f>
        <v>N/A</v>
      </c>
      <c r="T203" t="str">
        <f>RTD("tos.rtd", , "PROB_OF_EXPIRING", ".GDXJ201120C52")</f>
        <v>N/A</v>
      </c>
      <c r="U203" t="str">
        <f>RTD("tos.rtd", , "PROB_OTM", ".GDXJ201120C52")</f>
        <v>N/A</v>
      </c>
      <c r="V203" t="str">
        <f>RTD("tos.rtd", , "PROB_OF_TOUCHING", ".GDXJ201120C52")</f>
        <v>N/A</v>
      </c>
      <c r="W203" t="str">
        <f>RTD("tos.rtd", , "STRIKE", ".GDXJ201120C52")</f>
        <v>N/A</v>
      </c>
    </row>
    <row r="204" spans="1:23" x14ac:dyDescent="0.45">
      <c r="A204" t="s">
        <v>225</v>
      </c>
      <c r="B204" t="str">
        <f>RTD("tos.rtd", , "DESCRIPTION", ".GDXJ201120P52")</f>
        <v>N/A</v>
      </c>
      <c r="C204" t="str">
        <f>RTD("tos.rtd", , "PUT_CALL_RATIO", ".GDXJ201120P52")</f>
        <v>N/A</v>
      </c>
      <c r="D204" t="str">
        <f>RTD("tos.rtd", , "IMPL_VOL", ".GDXJ201120P52")</f>
        <v>N/A</v>
      </c>
      <c r="E204">
        <f>RTD("tos.rtd", , "LAST", ".GDXJ201120P52")</f>
        <v>0.81</v>
      </c>
      <c r="F204">
        <f>RTD("tos.rtd", , "VOLUME", ".GDXJ201120P52")</f>
        <v>32</v>
      </c>
      <c r="G204">
        <f>RTD("tos.rtd", , "OPEN_INT", ".GDXJ201120P52")</f>
        <v>2022</v>
      </c>
      <c r="H204">
        <f>RTD("tos.rtd", , "BID", ".GDXJ201120P52")</f>
        <v>0.76</v>
      </c>
      <c r="I204">
        <f>RTD("tos.rtd", , "ASK", ".GDXJ201120P52")</f>
        <v>0.87</v>
      </c>
      <c r="J204">
        <f>RTD("tos.rtd", , "HIGH", ".GDXJ201120P52")</f>
        <v>0.83</v>
      </c>
      <c r="K204">
        <f>RTD("tos.rtd", , "LOW", ".GDXJ201120P52")</f>
        <v>0.53</v>
      </c>
      <c r="L204">
        <f>RTD("tos.rtd", , "OPEN", ".GDXJ201120P52")</f>
        <v>0.83</v>
      </c>
      <c r="M204" t="str">
        <f>RTD("tos.rtd", , "DELTA", ".GDXJ201120P52")</f>
        <v>N/A</v>
      </c>
      <c r="N204" t="str">
        <f>RTD("tos.rtd", , "GAMMA", ".GDXJ201120P52")</f>
        <v>N/A</v>
      </c>
      <c r="O204" t="str">
        <f>RTD("tos.rtd", , "THETA", ".GDXJ201120P52")</f>
        <v>N/A</v>
      </c>
      <c r="P204" t="str">
        <f>RTD("tos.rtd", , "VEGA", ".GDXJ201120P52")</f>
        <v>N/A</v>
      </c>
      <c r="Q204" t="str">
        <f>RTD("tos.rtd", , "RHO", ".GDXJ201120P52")</f>
        <v>N/A</v>
      </c>
      <c r="R204" t="str">
        <f>RTD("tos.rtd", , "INTRINSIC", ".GDXJ201120P52")</f>
        <v>N/A</v>
      </c>
      <c r="S204" t="str">
        <f>RTD("tos.rtd", , "EXTRINSIC", ".GDXJ201120P52")</f>
        <v>N/A</v>
      </c>
      <c r="T204" t="str">
        <f>RTD("tos.rtd", , "PROB_OF_EXPIRING", ".GDXJ201120P52")</f>
        <v>N/A</v>
      </c>
      <c r="U204" t="str">
        <f>RTD("tos.rtd", , "PROB_OTM", ".GDXJ201120P52")</f>
        <v>N/A</v>
      </c>
      <c r="V204" t="str">
        <f>RTD("tos.rtd", , "PROB_OF_TOUCHING", ".GDXJ201120P52")</f>
        <v>N/A</v>
      </c>
      <c r="W204" t="str">
        <f>RTD("tos.rtd", , "STRIKE", ".GDXJ201120P52")</f>
        <v>N/A</v>
      </c>
    </row>
    <row r="205" spans="1:23" x14ac:dyDescent="0.45">
      <c r="A205" t="s">
        <v>226</v>
      </c>
      <c r="B205" t="str">
        <f>RTD("tos.rtd", , "DESCRIPTION", ".GDXJ201120C52.5")</f>
        <v>N/A</v>
      </c>
      <c r="C205" t="str">
        <f>RTD("tos.rtd", , "PUT_CALL_RATIO", ".GDXJ201120C52.5")</f>
        <v>N/A</v>
      </c>
      <c r="D205" t="str">
        <f>RTD("tos.rtd", , "IMPL_VOL", ".GDXJ201120C52.5")</f>
        <v>N/A</v>
      </c>
      <c r="E205">
        <f>RTD("tos.rtd", , "LAST", ".GDXJ201120C52.5")</f>
        <v>2.08</v>
      </c>
      <c r="F205">
        <f>RTD("tos.rtd", , "VOLUME", ".GDXJ201120C52.5")</f>
        <v>11</v>
      </c>
      <c r="G205">
        <f>RTD("tos.rtd", , "OPEN_INT", ".GDXJ201120C52.5")</f>
        <v>89</v>
      </c>
      <c r="H205">
        <f>RTD("tos.rtd", , "BID", ".GDXJ201120C52.5")</f>
        <v>1.94</v>
      </c>
      <c r="I205">
        <f>RTD("tos.rtd", , "ASK", ".GDXJ201120C52.5")</f>
        <v>2.06</v>
      </c>
      <c r="J205">
        <f>RTD("tos.rtd", , "HIGH", ".GDXJ201120C52.5")</f>
        <v>2.2400000000000002</v>
      </c>
      <c r="K205">
        <f>RTD("tos.rtd", , "LOW", ".GDXJ201120C52.5")</f>
        <v>2.06</v>
      </c>
      <c r="L205">
        <f>RTD("tos.rtd", , "OPEN", ".GDXJ201120C52.5")</f>
        <v>2.2400000000000002</v>
      </c>
      <c r="M205" t="str">
        <f>RTD("tos.rtd", , "DELTA", ".GDXJ201120C52.5")</f>
        <v>N/A</v>
      </c>
      <c r="N205" t="str">
        <f>RTD("tos.rtd", , "GAMMA", ".GDXJ201120C52.5")</f>
        <v>N/A</v>
      </c>
      <c r="O205" t="str">
        <f>RTD("tos.rtd", , "THETA", ".GDXJ201120C52.5")</f>
        <v>N/A</v>
      </c>
      <c r="P205" t="str">
        <f>RTD("tos.rtd", , "VEGA", ".GDXJ201120C52.5")</f>
        <v>N/A</v>
      </c>
      <c r="Q205" t="str">
        <f>RTD("tos.rtd", , "RHO", ".GDXJ201120C52.5")</f>
        <v>N/A</v>
      </c>
      <c r="R205" t="str">
        <f>RTD("tos.rtd", , "INTRINSIC", ".GDXJ201120C52.5")</f>
        <v>N/A</v>
      </c>
      <c r="S205" t="str">
        <f>RTD("tos.rtd", , "EXTRINSIC", ".GDXJ201120C52.5")</f>
        <v>N/A</v>
      </c>
      <c r="T205" t="str">
        <f>RTD("tos.rtd", , "PROB_OF_EXPIRING", ".GDXJ201120C52.5")</f>
        <v>N/A</v>
      </c>
      <c r="U205" t="str">
        <f>RTD("tos.rtd", , "PROB_OTM", ".GDXJ201120C52.5")</f>
        <v>N/A</v>
      </c>
      <c r="V205" t="str">
        <f>RTD("tos.rtd", , "PROB_OF_TOUCHING", ".GDXJ201120C52.5")</f>
        <v>N/A</v>
      </c>
      <c r="W205" t="str">
        <f>RTD("tos.rtd", , "STRIKE", ".GDXJ201120C52.5")</f>
        <v>N/A</v>
      </c>
    </row>
    <row r="206" spans="1:23" x14ac:dyDescent="0.45">
      <c r="A206" t="s">
        <v>227</v>
      </c>
      <c r="B206" t="str">
        <f>RTD("tos.rtd", , "DESCRIPTION", ".GDXJ201120P52.5")</f>
        <v>N/A</v>
      </c>
      <c r="C206" t="str">
        <f>RTD("tos.rtd", , "PUT_CALL_RATIO", ".GDXJ201120P52.5")</f>
        <v>N/A</v>
      </c>
      <c r="D206" t="str">
        <f>RTD("tos.rtd", , "IMPL_VOL", ".GDXJ201120P52.5")</f>
        <v>N/A</v>
      </c>
      <c r="E206">
        <f>RTD("tos.rtd", , "LAST", ".GDXJ201120P52.5")</f>
        <v>0.89</v>
      </c>
      <c r="F206">
        <f>RTD("tos.rtd", , "VOLUME", ".GDXJ201120P52.5")</f>
        <v>98</v>
      </c>
      <c r="G206">
        <f>RTD("tos.rtd", , "OPEN_INT", ".GDXJ201120P52.5")</f>
        <v>432</v>
      </c>
      <c r="H206">
        <f>RTD("tos.rtd", , "BID", ".GDXJ201120P52.5")</f>
        <v>0.95</v>
      </c>
      <c r="I206">
        <f>RTD("tos.rtd", , "ASK", ".GDXJ201120P52.5")</f>
        <v>1.03</v>
      </c>
      <c r="J206">
        <f>RTD("tos.rtd", , "HIGH", ".GDXJ201120P52.5")</f>
        <v>1.02</v>
      </c>
      <c r="K206">
        <f>RTD("tos.rtd", , "LOW", ".GDXJ201120P52.5")</f>
        <v>0.7</v>
      </c>
      <c r="L206">
        <f>RTD("tos.rtd", , "OPEN", ".GDXJ201120P52.5")</f>
        <v>1.02</v>
      </c>
      <c r="M206" t="str">
        <f>RTD("tos.rtd", , "DELTA", ".GDXJ201120P52.5")</f>
        <v>N/A</v>
      </c>
      <c r="N206" t="str">
        <f>RTD("tos.rtd", , "GAMMA", ".GDXJ201120P52.5")</f>
        <v>N/A</v>
      </c>
      <c r="O206" t="str">
        <f>RTD("tos.rtd", , "THETA", ".GDXJ201120P52.5")</f>
        <v>N/A</v>
      </c>
      <c r="P206" t="str">
        <f>RTD("tos.rtd", , "VEGA", ".GDXJ201120P52.5")</f>
        <v>N/A</v>
      </c>
      <c r="Q206" t="str">
        <f>RTD("tos.rtd", , "RHO", ".GDXJ201120P52.5")</f>
        <v>N/A</v>
      </c>
      <c r="R206" t="str">
        <f>RTD("tos.rtd", , "INTRINSIC", ".GDXJ201120P52.5")</f>
        <v>N/A</v>
      </c>
      <c r="S206" t="str">
        <f>RTD("tos.rtd", , "EXTRINSIC", ".GDXJ201120P52.5")</f>
        <v>N/A</v>
      </c>
      <c r="T206" t="str">
        <f>RTD("tos.rtd", , "PROB_OF_EXPIRING", ".GDXJ201120P52.5")</f>
        <v>N/A</v>
      </c>
      <c r="U206" t="str">
        <f>RTD("tos.rtd", , "PROB_OTM", ".GDXJ201120P52.5")</f>
        <v>N/A</v>
      </c>
      <c r="V206" t="str">
        <f>RTD("tos.rtd", , "PROB_OF_TOUCHING", ".GDXJ201120P52.5")</f>
        <v>N/A</v>
      </c>
      <c r="W206" t="str">
        <f>RTD("tos.rtd", , "STRIKE", ".GDXJ201120P52.5")</f>
        <v>N/A</v>
      </c>
    </row>
    <row r="207" spans="1:23" x14ac:dyDescent="0.45">
      <c r="A207" t="s">
        <v>228</v>
      </c>
      <c r="B207" t="str">
        <f>RTD("tos.rtd", , "DESCRIPTION", ".GDXJ201120C53")</f>
        <v>N/A</v>
      </c>
      <c r="C207" t="str">
        <f>RTD("tos.rtd", , "PUT_CALL_RATIO", ".GDXJ201120C53")</f>
        <v>N/A</v>
      </c>
      <c r="D207" t="str">
        <f>RTD("tos.rtd", , "IMPL_VOL", ".GDXJ201120C53")</f>
        <v>N/A</v>
      </c>
      <c r="E207">
        <f>RTD("tos.rtd", , "LAST", ".GDXJ201120C53")</f>
        <v>1.78</v>
      </c>
      <c r="F207">
        <f>RTD("tos.rtd", , "VOLUME", ".GDXJ201120C53")</f>
        <v>30</v>
      </c>
      <c r="G207">
        <f>RTD("tos.rtd", , "OPEN_INT", ".GDXJ201120C53")</f>
        <v>111</v>
      </c>
      <c r="H207">
        <f>RTD("tos.rtd", , "BID", ".GDXJ201120C53")</f>
        <v>1.66</v>
      </c>
      <c r="I207">
        <f>RTD("tos.rtd", , "ASK", ".GDXJ201120C53")</f>
        <v>1.76</v>
      </c>
      <c r="J207">
        <f>RTD("tos.rtd", , "HIGH", ".GDXJ201120C53")</f>
        <v>2.34</v>
      </c>
      <c r="K207">
        <f>RTD("tos.rtd", , "LOW", ".GDXJ201120C53")</f>
        <v>1.77</v>
      </c>
      <c r="L207">
        <f>RTD("tos.rtd", , "OPEN", ".GDXJ201120C53")</f>
        <v>2.16</v>
      </c>
      <c r="M207" t="str">
        <f>RTD("tos.rtd", , "DELTA", ".GDXJ201120C53")</f>
        <v>N/A</v>
      </c>
      <c r="N207" t="str">
        <f>RTD("tos.rtd", , "GAMMA", ".GDXJ201120C53")</f>
        <v>N/A</v>
      </c>
      <c r="O207" t="str">
        <f>RTD("tos.rtd", , "THETA", ".GDXJ201120C53")</f>
        <v>N/A</v>
      </c>
      <c r="P207" t="str">
        <f>RTD("tos.rtd", , "VEGA", ".GDXJ201120C53")</f>
        <v>N/A</v>
      </c>
      <c r="Q207" t="str">
        <f>RTD("tos.rtd", , "RHO", ".GDXJ201120C53")</f>
        <v>N/A</v>
      </c>
      <c r="R207" t="str">
        <f>RTD("tos.rtd", , "INTRINSIC", ".GDXJ201120C53")</f>
        <v>N/A</v>
      </c>
      <c r="S207" t="str">
        <f>RTD("tos.rtd", , "EXTRINSIC", ".GDXJ201120C53")</f>
        <v>N/A</v>
      </c>
      <c r="T207" t="str">
        <f>RTD("tos.rtd", , "PROB_OF_EXPIRING", ".GDXJ201120C53")</f>
        <v>N/A</v>
      </c>
      <c r="U207" t="str">
        <f>RTD("tos.rtd", , "PROB_OTM", ".GDXJ201120C53")</f>
        <v>N/A</v>
      </c>
      <c r="V207" t="str">
        <f>RTD("tos.rtd", , "PROB_OF_TOUCHING", ".GDXJ201120C53")</f>
        <v>N/A</v>
      </c>
      <c r="W207" t="str">
        <f>RTD("tos.rtd", , "STRIKE", ".GDXJ201120C53")</f>
        <v>N/A</v>
      </c>
    </row>
    <row r="208" spans="1:23" x14ac:dyDescent="0.45">
      <c r="A208" t="s">
        <v>229</v>
      </c>
      <c r="B208" t="str">
        <f>RTD("tos.rtd", , "DESCRIPTION", ".GDXJ201120P53")</f>
        <v>N/A</v>
      </c>
      <c r="C208" t="str">
        <f>RTD("tos.rtd", , "PUT_CALL_RATIO", ".GDXJ201120P53")</f>
        <v>N/A</v>
      </c>
      <c r="D208" t="str">
        <f>RTD("tos.rtd", , "IMPL_VOL", ".GDXJ201120P53")</f>
        <v>N/A</v>
      </c>
      <c r="E208">
        <f>RTD("tos.rtd", , "LAST", ".GDXJ201120P53")</f>
        <v>1.21</v>
      </c>
      <c r="F208">
        <f>RTD("tos.rtd", , "VOLUME", ".GDXJ201120P53")</f>
        <v>78</v>
      </c>
      <c r="G208">
        <f>RTD("tos.rtd", , "OPEN_INT", ".GDXJ201120P53")</f>
        <v>226</v>
      </c>
      <c r="H208">
        <f>RTD("tos.rtd", , "BID", ".GDXJ201120P53")</f>
        <v>1.1599999999999999</v>
      </c>
      <c r="I208">
        <f>RTD("tos.rtd", , "ASK", ".GDXJ201120P53")</f>
        <v>1.24</v>
      </c>
      <c r="J208">
        <f>RTD("tos.rtd", , "HIGH", ".GDXJ201120P53")</f>
        <v>1.21</v>
      </c>
      <c r="K208">
        <f>RTD("tos.rtd", , "LOW", ".GDXJ201120P53")</f>
        <v>0.9</v>
      </c>
      <c r="L208">
        <f>RTD("tos.rtd", , "OPEN", ".GDXJ201120P53")</f>
        <v>1.1599999999999999</v>
      </c>
      <c r="M208" t="str">
        <f>RTD("tos.rtd", , "DELTA", ".GDXJ201120P53")</f>
        <v>N/A</v>
      </c>
      <c r="N208" t="str">
        <f>RTD("tos.rtd", , "GAMMA", ".GDXJ201120P53")</f>
        <v>N/A</v>
      </c>
      <c r="O208" t="str">
        <f>RTD("tos.rtd", , "THETA", ".GDXJ201120P53")</f>
        <v>N/A</v>
      </c>
      <c r="P208" t="str">
        <f>RTD("tos.rtd", , "VEGA", ".GDXJ201120P53")</f>
        <v>N/A</v>
      </c>
      <c r="Q208" t="str">
        <f>RTD("tos.rtd", , "RHO", ".GDXJ201120P53")</f>
        <v>N/A</v>
      </c>
      <c r="R208" t="str">
        <f>RTD("tos.rtd", , "INTRINSIC", ".GDXJ201120P53")</f>
        <v>N/A</v>
      </c>
      <c r="S208" t="str">
        <f>RTD("tos.rtd", , "EXTRINSIC", ".GDXJ201120P53")</f>
        <v>N/A</v>
      </c>
      <c r="T208" t="str">
        <f>RTD("tos.rtd", , "PROB_OF_EXPIRING", ".GDXJ201120P53")</f>
        <v>N/A</v>
      </c>
      <c r="U208" t="str">
        <f>RTD("tos.rtd", , "PROB_OTM", ".GDXJ201120P53")</f>
        <v>N/A</v>
      </c>
      <c r="V208" t="str">
        <f>RTD("tos.rtd", , "PROB_OF_TOUCHING", ".GDXJ201120P53")</f>
        <v>N/A</v>
      </c>
      <c r="W208" t="str">
        <f>RTD("tos.rtd", , "STRIKE", ".GDXJ201120P53")</f>
        <v>N/A</v>
      </c>
    </row>
    <row r="209" spans="1:23" x14ac:dyDescent="0.45">
      <c r="A209" t="s">
        <v>230</v>
      </c>
      <c r="B209" t="str">
        <f>RTD("tos.rtd", , "DESCRIPTION", ".GDXJ201120C53.5")</f>
        <v>N/A</v>
      </c>
      <c r="C209" t="str">
        <f>RTD("tos.rtd", , "PUT_CALL_RATIO", ".GDXJ201120C53.5")</f>
        <v>N/A</v>
      </c>
      <c r="D209" t="str">
        <f>RTD("tos.rtd", , "IMPL_VOL", ".GDXJ201120C53.5")</f>
        <v>N/A</v>
      </c>
      <c r="E209">
        <f>RTD("tos.rtd", , "LAST", ".GDXJ201120C53.5")</f>
        <v>1.79</v>
      </c>
      <c r="F209">
        <f>RTD("tos.rtd", , "VOLUME", ".GDXJ201120C53.5")</f>
        <v>61</v>
      </c>
      <c r="G209">
        <f>RTD("tos.rtd", , "OPEN_INT", ".GDXJ201120C53.5")</f>
        <v>128</v>
      </c>
      <c r="H209">
        <f>RTD("tos.rtd", , "BID", ".GDXJ201120C53.5")</f>
        <v>1.39</v>
      </c>
      <c r="I209">
        <f>RTD("tos.rtd", , "ASK", ".GDXJ201120C53.5")</f>
        <v>1.5</v>
      </c>
      <c r="J209">
        <f>RTD("tos.rtd", , "HIGH", ".GDXJ201120C53.5")</f>
        <v>1.9</v>
      </c>
      <c r="K209">
        <f>RTD("tos.rtd", , "LOW", ".GDXJ201120C53.5")</f>
        <v>1.79</v>
      </c>
      <c r="L209">
        <f>RTD("tos.rtd", , "OPEN", ".GDXJ201120C53.5")</f>
        <v>1.88</v>
      </c>
      <c r="M209" t="str">
        <f>RTD("tos.rtd", , "DELTA", ".GDXJ201120C53.5")</f>
        <v>N/A</v>
      </c>
      <c r="N209" t="str">
        <f>RTD("tos.rtd", , "GAMMA", ".GDXJ201120C53.5")</f>
        <v>N/A</v>
      </c>
      <c r="O209" t="str">
        <f>RTD("tos.rtd", , "THETA", ".GDXJ201120C53.5")</f>
        <v>N/A</v>
      </c>
      <c r="P209" t="str">
        <f>RTD("tos.rtd", , "VEGA", ".GDXJ201120C53.5")</f>
        <v>N/A</v>
      </c>
      <c r="Q209" t="str">
        <f>RTD("tos.rtd", , "RHO", ".GDXJ201120C53.5")</f>
        <v>N/A</v>
      </c>
      <c r="R209" t="str">
        <f>RTD("tos.rtd", , "INTRINSIC", ".GDXJ201120C53.5")</f>
        <v>N/A</v>
      </c>
      <c r="S209" t="str">
        <f>RTD("tos.rtd", , "EXTRINSIC", ".GDXJ201120C53.5")</f>
        <v>N/A</v>
      </c>
      <c r="T209" t="str">
        <f>RTD("tos.rtd", , "PROB_OF_EXPIRING", ".GDXJ201120C53.5")</f>
        <v>N/A</v>
      </c>
      <c r="U209" t="str">
        <f>RTD("tos.rtd", , "PROB_OTM", ".GDXJ201120C53.5")</f>
        <v>N/A</v>
      </c>
      <c r="V209" t="str">
        <f>RTD("tos.rtd", , "PROB_OF_TOUCHING", ".GDXJ201120C53.5")</f>
        <v>N/A</v>
      </c>
      <c r="W209" t="str">
        <f>RTD("tos.rtd", , "STRIKE", ".GDXJ201120C53.5")</f>
        <v>N/A</v>
      </c>
    </row>
    <row r="210" spans="1:23" x14ac:dyDescent="0.45">
      <c r="A210" t="s">
        <v>231</v>
      </c>
      <c r="B210" t="str">
        <f>RTD("tos.rtd", , "DESCRIPTION", ".GDXJ201120P53.5")</f>
        <v>N/A</v>
      </c>
      <c r="C210" t="str">
        <f>RTD("tos.rtd", , "PUT_CALL_RATIO", ".GDXJ201120P53.5")</f>
        <v>N/A</v>
      </c>
      <c r="D210" t="str">
        <f>RTD("tos.rtd", , "IMPL_VOL", ".GDXJ201120P53.5")</f>
        <v>N/A</v>
      </c>
      <c r="E210">
        <f>RTD("tos.rtd", , "LAST", ".GDXJ201120P53.5")</f>
        <v>1.31</v>
      </c>
      <c r="F210">
        <f>RTD("tos.rtd", , "VOLUME", ".GDXJ201120P53.5")</f>
        <v>31</v>
      </c>
      <c r="G210">
        <f>RTD("tos.rtd", , "OPEN_INT", ".GDXJ201120P53.5")</f>
        <v>198</v>
      </c>
      <c r="H210">
        <f>RTD("tos.rtd", , "BID", ".GDXJ201120P53.5")</f>
        <v>1.08</v>
      </c>
      <c r="I210">
        <f>RTD("tos.rtd", , "ASK", ".GDXJ201120P53.5")</f>
        <v>1.46</v>
      </c>
      <c r="J210">
        <f>RTD("tos.rtd", , "HIGH", ".GDXJ201120P53.5")</f>
        <v>1.42</v>
      </c>
      <c r="K210">
        <f>RTD("tos.rtd", , "LOW", ".GDXJ201120P53.5")</f>
        <v>1.0900000000000001</v>
      </c>
      <c r="L210">
        <f>RTD("tos.rtd", , "OPEN", ".GDXJ201120P53.5")</f>
        <v>1.0900000000000001</v>
      </c>
      <c r="M210" t="str">
        <f>RTD("tos.rtd", , "DELTA", ".GDXJ201120P53.5")</f>
        <v>N/A</v>
      </c>
      <c r="N210" t="str">
        <f>RTD("tos.rtd", , "GAMMA", ".GDXJ201120P53.5")</f>
        <v>N/A</v>
      </c>
      <c r="O210" t="str">
        <f>RTD("tos.rtd", , "THETA", ".GDXJ201120P53.5")</f>
        <v>N/A</v>
      </c>
      <c r="P210" t="str">
        <f>RTD("tos.rtd", , "VEGA", ".GDXJ201120P53.5")</f>
        <v>N/A</v>
      </c>
      <c r="Q210" t="str">
        <f>RTD("tos.rtd", , "RHO", ".GDXJ201120P53.5")</f>
        <v>N/A</v>
      </c>
      <c r="R210" t="str">
        <f>RTD("tos.rtd", , "INTRINSIC", ".GDXJ201120P53.5")</f>
        <v>N/A</v>
      </c>
      <c r="S210" t="str">
        <f>RTD("tos.rtd", , "EXTRINSIC", ".GDXJ201120P53.5")</f>
        <v>N/A</v>
      </c>
      <c r="T210" t="str">
        <f>RTD("tos.rtd", , "PROB_OF_EXPIRING", ".GDXJ201120P53.5")</f>
        <v>N/A</v>
      </c>
      <c r="U210" t="str">
        <f>RTD("tos.rtd", , "PROB_OTM", ".GDXJ201120P53.5")</f>
        <v>N/A</v>
      </c>
      <c r="V210" t="str">
        <f>RTD("tos.rtd", , "PROB_OF_TOUCHING", ".GDXJ201120P53.5")</f>
        <v>N/A</v>
      </c>
      <c r="W210" t="str">
        <f>RTD("tos.rtd", , "STRIKE", ".GDXJ201120P53.5")</f>
        <v>N/A</v>
      </c>
    </row>
    <row r="211" spans="1:23" x14ac:dyDescent="0.45">
      <c r="A211" t="s">
        <v>232</v>
      </c>
      <c r="B211" t="str">
        <f>RTD("tos.rtd", , "DESCRIPTION", ".GDXJ201120C54")</f>
        <v>N/A</v>
      </c>
      <c r="C211" t="str">
        <f>RTD("tos.rtd", , "PUT_CALL_RATIO", ".GDXJ201120C54")</f>
        <v>N/A</v>
      </c>
      <c r="D211" t="str">
        <f>RTD("tos.rtd", , "IMPL_VOL", ".GDXJ201120C54")</f>
        <v>N/A</v>
      </c>
      <c r="E211">
        <f>RTD("tos.rtd", , "LAST", ".GDXJ201120C54")</f>
        <v>1.22</v>
      </c>
      <c r="F211">
        <f>RTD("tos.rtd", , "VOLUME", ".GDXJ201120C54")</f>
        <v>38</v>
      </c>
      <c r="G211">
        <f>RTD("tos.rtd", , "OPEN_INT", ".GDXJ201120C54")</f>
        <v>619</v>
      </c>
      <c r="H211">
        <f>RTD("tos.rtd", , "BID", ".GDXJ201120C54")</f>
        <v>0.84</v>
      </c>
      <c r="I211">
        <f>RTD("tos.rtd", , "ASK", ".GDXJ201120C54")</f>
        <v>1.25</v>
      </c>
      <c r="J211">
        <f>RTD("tos.rtd", , "HIGH", ".GDXJ201120C54")</f>
        <v>1.69</v>
      </c>
      <c r="K211">
        <f>RTD("tos.rtd", , "LOW", ".GDXJ201120C54")</f>
        <v>1.22</v>
      </c>
      <c r="L211">
        <f>RTD("tos.rtd", , "OPEN", ".GDXJ201120C54")</f>
        <v>1.3</v>
      </c>
      <c r="M211" t="str">
        <f>RTD("tos.rtd", , "DELTA", ".GDXJ201120C54")</f>
        <v>N/A</v>
      </c>
      <c r="N211" t="str">
        <f>RTD("tos.rtd", , "GAMMA", ".GDXJ201120C54")</f>
        <v>N/A</v>
      </c>
      <c r="O211" t="str">
        <f>RTD("tos.rtd", , "THETA", ".GDXJ201120C54")</f>
        <v>N/A</v>
      </c>
      <c r="P211" t="str">
        <f>RTD("tos.rtd", , "VEGA", ".GDXJ201120C54")</f>
        <v>N/A</v>
      </c>
      <c r="Q211" t="str">
        <f>RTD("tos.rtd", , "RHO", ".GDXJ201120C54")</f>
        <v>N/A</v>
      </c>
      <c r="R211" t="str">
        <f>RTD("tos.rtd", , "INTRINSIC", ".GDXJ201120C54")</f>
        <v>N/A</v>
      </c>
      <c r="S211" t="str">
        <f>RTD("tos.rtd", , "EXTRINSIC", ".GDXJ201120C54")</f>
        <v>N/A</v>
      </c>
      <c r="T211" t="str">
        <f>RTD("tos.rtd", , "PROB_OF_EXPIRING", ".GDXJ201120C54")</f>
        <v>N/A</v>
      </c>
      <c r="U211" t="str">
        <f>RTD("tos.rtd", , "PROB_OTM", ".GDXJ201120C54")</f>
        <v>N/A</v>
      </c>
      <c r="V211" t="str">
        <f>RTD("tos.rtd", , "PROB_OF_TOUCHING", ".GDXJ201120C54")</f>
        <v>N/A</v>
      </c>
      <c r="W211" t="str">
        <f>RTD("tos.rtd", , "STRIKE", ".GDXJ201120C54")</f>
        <v>N/A</v>
      </c>
    </row>
    <row r="212" spans="1:23" x14ac:dyDescent="0.45">
      <c r="A212" t="s">
        <v>233</v>
      </c>
      <c r="B212" t="str">
        <f>RTD("tos.rtd", , "DESCRIPTION", ".GDXJ201120P54")</f>
        <v>N/A</v>
      </c>
      <c r="C212" t="str">
        <f>RTD("tos.rtd", , "PUT_CALL_RATIO", ".GDXJ201120P54")</f>
        <v>N/A</v>
      </c>
      <c r="D212" t="str">
        <f>RTD("tos.rtd", , "IMPL_VOL", ".GDXJ201120P54")</f>
        <v>N/A</v>
      </c>
      <c r="E212">
        <f>RTD("tos.rtd", , "LAST", ".GDXJ201120P54")</f>
        <v>1.57</v>
      </c>
      <c r="F212">
        <f>RTD("tos.rtd", , "VOLUME", ".GDXJ201120P54")</f>
        <v>57</v>
      </c>
      <c r="G212">
        <f>RTD("tos.rtd", , "OPEN_INT", ".GDXJ201120P54")</f>
        <v>342</v>
      </c>
      <c r="H212">
        <f>RTD("tos.rtd", , "BID", ".GDXJ201120P54")</f>
        <v>1.63</v>
      </c>
      <c r="I212">
        <f>RTD("tos.rtd", , "ASK", ".GDXJ201120P54")</f>
        <v>1.77</v>
      </c>
      <c r="J212">
        <f>RTD("tos.rtd", , "HIGH", ".GDXJ201120P54")</f>
        <v>1.63</v>
      </c>
      <c r="K212">
        <f>RTD("tos.rtd", , "LOW", ".GDXJ201120P54")</f>
        <v>1.25</v>
      </c>
      <c r="L212">
        <f>RTD("tos.rtd", , "OPEN", ".GDXJ201120P54")</f>
        <v>1.63</v>
      </c>
      <c r="M212" t="str">
        <f>RTD("tos.rtd", , "DELTA", ".GDXJ201120P54")</f>
        <v>N/A</v>
      </c>
      <c r="N212" t="str">
        <f>RTD("tos.rtd", , "GAMMA", ".GDXJ201120P54")</f>
        <v>N/A</v>
      </c>
      <c r="O212" t="str">
        <f>RTD("tos.rtd", , "THETA", ".GDXJ201120P54")</f>
        <v>N/A</v>
      </c>
      <c r="P212" t="str">
        <f>RTD("tos.rtd", , "VEGA", ".GDXJ201120P54")</f>
        <v>N/A</v>
      </c>
      <c r="Q212" t="str">
        <f>RTD("tos.rtd", , "RHO", ".GDXJ201120P54")</f>
        <v>N/A</v>
      </c>
      <c r="R212" t="str">
        <f>RTD("tos.rtd", , "INTRINSIC", ".GDXJ201120P54")</f>
        <v>N/A</v>
      </c>
      <c r="S212" t="str">
        <f>RTD("tos.rtd", , "EXTRINSIC", ".GDXJ201120P54")</f>
        <v>N/A</v>
      </c>
      <c r="T212" t="str">
        <f>RTD("tos.rtd", , "PROB_OF_EXPIRING", ".GDXJ201120P54")</f>
        <v>N/A</v>
      </c>
      <c r="U212" t="str">
        <f>RTD("tos.rtd", , "PROB_OTM", ".GDXJ201120P54")</f>
        <v>N/A</v>
      </c>
      <c r="V212" t="str">
        <f>RTD("tos.rtd", , "PROB_OF_TOUCHING", ".GDXJ201120P54")</f>
        <v>N/A</v>
      </c>
      <c r="W212" t="str">
        <f>RTD("tos.rtd", , "STRIKE", ".GDXJ201120P54")</f>
        <v>N/A</v>
      </c>
    </row>
    <row r="213" spans="1:23" x14ac:dyDescent="0.45">
      <c r="A213" t="s">
        <v>234</v>
      </c>
      <c r="B213" t="str">
        <f>RTD("tos.rtd", , "DESCRIPTION", "GUSH")</f>
        <v>N/A</v>
      </c>
      <c r="C213">
        <f>RTD("tos.rtd", , "PUT_CALL_RATIO", "GUSH")</f>
        <v>0.30299999999999999</v>
      </c>
      <c r="D213" t="str">
        <f>RTD("tos.rtd", , "IMPL_VOL", "GUSH")</f>
        <v>114.08%</v>
      </c>
      <c r="E213">
        <f>RTD("tos.rtd", , "LAST", "GUSH")</f>
        <v>24.78</v>
      </c>
      <c r="F213">
        <f>RTD("tos.rtd", , "VOLUME", "GUSH")</f>
        <v>4585965</v>
      </c>
      <c r="G213">
        <f>RTD("tos.rtd", , "OPEN_INT", "GUSH")</f>
        <v>0</v>
      </c>
      <c r="H213">
        <f>RTD("tos.rtd", , "BID", "GUSH")</f>
        <v>24.5</v>
      </c>
      <c r="I213">
        <f>RTD("tos.rtd", , "ASK", "GUSH")</f>
        <v>24.75</v>
      </c>
      <c r="J213">
        <f>RTD("tos.rtd", , "HIGH", "GUSH")</f>
        <v>27.05</v>
      </c>
      <c r="K213">
        <f>RTD("tos.rtd", , "LOW", "GUSH")</f>
        <v>24.27</v>
      </c>
      <c r="L213">
        <f>RTD("tos.rtd", , "OPEN", "GUSH")</f>
        <v>26.07</v>
      </c>
      <c r="M213">
        <f>RTD("tos.rtd", , "DELTA", "GUSH")</f>
        <v>1</v>
      </c>
      <c r="N213">
        <f>RTD("tos.rtd", , "GAMMA", "GUSH")</f>
        <v>0</v>
      </c>
      <c r="O213">
        <f>RTD("tos.rtd", , "THETA", "GUSH")</f>
        <v>0</v>
      </c>
      <c r="P213">
        <f>RTD("tos.rtd", , "VEGA", "GUSH")</f>
        <v>0</v>
      </c>
      <c r="Q213">
        <f>RTD("tos.rtd", , "RHO", "GUSH")</f>
        <v>0</v>
      </c>
      <c r="R213" t="str">
        <f>RTD("tos.rtd", , "INTRINSIC", "GUSH")</f>
        <v>N/A</v>
      </c>
      <c r="S213" t="str">
        <f>RTD("tos.rtd", , "EXTRINSIC", "GUSH")</f>
        <v>N/A</v>
      </c>
      <c r="T213" t="str">
        <f>RTD("tos.rtd", , "PROB_OF_EXPIRING", "GUSH")</f>
        <v>N/A</v>
      </c>
      <c r="U213" t="str">
        <f>RTD("tos.rtd", , "PROB_OTM", "GUSH")</f>
        <v>N/A</v>
      </c>
      <c r="V213" t="str">
        <f>RTD("tos.rtd", , "PROB_OF_TOUCHING", "GUSH")</f>
        <v>N/A</v>
      </c>
      <c r="W213" t="str">
        <f>RTD("tos.rtd", , "STRIKE", "GUSH")</f>
        <v>N/A</v>
      </c>
    </row>
    <row r="214" spans="1:23" x14ac:dyDescent="0.45">
      <c r="A214" t="s">
        <v>235</v>
      </c>
      <c r="B214" t="str">
        <f>RTD("tos.rtd", , "DESCRIPTION", ".GUSH201120C26")</f>
        <v>N/A</v>
      </c>
      <c r="C214" t="str">
        <f>RTD("tos.rtd", , "PUT_CALL_RATIO", ".GUSH201120C26")</f>
        <v>N/A</v>
      </c>
      <c r="D214" t="str">
        <f>RTD("tos.rtd", , "IMPL_VOL", ".GUSH201120C26")</f>
        <v>N/A</v>
      </c>
      <c r="E214">
        <f>RTD("tos.rtd", , "LAST", ".GUSH201120C26")</f>
        <v>0.95</v>
      </c>
      <c r="F214">
        <f>RTD("tos.rtd", , "VOLUME", ".GUSH201120C26")</f>
        <v>692</v>
      </c>
      <c r="G214">
        <f>RTD("tos.rtd", , "OPEN_INT", ".GUSH201120C26")</f>
        <v>459</v>
      </c>
      <c r="H214">
        <f>RTD("tos.rtd", , "BID", ".GUSH201120C26")</f>
        <v>1</v>
      </c>
      <c r="I214">
        <f>RTD("tos.rtd", , "ASK", ".GUSH201120C26")</f>
        <v>1.1499999999999999</v>
      </c>
      <c r="J214">
        <f>RTD("tos.rtd", , "HIGH", ".GUSH201120C26")</f>
        <v>1.8</v>
      </c>
      <c r="K214">
        <f>RTD("tos.rtd", , "LOW", ".GUSH201120C26")</f>
        <v>0.9</v>
      </c>
      <c r="L214">
        <f>RTD("tos.rtd", , "OPEN", ".GUSH201120C26")</f>
        <v>1.55</v>
      </c>
      <c r="M214" t="str">
        <f>RTD("tos.rtd", , "DELTA", ".GUSH201120C26")</f>
        <v>N/A</v>
      </c>
      <c r="N214" t="str">
        <f>RTD("tos.rtd", , "GAMMA", ".GUSH201120C26")</f>
        <v>N/A</v>
      </c>
      <c r="O214" t="str">
        <f>RTD("tos.rtd", , "THETA", ".GUSH201120C26")</f>
        <v>N/A</v>
      </c>
      <c r="P214" t="str">
        <f>RTD("tos.rtd", , "VEGA", ".GUSH201120C26")</f>
        <v>N/A</v>
      </c>
      <c r="Q214" t="str">
        <f>RTD("tos.rtd", , "RHO", ".GUSH201120C26")</f>
        <v>N/A</v>
      </c>
      <c r="R214" t="str">
        <f>RTD("tos.rtd", , "INTRINSIC", ".GUSH201120C26")</f>
        <v>N/A</v>
      </c>
      <c r="S214" t="str">
        <f>RTD("tos.rtd", , "EXTRINSIC", ".GUSH201120C26")</f>
        <v>N/A</v>
      </c>
      <c r="T214" t="str">
        <f>RTD("tos.rtd", , "PROB_OF_EXPIRING", ".GUSH201120C26")</f>
        <v>N/A</v>
      </c>
      <c r="U214" t="str">
        <f>RTD("tos.rtd", , "PROB_OTM", ".GUSH201120C26")</f>
        <v>N/A</v>
      </c>
      <c r="V214" t="str">
        <f>RTD("tos.rtd", , "PROB_OF_TOUCHING", ".GUSH201120C26")</f>
        <v>N/A</v>
      </c>
      <c r="W214" t="str">
        <f>RTD("tos.rtd", , "STRIKE", ".GUSH201120C26")</f>
        <v>N/A</v>
      </c>
    </row>
    <row r="215" spans="1:23" x14ac:dyDescent="0.45">
      <c r="A215" t="s">
        <v>236</v>
      </c>
      <c r="B215" t="str">
        <f>RTD("tos.rtd", , "DESCRIPTION", ".GUSH201120P26")</f>
        <v>N/A</v>
      </c>
      <c r="C215" t="str">
        <f>RTD("tos.rtd", , "PUT_CALL_RATIO", ".GUSH201120P26")</f>
        <v>N/A</v>
      </c>
      <c r="D215" t="str">
        <f>RTD("tos.rtd", , "IMPL_VOL", ".GUSH201120P26")</f>
        <v>N/A</v>
      </c>
      <c r="E215">
        <f>RTD("tos.rtd", , "LAST", ".GUSH201120P26")</f>
        <v>2.35</v>
      </c>
      <c r="F215">
        <f>RTD("tos.rtd", , "VOLUME", ".GUSH201120P26")</f>
        <v>263</v>
      </c>
      <c r="G215">
        <f>RTD("tos.rtd", , "OPEN_INT", ".GUSH201120P26")</f>
        <v>149</v>
      </c>
      <c r="H215">
        <f>RTD("tos.rtd", , "BID", ".GUSH201120P26")</f>
        <v>2.15</v>
      </c>
      <c r="I215">
        <f>RTD("tos.rtd", , "ASK", ".GUSH201120P26")</f>
        <v>2.4</v>
      </c>
      <c r="J215">
        <f>RTD("tos.rtd", , "HIGH", ".GUSH201120P26")</f>
        <v>2.5</v>
      </c>
      <c r="K215">
        <f>RTD("tos.rtd", , "LOW", ".GUSH201120P26")</f>
        <v>1.25</v>
      </c>
      <c r="L215">
        <f>RTD("tos.rtd", , "OPEN", ".GUSH201120P26")</f>
        <v>1.5</v>
      </c>
      <c r="M215" t="str">
        <f>RTD("tos.rtd", , "DELTA", ".GUSH201120P26")</f>
        <v>N/A</v>
      </c>
      <c r="N215" t="str">
        <f>RTD("tos.rtd", , "GAMMA", ".GUSH201120P26")</f>
        <v>N/A</v>
      </c>
      <c r="O215" t="str">
        <f>RTD("tos.rtd", , "THETA", ".GUSH201120P26")</f>
        <v>N/A</v>
      </c>
      <c r="P215" t="str">
        <f>RTD("tos.rtd", , "VEGA", ".GUSH201120P26")</f>
        <v>N/A</v>
      </c>
      <c r="Q215" t="str">
        <f>RTD("tos.rtd", , "RHO", ".GUSH201120P26")</f>
        <v>N/A</v>
      </c>
      <c r="R215" t="str">
        <f>RTD("tos.rtd", , "INTRINSIC", ".GUSH201120P26")</f>
        <v>N/A</v>
      </c>
      <c r="S215" t="str">
        <f>RTD("tos.rtd", , "EXTRINSIC", ".GUSH201120P26")</f>
        <v>N/A</v>
      </c>
      <c r="T215" t="str">
        <f>RTD("tos.rtd", , "PROB_OF_EXPIRING", ".GUSH201120P26")</f>
        <v>N/A</v>
      </c>
      <c r="U215" t="str">
        <f>RTD("tos.rtd", , "PROB_OTM", ".GUSH201120P26")</f>
        <v>N/A</v>
      </c>
      <c r="V215" t="str">
        <f>RTD("tos.rtd", , "PROB_OF_TOUCHING", ".GUSH201120P26")</f>
        <v>N/A</v>
      </c>
      <c r="W215" t="str">
        <f>RTD("tos.rtd", , "STRIKE", ".GUSH201120P26")</f>
        <v>N/A</v>
      </c>
    </row>
    <row r="216" spans="1:23" x14ac:dyDescent="0.45">
      <c r="A216" t="s">
        <v>237</v>
      </c>
      <c r="B216" t="str">
        <f>RTD("tos.rtd", , "DESCRIPTION", ".GUSH201120C27")</f>
        <v>N/A</v>
      </c>
      <c r="C216" t="str">
        <f>RTD("tos.rtd", , "PUT_CALL_RATIO", ".GUSH201120C27")</f>
        <v>N/A</v>
      </c>
      <c r="D216" t="str">
        <f>RTD("tos.rtd", , "IMPL_VOL", ".GUSH201120C27")</f>
        <v>N/A</v>
      </c>
      <c r="E216">
        <f>RTD("tos.rtd", , "LAST", ".GUSH201120C27")</f>
        <v>0.75</v>
      </c>
      <c r="F216">
        <f>RTD("tos.rtd", , "VOLUME", ".GUSH201120C27")</f>
        <v>263</v>
      </c>
      <c r="G216">
        <f>RTD("tos.rtd", , "OPEN_INT", ".GUSH201120C27")</f>
        <v>844</v>
      </c>
      <c r="H216">
        <f>RTD("tos.rtd", , "BID", ".GUSH201120C27")</f>
        <v>0.6</v>
      </c>
      <c r="I216">
        <f>RTD("tos.rtd", , "ASK", ".GUSH201120C27")</f>
        <v>0.85</v>
      </c>
      <c r="J216">
        <f>RTD("tos.rtd", , "HIGH", ".GUSH201120C27")</f>
        <v>1.5</v>
      </c>
      <c r="K216">
        <f>RTD("tos.rtd", , "LOW", ".GUSH201120C27")</f>
        <v>0.64</v>
      </c>
      <c r="L216">
        <f>RTD("tos.rtd", , "OPEN", ".GUSH201120C27")</f>
        <v>1.05</v>
      </c>
      <c r="M216" t="str">
        <f>RTD("tos.rtd", , "DELTA", ".GUSH201120C27")</f>
        <v>N/A</v>
      </c>
      <c r="N216" t="str">
        <f>RTD("tos.rtd", , "GAMMA", ".GUSH201120C27")</f>
        <v>N/A</v>
      </c>
      <c r="O216" t="str">
        <f>RTD("tos.rtd", , "THETA", ".GUSH201120C27")</f>
        <v>N/A</v>
      </c>
      <c r="P216" t="str">
        <f>RTD("tos.rtd", , "VEGA", ".GUSH201120C27")</f>
        <v>N/A</v>
      </c>
      <c r="Q216" t="str">
        <f>RTD("tos.rtd", , "RHO", ".GUSH201120C27")</f>
        <v>N/A</v>
      </c>
      <c r="R216" t="str">
        <f>RTD("tos.rtd", , "INTRINSIC", ".GUSH201120C27")</f>
        <v>N/A</v>
      </c>
      <c r="S216" t="str">
        <f>RTD("tos.rtd", , "EXTRINSIC", ".GUSH201120C27")</f>
        <v>N/A</v>
      </c>
      <c r="T216" t="str">
        <f>RTD("tos.rtd", , "PROB_OF_EXPIRING", ".GUSH201120C27")</f>
        <v>N/A</v>
      </c>
      <c r="U216" t="str">
        <f>RTD("tos.rtd", , "PROB_OTM", ".GUSH201120C27")</f>
        <v>N/A</v>
      </c>
      <c r="V216" t="str">
        <f>RTD("tos.rtd", , "PROB_OF_TOUCHING", ".GUSH201120C27")</f>
        <v>N/A</v>
      </c>
      <c r="W216" t="str">
        <f>RTD("tos.rtd", , "STRIKE", ".GUSH201120C27")</f>
        <v>N/A</v>
      </c>
    </row>
    <row r="217" spans="1:23" x14ac:dyDescent="0.45">
      <c r="A217" t="s">
        <v>238</v>
      </c>
      <c r="B217" t="str">
        <f>RTD("tos.rtd", , "DESCRIPTION", ".GUSH201120P27")</f>
        <v>N/A</v>
      </c>
      <c r="C217" t="str">
        <f>RTD("tos.rtd", , "PUT_CALL_RATIO", ".GUSH201120P27")</f>
        <v>N/A</v>
      </c>
      <c r="D217" t="str">
        <f>RTD("tos.rtd", , "IMPL_VOL", ".GUSH201120P27")</f>
        <v>N/A</v>
      </c>
      <c r="E217">
        <f>RTD("tos.rtd", , "LAST", ".GUSH201120P27")</f>
        <v>2.5</v>
      </c>
      <c r="F217">
        <f>RTD("tos.rtd", , "VOLUME", ".GUSH201120P27")</f>
        <v>20</v>
      </c>
      <c r="G217">
        <f>RTD("tos.rtd", , "OPEN_INT", ".GUSH201120P27")</f>
        <v>25</v>
      </c>
      <c r="H217">
        <f>RTD("tos.rtd", , "BID", ".GUSH201120P27")</f>
        <v>2.85</v>
      </c>
      <c r="I217">
        <f>RTD("tos.rtd", , "ASK", ".GUSH201120P27")</f>
        <v>3.1</v>
      </c>
      <c r="J217">
        <f>RTD("tos.rtd", , "HIGH", ".GUSH201120P27")</f>
        <v>2.65</v>
      </c>
      <c r="K217">
        <f>RTD("tos.rtd", , "LOW", ".GUSH201120P27")</f>
        <v>1.7</v>
      </c>
      <c r="L217">
        <f>RTD("tos.rtd", , "OPEN", ".GUSH201120P27")</f>
        <v>1.9</v>
      </c>
      <c r="M217" t="str">
        <f>RTD("tos.rtd", , "DELTA", ".GUSH201120P27")</f>
        <v>N/A</v>
      </c>
      <c r="N217" t="str">
        <f>RTD("tos.rtd", , "GAMMA", ".GUSH201120P27")</f>
        <v>N/A</v>
      </c>
      <c r="O217" t="str">
        <f>RTD("tos.rtd", , "THETA", ".GUSH201120P27")</f>
        <v>N/A</v>
      </c>
      <c r="P217" t="str">
        <f>RTD("tos.rtd", , "VEGA", ".GUSH201120P27")</f>
        <v>N/A</v>
      </c>
      <c r="Q217" t="str">
        <f>RTD("tos.rtd", , "RHO", ".GUSH201120P27")</f>
        <v>N/A</v>
      </c>
      <c r="R217" t="str">
        <f>RTD("tos.rtd", , "INTRINSIC", ".GUSH201120P27")</f>
        <v>N/A</v>
      </c>
      <c r="S217" t="str">
        <f>RTD("tos.rtd", , "EXTRINSIC", ".GUSH201120P27")</f>
        <v>N/A</v>
      </c>
      <c r="T217" t="str">
        <f>RTD("tos.rtd", , "PROB_OF_EXPIRING", ".GUSH201120P27")</f>
        <v>N/A</v>
      </c>
      <c r="U217" t="str">
        <f>RTD("tos.rtd", , "PROB_OTM", ".GUSH201120P27")</f>
        <v>N/A</v>
      </c>
      <c r="V217" t="str">
        <f>RTD("tos.rtd", , "PROB_OF_TOUCHING", ".GUSH201120P27")</f>
        <v>N/A</v>
      </c>
      <c r="W217" t="str">
        <f>RTD("tos.rtd", , "STRIKE", ".GUSH201120P27")</f>
        <v>N/A</v>
      </c>
    </row>
    <row r="218" spans="1:23" x14ac:dyDescent="0.45">
      <c r="A218" t="s">
        <v>239</v>
      </c>
      <c r="B218" t="str">
        <f>RTD("tos.rtd", , "DESCRIPTION", ".GUSH201120C28")</f>
        <v>N/A</v>
      </c>
      <c r="C218" t="str">
        <f>RTD("tos.rtd", , "PUT_CALL_RATIO", ".GUSH201120C28")</f>
        <v>N/A</v>
      </c>
      <c r="D218" t="str">
        <f>RTD("tos.rtd", , "IMPL_VOL", ".GUSH201120C28")</f>
        <v>N/A</v>
      </c>
      <c r="E218">
        <f>RTD("tos.rtd", , "LAST", ".GUSH201120C28")</f>
        <v>0.4</v>
      </c>
      <c r="F218">
        <f>RTD("tos.rtd", , "VOLUME", ".GUSH201120C28")</f>
        <v>233</v>
      </c>
      <c r="G218">
        <f>RTD("tos.rtd", , "OPEN_INT", ".GUSH201120C28")</f>
        <v>279</v>
      </c>
      <c r="H218">
        <f>RTD("tos.rtd", , "BID", ".GUSH201120C28")</f>
        <v>0.45</v>
      </c>
      <c r="I218">
        <f>RTD("tos.rtd", , "ASK", ".GUSH201120C28")</f>
        <v>0.7</v>
      </c>
      <c r="J218">
        <f>RTD("tos.rtd", , "HIGH", ".GUSH201120C28")</f>
        <v>1.25</v>
      </c>
      <c r="K218">
        <f>RTD("tos.rtd", , "LOW", ".GUSH201120C28")</f>
        <v>0.4</v>
      </c>
      <c r="L218">
        <f>RTD("tos.rtd", , "OPEN", ".GUSH201120C28")</f>
        <v>0.85</v>
      </c>
      <c r="M218" t="str">
        <f>RTD("tos.rtd", , "DELTA", ".GUSH201120C28")</f>
        <v>N/A</v>
      </c>
      <c r="N218" t="str">
        <f>RTD("tos.rtd", , "GAMMA", ".GUSH201120C28")</f>
        <v>N/A</v>
      </c>
      <c r="O218" t="str">
        <f>RTD("tos.rtd", , "THETA", ".GUSH201120C28")</f>
        <v>N/A</v>
      </c>
      <c r="P218" t="str">
        <f>RTD("tos.rtd", , "VEGA", ".GUSH201120C28")</f>
        <v>N/A</v>
      </c>
      <c r="Q218" t="str">
        <f>RTD("tos.rtd", , "RHO", ".GUSH201120C28")</f>
        <v>N/A</v>
      </c>
      <c r="R218" t="str">
        <f>RTD("tos.rtd", , "INTRINSIC", ".GUSH201120C28")</f>
        <v>N/A</v>
      </c>
      <c r="S218" t="str">
        <f>RTD("tos.rtd", , "EXTRINSIC", ".GUSH201120C28")</f>
        <v>N/A</v>
      </c>
      <c r="T218" t="str">
        <f>RTD("tos.rtd", , "PROB_OF_EXPIRING", ".GUSH201120C28")</f>
        <v>N/A</v>
      </c>
      <c r="U218" t="str">
        <f>RTD("tos.rtd", , "PROB_OTM", ".GUSH201120C28")</f>
        <v>N/A</v>
      </c>
      <c r="V218" t="str">
        <f>RTD("tos.rtd", , "PROB_OF_TOUCHING", ".GUSH201120C28")</f>
        <v>N/A</v>
      </c>
      <c r="W218" t="str">
        <f>RTD("tos.rtd", , "STRIKE", ".GUSH201120C28")</f>
        <v>N/A</v>
      </c>
    </row>
    <row r="219" spans="1:23" x14ac:dyDescent="0.45">
      <c r="A219" t="s">
        <v>240</v>
      </c>
      <c r="B219" t="str">
        <f>RTD("tos.rtd", , "DESCRIPTION", ".GUSH201120P28")</f>
        <v>N/A</v>
      </c>
      <c r="C219" t="str">
        <f>RTD("tos.rtd", , "PUT_CALL_RATIO", ".GUSH201120P28")</f>
        <v>N/A</v>
      </c>
      <c r="D219" t="str">
        <f>RTD("tos.rtd", , "IMPL_VOL", ".GUSH201120P28")</f>
        <v>N/A</v>
      </c>
      <c r="E219">
        <f>RTD("tos.rtd", , "LAST", ".GUSH201120P28")</f>
        <v>3.8</v>
      </c>
      <c r="F219">
        <f>RTD("tos.rtd", , "VOLUME", ".GUSH201120P28")</f>
        <v>114</v>
      </c>
      <c r="G219">
        <f>RTD("tos.rtd", , "OPEN_INT", ".GUSH201120P28")</f>
        <v>25</v>
      </c>
      <c r="H219">
        <f>RTD("tos.rtd", , "BID", ".GUSH201120P28")</f>
        <v>3.6</v>
      </c>
      <c r="I219">
        <f>RTD("tos.rtd", , "ASK", ".GUSH201120P28")</f>
        <v>3.9</v>
      </c>
      <c r="J219">
        <f>RTD("tos.rtd", , "HIGH", ".GUSH201120P28")</f>
        <v>3.8</v>
      </c>
      <c r="K219">
        <f>RTD("tos.rtd", , "LOW", ".GUSH201120P28")</f>
        <v>2.4</v>
      </c>
      <c r="L219">
        <f>RTD("tos.rtd", , "OPEN", ".GUSH201120P28")</f>
        <v>2.4</v>
      </c>
      <c r="M219" t="str">
        <f>RTD("tos.rtd", , "DELTA", ".GUSH201120P28")</f>
        <v>N/A</v>
      </c>
      <c r="N219" t="str">
        <f>RTD("tos.rtd", , "GAMMA", ".GUSH201120P28")</f>
        <v>N/A</v>
      </c>
      <c r="O219" t="str">
        <f>RTD("tos.rtd", , "THETA", ".GUSH201120P28")</f>
        <v>N/A</v>
      </c>
      <c r="P219" t="str">
        <f>RTD("tos.rtd", , "VEGA", ".GUSH201120P28")</f>
        <v>N/A</v>
      </c>
      <c r="Q219" t="str">
        <f>RTD("tos.rtd", , "RHO", ".GUSH201120P28")</f>
        <v>N/A</v>
      </c>
      <c r="R219" t="str">
        <f>RTD("tos.rtd", , "INTRINSIC", ".GUSH201120P28")</f>
        <v>N/A</v>
      </c>
      <c r="S219" t="str">
        <f>RTD("tos.rtd", , "EXTRINSIC", ".GUSH201120P28")</f>
        <v>N/A</v>
      </c>
      <c r="T219" t="str">
        <f>RTD("tos.rtd", , "PROB_OF_EXPIRING", ".GUSH201120P28")</f>
        <v>N/A</v>
      </c>
      <c r="U219" t="str">
        <f>RTD("tos.rtd", , "PROB_OTM", ".GUSH201120P28")</f>
        <v>N/A</v>
      </c>
      <c r="V219" t="str">
        <f>RTD("tos.rtd", , "PROB_OF_TOUCHING", ".GUSH201120P28")</f>
        <v>N/A</v>
      </c>
      <c r="W219" t="str">
        <f>RTD("tos.rtd", , "STRIKE", ".GUSH201120P28")</f>
        <v>N/A</v>
      </c>
    </row>
    <row r="220" spans="1:23" x14ac:dyDescent="0.45">
      <c r="A220" t="s">
        <v>241</v>
      </c>
      <c r="B220" t="str">
        <f>RTD("tos.rtd", , "DESCRIPTION", "HYG")</f>
        <v>N/A</v>
      </c>
      <c r="C220">
        <f>RTD("tos.rtd", , "PUT_CALL_RATIO", "HYG")</f>
        <v>5.125</v>
      </c>
      <c r="D220" t="str">
        <f>RTD("tos.rtd", , "IMPL_VOL", "HYG")</f>
        <v>13.88%</v>
      </c>
      <c r="E220">
        <f>RTD("tos.rtd", , "LAST", "HYG")</f>
        <v>85.15</v>
      </c>
      <c r="F220">
        <f>RTD("tos.rtd", , "VOLUME", "HYG")</f>
        <v>43408016</v>
      </c>
      <c r="G220">
        <f>RTD("tos.rtd", , "OPEN_INT", "HYG")</f>
        <v>0</v>
      </c>
      <c r="H220">
        <f>RTD("tos.rtd", , "BID", "HYG")</f>
        <v>85.17</v>
      </c>
      <c r="I220">
        <f>RTD("tos.rtd", , "ASK", "HYG")</f>
        <v>85.32</v>
      </c>
      <c r="J220">
        <f>RTD("tos.rtd", , "HIGH", "HYG")</f>
        <v>85.65</v>
      </c>
      <c r="K220">
        <f>RTD("tos.rtd", , "LOW", "HYG")</f>
        <v>85.15</v>
      </c>
      <c r="L220">
        <f>RTD("tos.rtd", , "OPEN", "HYG")</f>
        <v>85.65</v>
      </c>
      <c r="M220">
        <f>RTD("tos.rtd", , "DELTA", "HYG")</f>
        <v>1</v>
      </c>
      <c r="N220">
        <f>RTD("tos.rtd", , "GAMMA", "HYG")</f>
        <v>0</v>
      </c>
      <c r="O220">
        <f>RTD("tos.rtd", , "THETA", "HYG")</f>
        <v>0</v>
      </c>
      <c r="P220">
        <f>RTD("tos.rtd", , "VEGA", "HYG")</f>
        <v>0</v>
      </c>
      <c r="Q220">
        <f>RTD("tos.rtd", , "RHO", "HYG")</f>
        <v>0</v>
      </c>
      <c r="R220" t="str">
        <f>RTD("tos.rtd", , "INTRINSIC", "HYG")</f>
        <v>N/A</v>
      </c>
      <c r="S220" t="str">
        <f>RTD("tos.rtd", , "EXTRINSIC", "HYG")</f>
        <v>N/A</v>
      </c>
      <c r="T220" t="str">
        <f>RTD("tos.rtd", , "PROB_OF_EXPIRING", "HYG")</f>
        <v>N/A</v>
      </c>
      <c r="U220" t="str">
        <f>RTD("tos.rtd", , "PROB_OTM", "HYG")</f>
        <v>N/A</v>
      </c>
      <c r="V220" t="str">
        <f>RTD("tos.rtd", , "PROB_OF_TOUCHING", "HYG")</f>
        <v>N/A</v>
      </c>
      <c r="W220" t="str">
        <f>RTD("tos.rtd", , "STRIKE", "HYG")</f>
        <v>N/A</v>
      </c>
    </row>
    <row r="221" spans="1:23" x14ac:dyDescent="0.45">
      <c r="A221" t="s">
        <v>242</v>
      </c>
      <c r="B221" t="str">
        <f>RTD("tos.rtd", , "DESCRIPTION", ".HYG201120C85.5")</f>
        <v>N/A</v>
      </c>
      <c r="C221" t="str">
        <f>RTD("tos.rtd", , "PUT_CALL_RATIO", ".HYG201120C85.5")</f>
        <v>N/A</v>
      </c>
      <c r="D221" t="str">
        <f>RTD("tos.rtd", , "IMPL_VOL", ".HYG201120C85.5")</f>
        <v>N/A</v>
      </c>
      <c r="E221">
        <f>RTD("tos.rtd", , "LAST", ".HYG201120C85.5")</f>
        <v>0.41</v>
      </c>
      <c r="F221">
        <f>RTD("tos.rtd", , "VOLUME", ".HYG201120C85.5")</f>
        <v>1252</v>
      </c>
      <c r="G221">
        <f>RTD("tos.rtd", , "OPEN_INT", ".HYG201120C85.5")</f>
        <v>46027</v>
      </c>
      <c r="H221">
        <f>RTD("tos.rtd", , "BID", ".HYG201120C85.5")</f>
        <v>0.39</v>
      </c>
      <c r="I221">
        <f>RTD("tos.rtd", , "ASK", ".HYG201120C85.5")</f>
        <v>0.43</v>
      </c>
      <c r="J221">
        <f>RTD("tos.rtd", , "HIGH", ".HYG201120C85.5")</f>
        <v>0.48</v>
      </c>
      <c r="K221">
        <f>RTD("tos.rtd", , "LOW", ".HYG201120C85.5")</f>
        <v>0.39</v>
      </c>
      <c r="L221">
        <f>RTD("tos.rtd", , "OPEN", ".HYG201120C85.5")</f>
        <v>0.43</v>
      </c>
      <c r="M221" t="str">
        <f>RTD("tos.rtd", , "DELTA", ".HYG201120C85.5")</f>
        <v>N/A</v>
      </c>
      <c r="N221" t="str">
        <f>RTD("tos.rtd", , "GAMMA", ".HYG201120C85.5")</f>
        <v>N/A</v>
      </c>
      <c r="O221" t="str">
        <f>RTD("tos.rtd", , "THETA", ".HYG201120C85.5")</f>
        <v>N/A</v>
      </c>
      <c r="P221" t="str">
        <f>RTD("tos.rtd", , "VEGA", ".HYG201120C85.5")</f>
        <v>N/A</v>
      </c>
      <c r="Q221" t="str">
        <f>RTD("tos.rtd", , "RHO", ".HYG201120C85.5")</f>
        <v>N/A</v>
      </c>
      <c r="R221" t="str">
        <f>RTD("tos.rtd", , "INTRINSIC", ".HYG201120C85.5")</f>
        <v>N/A</v>
      </c>
      <c r="S221" t="str">
        <f>RTD("tos.rtd", , "EXTRINSIC", ".HYG201120C85.5")</f>
        <v>N/A</v>
      </c>
      <c r="T221" t="str">
        <f>RTD("tos.rtd", , "PROB_OF_EXPIRING", ".HYG201120C85.5")</f>
        <v>N/A</v>
      </c>
      <c r="U221" t="str">
        <f>RTD("tos.rtd", , "PROB_OTM", ".HYG201120C85.5")</f>
        <v>N/A</v>
      </c>
      <c r="V221" t="str">
        <f>RTD("tos.rtd", , "PROB_OF_TOUCHING", ".HYG201120C85.5")</f>
        <v>N/A</v>
      </c>
      <c r="W221" t="str">
        <f>RTD("tos.rtd", , "STRIKE", ".HYG201120C85.5")</f>
        <v>N/A</v>
      </c>
    </row>
    <row r="222" spans="1:23" x14ac:dyDescent="0.45">
      <c r="A222" t="s">
        <v>243</v>
      </c>
      <c r="B222" t="str">
        <f>RTD("tos.rtd", , "DESCRIPTION", ".HYG201120P85.5")</f>
        <v>N/A</v>
      </c>
      <c r="C222" t="str">
        <f>RTD("tos.rtd", , "PUT_CALL_RATIO", ".HYG201120P85.5")</f>
        <v>N/A</v>
      </c>
      <c r="D222" t="str">
        <f>RTD("tos.rtd", , "IMPL_VOL", ".HYG201120P85.5")</f>
        <v>N/A</v>
      </c>
      <c r="E222">
        <f>RTD("tos.rtd", , "LAST", ".HYG201120P85.5")</f>
        <v>0.75</v>
      </c>
      <c r="F222">
        <f>RTD("tos.rtd", , "VOLUME", ".HYG201120P85.5")</f>
        <v>606</v>
      </c>
      <c r="G222">
        <f>RTD("tos.rtd", , "OPEN_INT", ".HYG201120P85.5")</f>
        <v>3481</v>
      </c>
      <c r="H222">
        <f>RTD("tos.rtd", , "BID", ".HYG201120P85.5")</f>
        <v>0.71</v>
      </c>
      <c r="I222">
        <f>RTD("tos.rtd", , "ASK", ".HYG201120P85.5")</f>
        <v>0.78</v>
      </c>
      <c r="J222">
        <f>RTD("tos.rtd", , "HIGH", ".HYG201120P85.5")</f>
        <v>0.75</v>
      </c>
      <c r="K222">
        <f>RTD("tos.rtd", , "LOW", ".HYG201120P85.5")</f>
        <v>0.41</v>
      </c>
      <c r="L222">
        <f>RTD("tos.rtd", , "OPEN", ".HYG201120P85.5")</f>
        <v>0.43</v>
      </c>
      <c r="M222" t="str">
        <f>RTD("tos.rtd", , "DELTA", ".HYG201120P85.5")</f>
        <v>N/A</v>
      </c>
      <c r="N222" t="str">
        <f>RTD("tos.rtd", , "GAMMA", ".HYG201120P85.5")</f>
        <v>N/A</v>
      </c>
      <c r="O222" t="str">
        <f>RTD("tos.rtd", , "THETA", ".HYG201120P85.5")</f>
        <v>N/A</v>
      </c>
      <c r="P222" t="str">
        <f>RTD("tos.rtd", , "VEGA", ".HYG201120P85.5")</f>
        <v>N/A</v>
      </c>
      <c r="Q222" t="str">
        <f>RTD("tos.rtd", , "RHO", ".HYG201120P85.5")</f>
        <v>N/A</v>
      </c>
      <c r="R222" t="str">
        <f>RTD("tos.rtd", , "INTRINSIC", ".HYG201120P85.5")</f>
        <v>N/A</v>
      </c>
      <c r="S222" t="str">
        <f>RTD("tos.rtd", , "EXTRINSIC", ".HYG201120P85.5")</f>
        <v>N/A</v>
      </c>
      <c r="T222" t="str">
        <f>RTD("tos.rtd", , "PROB_OF_EXPIRING", ".HYG201120P85.5")</f>
        <v>N/A</v>
      </c>
      <c r="U222" t="str">
        <f>RTD("tos.rtd", , "PROB_OTM", ".HYG201120P85.5")</f>
        <v>N/A</v>
      </c>
      <c r="V222" t="str">
        <f>RTD("tos.rtd", , "PROB_OF_TOUCHING", ".HYG201120P85.5")</f>
        <v>N/A</v>
      </c>
      <c r="W222" t="str">
        <f>RTD("tos.rtd", , "STRIKE", ".HYG201120P85.5")</f>
        <v>N/A</v>
      </c>
    </row>
    <row r="223" spans="1:23" x14ac:dyDescent="0.45">
      <c r="A223" t="s">
        <v>244</v>
      </c>
      <c r="B223" t="str">
        <f>RTD("tos.rtd", , "DESCRIPTION", ".HYG201120C86")</f>
        <v>N/A</v>
      </c>
      <c r="C223" t="str">
        <f>RTD("tos.rtd", , "PUT_CALL_RATIO", ".HYG201120C86")</f>
        <v>N/A</v>
      </c>
      <c r="D223" t="str">
        <f>RTD("tos.rtd", , "IMPL_VOL", ".HYG201120C86")</f>
        <v>N/A</v>
      </c>
      <c r="E223">
        <f>RTD("tos.rtd", , "LAST", ".HYG201120C86")</f>
        <v>0.24</v>
      </c>
      <c r="F223">
        <f>RTD("tos.rtd", , "VOLUME", ".HYG201120C86")</f>
        <v>24385</v>
      </c>
      <c r="G223">
        <f>RTD("tos.rtd", , "OPEN_INT", ".HYG201120C86")</f>
        <v>104258</v>
      </c>
      <c r="H223">
        <f>RTD("tos.rtd", , "BID", ".HYG201120C86")</f>
        <v>0.18</v>
      </c>
      <c r="I223">
        <f>RTD("tos.rtd", , "ASK", ".HYG201120C86")</f>
        <v>0.22</v>
      </c>
      <c r="J223">
        <f>RTD("tos.rtd", , "HIGH", ".HYG201120C86")</f>
        <v>0.25</v>
      </c>
      <c r="K223">
        <f>RTD("tos.rtd", , "LOW", ".HYG201120C86")</f>
        <v>0.15</v>
      </c>
      <c r="L223">
        <f>RTD("tos.rtd", , "OPEN", ".HYG201120C86")</f>
        <v>0.25</v>
      </c>
      <c r="M223" t="str">
        <f>RTD("tos.rtd", , "DELTA", ".HYG201120C86")</f>
        <v>N/A</v>
      </c>
      <c r="N223" t="str">
        <f>RTD("tos.rtd", , "GAMMA", ".HYG201120C86")</f>
        <v>N/A</v>
      </c>
      <c r="O223" t="str">
        <f>RTD("tos.rtd", , "THETA", ".HYG201120C86")</f>
        <v>N/A</v>
      </c>
      <c r="P223" t="str">
        <f>RTD("tos.rtd", , "VEGA", ".HYG201120C86")</f>
        <v>N/A</v>
      </c>
      <c r="Q223" t="str">
        <f>RTD("tos.rtd", , "RHO", ".HYG201120C86")</f>
        <v>N/A</v>
      </c>
      <c r="R223" t="str">
        <f>RTD("tos.rtd", , "INTRINSIC", ".HYG201120C86")</f>
        <v>N/A</v>
      </c>
      <c r="S223" t="str">
        <f>RTD("tos.rtd", , "EXTRINSIC", ".HYG201120C86")</f>
        <v>N/A</v>
      </c>
      <c r="T223" t="str">
        <f>RTD("tos.rtd", , "PROB_OF_EXPIRING", ".HYG201120C86")</f>
        <v>N/A</v>
      </c>
      <c r="U223" t="str">
        <f>RTD("tos.rtd", , "PROB_OTM", ".HYG201120C86")</f>
        <v>N/A</v>
      </c>
      <c r="V223" t="str">
        <f>RTD("tos.rtd", , "PROB_OF_TOUCHING", ".HYG201120C86")</f>
        <v>N/A</v>
      </c>
      <c r="W223" t="str">
        <f>RTD("tos.rtd", , "STRIKE", ".HYG201120C86")</f>
        <v>N/A</v>
      </c>
    </row>
    <row r="224" spans="1:23" x14ac:dyDescent="0.45">
      <c r="A224" t="s">
        <v>245</v>
      </c>
      <c r="B224" t="str">
        <f>RTD("tos.rtd", , "DESCRIPTION", ".HYG201120P86")</f>
        <v>N/A</v>
      </c>
      <c r="C224" t="str">
        <f>RTD("tos.rtd", , "PUT_CALL_RATIO", ".HYG201120P86")</f>
        <v>N/A</v>
      </c>
      <c r="D224" t="str">
        <f>RTD("tos.rtd", , "IMPL_VOL", ".HYG201120P86")</f>
        <v>N/A</v>
      </c>
      <c r="E224">
        <f>RTD("tos.rtd", , "LAST", ".HYG201120P86")</f>
        <v>0.98</v>
      </c>
      <c r="F224">
        <f>RTD("tos.rtd", , "VOLUME", ".HYG201120P86")</f>
        <v>36</v>
      </c>
      <c r="G224">
        <f>RTD("tos.rtd", , "OPEN_INT", ".HYG201120P86")</f>
        <v>12905</v>
      </c>
      <c r="H224">
        <f>RTD("tos.rtd", , "BID", ".HYG201120P86")</f>
        <v>1</v>
      </c>
      <c r="I224">
        <f>RTD("tos.rtd", , "ASK", ".HYG201120P86")</f>
        <v>1.06</v>
      </c>
      <c r="J224">
        <f>RTD("tos.rtd", , "HIGH", ".HYG201120P86")</f>
        <v>0.98</v>
      </c>
      <c r="K224">
        <f>RTD("tos.rtd", , "LOW", ".HYG201120P86")</f>
        <v>0.69</v>
      </c>
      <c r="L224">
        <f>RTD("tos.rtd", , "OPEN", ".HYG201120P86")</f>
        <v>0.69</v>
      </c>
      <c r="M224" t="str">
        <f>RTD("tos.rtd", , "DELTA", ".HYG201120P86")</f>
        <v>N/A</v>
      </c>
      <c r="N224" t="str">
        <f>RTD("tos.rtd", , "GAMMA", ".HYG201120P86")</f>
        <v>N/A</v>
      </c>
      <c r="O224" t="str">
        <f>RTD("tos.rtd", , "THETA", ".HYG201120P86")</f>
        <v>N/A</v>
      </c>
      <c r="P224" t="str">
        <f>RTD("tos.rtd", , "VEGA", ".HYG201120P86")</f>
        <v>N/A</v>
      </c>
      <c r="Q224" t="str">
        <f>RTD("tos.rtd", , "RHO", ".HYG201120P86")</f>
        <v>N/A</v>
      </c>
      <c r="R224" t="str">
        <f>RTD("tos.rtd", , "INTRINSIC", ".HYG201120P86")</f>
        <v>N/A</v>
      </c>
      <c r="S224" t="str">
        <f>RTD("tos.rtd", , "EXTRINSIC", ".HYG201120P86")</f>
        <v>N/A</v>
      </c>
      <c r="T224" t="str">
        <f>RTD("tos.rtd", , "PROB_OF_EXPIRING", ".HYG201120P86")</f>
        <v>N/A</v>
      </c>
      <c r="U224" t="str">
        <f>RTD("tos.rtd", , "PROB_OTM", ".HYG201120P86")</f>
        <v>N/A</v>
      </c>
      <c r="V224" t="str">
        <f>RTD("tos.rtd", , "PROB_OF_TOUCHING", ".HYG201120P86")</f>
        <v>N/A</v>
      </c>
      <c r="W224" t="str">
        <f>RTD("tos.rtd", , "STRIKE", ".HYG201120P86")</f>
        <v>N/A</v>
      </c>
    </row>
    <row r="225" spans="1:23" x14ac:dyDescent="0.45">
      <c r="A225" t="s">
        <v>246</v>
      </c>
      <c r="B225" t="str">
        <f>RTD("tos.rtd", , "DESCRIPTION", "HYLB")</f>
        <v>N/A</v>
      </c>
      <c r="C225">
        <f>RTD("tos.rtd", , "PUT_CALL_RATIO", "HYLB")</f>
        <v>41</v>
      </c>
      <c r="D225" t="str">
        <f>RTD("tos.rtd", , "IMPL_VOL", "HYLB")</f>
        <v>7.99%</v>
      </c>
      <c r="E225">
        <f>RTD("tos.rtd", , "LAST", "HYLB")</f>
        <v>48.83</v>
      </c>
      <c r="F225">
        <f>RTD("tos.rtd", , "VOLUME", "HYLB")</f>
        <v>2190934</v>
      </c>
      <c r="G225">
        <f>RTD("tos.rtd", , "OPEN_INT", "HYLB")</f>
        <v>0</v>
      </c>
      <c r="H225">
        <f>RTD("tos.rtd", , "BID", "HYLB")</f>
        <v>45.78</v>
      </c>
      <c r="I225">
        <f>RTD("tos.rtd", , "ASK", "HYLB")</f>
        <v>49.6</v>
      </c>
      <c r="J225">
        <f>RTD("tos.rtd", , "HIGH", "HYLB")</f>
        <v>49.14</v>
      </c>
      <c r="K225">
        <f>RTD("tos.rtd", , "LOW", "HYLB")</f>
        <v>48.83</v>
      </c>
      <c r="L225">
        <f>RTD("tos.rtd", , "OPEN", "HYLB")</f>
        <v>49.12</v>
      </c>
      <c r="M225">
        <f>RTD("tos.rtd", , "DELTA", "HYLB")</f>
        <v>1</v>
      </c>
      <c r="N225">
        <f>RTD("tos.rtd", , "GAMMA", "HYLB")</f>
        <v>0</v>
      </c>
      <c r="O225">
        <f>RTD("tos.rtd", , "THETA", "HYLB")</f>
        <v>0</v>
      </c>
      <c r="P225">
        <f>RTD("tos.rtd", , "VEGA", "HYLB")</f>
        <v>0</v>
      </c>
      <c r="Q225">
        <f>RTD("tos.rtd", , "RHO", "HYLB")</f>
        <v>0</v>
      </c>
      <c r="R225" t="str">
        <f>RTD("tos.rtd", , "INTRINSIC", "HYLB")</f>
        <v>N/A</v>
      </c>
      <c r="S225" t="str">
        <f>RTD("tos.rtd", , "EXTRINSIC", "HYLB")</f>
        <v>N/A</v>
      </c>
      <c r="T225" t="str">
        <f>RTD("tos.rtd", , "PROB_OF_EXPIRING", "HYLB")</f>
        <v>N/A</v>
      </c>
      <c r="U225" t="str">
        <f>RTD("tos.rtd", , "PROB_OTM", "HYLB")</f>
        <v>N/A</v>
      </c>
      <c r="V225" t="str">
        <f>RTD("tos.rtd", , "PROB_OF_TOUCHING", "HYLB")</f>
        <v>N/A</v>
      </c>
      <c r="W225" t="str">
        <f>RTD("tos.rtd", , "STRIKE", "HYLB")</f>
        <v>N/A</v>
      </c>
    </row>
    <row r="226" spans="1:23" x14ac:dyDescent="0.45">
      <c r="A226" t="s">
        <v>247</v>
      </c>
      <c r="B226" t="str">
        <f>RTD("tos.rtd", , "DESCRIPTION", ".HYLB201120C49")</f>
        <v>N/A</v>
      </c>
      <c r="C226" t="str">
        <f>RTD("tos.rtd", , "PUT_CALL_RATIO", ".HYLB201120C49")</f>
        <v>N/A</v>
      </c>
      <c r="D226" t="str">
        <f>RTD("tos.rtd", , "IMPL_VOL", ".HYLB201120C49")</f>
        <v>N/A</v>
      </c>
      <c r="E226" t="str">
        <f>RTD("tos.rtd", , "LAST", ".HYLB201120C49")</f>
        <v>N/A</v>
      </c>
      <c r="F226" t="str">
        <f>RTD("tos.rtd", , "VOLUME", ".HYLB201120C49")</f>
        <v>N/A</v>
      </c>
      <c r="G226" t="str">
        <f>RTD("tos.rtd", , "OPEN_INT", ".HYLB201120C49")</f>
        <v>N/A</v>
      </c>
      <c r="H226" t="str">
        <f>RTD("tos.rtd", , "BID", ".HYLB201120C49")</f>
        <v>N/A</v>
      </c>
      <c r="I226" t="str">
        <f>RTD("tos.rtd", , "ASK", ".HYLB201120C49")</f>
        <v>N/A</v>
      </c>
      <c r="J226" t="str">
        <f>RTD("tos.rtd", , "HIGH", ".HYLB201120C49")</f>
        <v>N/A</v>
      </c>
      <c r="K226" t="str">
        <f>RTD("tos.rtd", , "LOW", ".HYLB201120C49")</f>
        <v>N/A</v>
      </c>
      <c r="L226" t="str">
        <f>RTD("tos.rtd", , "OPEN", ".HYLB201120C49")</f>
        <v>N/A</v>
      </c>
      <c r="M226" t="str">
        <f>RTD("tos.rtd", , "DELTA", ".HYLB201120C49")</f>
        <v>N/A</v>
      </c>
      <c r="N226" t="str">
        <f>RTD("tos.rtd", , "GAMMA", ".HYLB201120C49")</f>
        <v>N/A</v>
      </c>
      <c r="O226" t="str">
        <f>RTD("tos.rtd", , "THETA", ".HYLB201120C49")</f>
        <v>N/A</v>
      </c>
      <c r="P226" t="str">
        <f>RTD("tos.rtd", , "VEGA", ".HYLB201120C49")</f>
        <v>N/A</v>
      </c>
      <c r="Q226" t="str">
        <f>RTD("tos.rtd", , "RHO", ".HYLB201120C49")</f>
        <v>N/A</v>
      </c>
      <c r="R226" t="str">
        <f>RTD("tos.rtd", , "INTRINSIC", ".HYLB201120C49")</f>
        <v>N/A</v>
      </c>
      <c r="S226" t="str">
        <f>RTD("tos.rtd", , "EXTRINSIC", ".HYLB201120C49")</f>
        <v>N/A</v>
      </c>
      <c r="T226" t="str">
        <f>RTD("tos.rtd", , "PROB_OF_EXPIRING", ".HYLB201120C49")</f>
        <v>N/A</v>
      </c>
      <c r="U226" t="str">
        <f>RTD("tos.rtd", , "PROB_OTM", ".HYLB201120C49")</f>
        <v>N/A</v>
      </c>
      <c r="V226" t="str">
        <f>RTD("tos.rtd", , "PROB_OF_TOUCHING", ".HYLB201120C49")</f>
        <v>N/A</v>
      </c>
      <c r="W226" t="str">
        <f>RTD("tos.rtd", , "STRIKE", ".HYLB201120C49")</f>
        <v>N/A</v>
      </c>
    </row>
    <row r="227" spans="1:23" x14ac:dyDescent="0.45">
      <c r="A227" t="s">
        <v>248</v>
      </c>
      <c r="B227" t="str">
        <f>RTD("tos.rtd", , "DESCRIPTION", ".HYLB201120P49")</f>
        <v>N/A</v>
      </c>
      <c r="C227" t="str">
        <f>RTD("tos.rtd", , "PUT_CALL_RATIO", ".HYLB201120P49")</f>
        <v>N/A</v>
      </c>
      <c r="D227" t="str">
        <f>RTD("tos.rtd", , "IMPL_VOL", ".HYLB201120P49")</f>
        <v>N/A</v>
      </c>
      <c r="E227" t="str">
        <f>RTD("tos.rtd", , "LAST", ".HYLB201120P49")</f>
        <v>N/A</v>
      </c>
      <c r="F227" t="str">
        <f>RTD("tos.rtd", , "VOLUME", ".HYLB201120P49")</f>
        <v>N/A</v>
      </c>
      <c r="G227" t="str">
        <f>RTD("tos.rtd", , "OPEN_INT", ".HYLB201120P49")</f>
        <v>N/A</v>
      </c>
      <c r="H227" t="str">
        <f>RTD("tos.rtd", , "BID", ".HYLB201120P49")</f>
        <v>N/A</v>
      </c>
      <c r="I227" t="str">
        <f>RTD("tos.rtd", , "ASK", ".HYLB201120P49")</f>
        <v>N/A</v>
      </c>
      <c r="J227" t="str">
        <f>RTD("tos.rtd", , "HIGH", ".HYLB201120P49")</f>
        <v>N/A</v>
      </c>
      <c r="K227" t="str">
        <f>RTD("tos.rtd", , "LOW", ".HYLB201120P49")</f>
        <v>N/A</v>
      </c>
      <c r="L227" t="str">
        <f>RTD("tos.rtd", , "OPEN", ".HYLB201120P49")</f>
        <v>N/A</v>
      </c>
      <c r="M227" t="str">
        <f>RTD("tos.rtd", , "DELTA", ".HYLB201120P49")</f>
        <v>N/A</v>
      </c>
      <c r="N227" t="str">
        <f>RTD("tos.rtd", , "GAMMA", ".HYLB201120P49")</f>
        <v>N/A</v>
      </c>
      <c r="O227" t="str">
        <f>RTD("tos.rtd", , "THETA", ".HYLB201120P49")</f>
        <v>N/A</v>
      </c>
      <c r="P227" t="str">
        <f>RTD("tos.rtd", , "VEGA", ".HYLB201120P49")</f>
        <v>N/A</v>
      </c>
      <c r="Q227" t="str">
        <f>RTD("tos.rtd", , "RHO", ".HYLB201120P49")</f>
        <v>N/A</v>
      </c>
      <c r="R227" t="str">
        <f>RTD("tos.rtd", , "INTRINSIC", ".HYLB201120P49")</f>
        <v>N/A</v>
      </c>
      <c r="S227" t="str">
        <f>RTD("tos.rtd", , "EXTRINSIC", ".HYLB201120P49")</f>
        <v>N/A</v>
      </c>
      <c r="T227" t="str">
        <f>RTD("tos.rtd", , "PROB_OF_EXPIRING", ".HYLB201120P49")</f>
        <v>N/A</v>
      </c>
      <c r="U227" t="str">
        <f>RTD("tos.rtd", , "PROB_OTM", ".HYLB201120P49")</f>
        <v>N/A</v>
      </c>
      <c r="V227" t="str">
        <f>RTD("tos.rtd", , "PROB_OF_TOUCHING", ".HYLB201120P49")</f>
        <v>N/A</v>
      </c>
      <c r="W227" t="str">
        <f>RTD("tos.rtd", , "STRIKE", ".HYLB201120P49")</f>
        <v>N/A</v>
      </c>
    </row>
    <row r="228" spans="1:23" x14ac:dyDescent="0.45">
      <c r="A228" t="s">
        <v>249</v>
      </c>
      <c r="B228" t="str">
        <f>RTD("tos.rtd", , "DESCRIPTION", "IBB")</f>
        <v>N/A</v>
      </c>
      <c r="C228">
        <f>RTD("tos.rtd", , "PUT_CALL_RATIO", "IBB")</f>
        <v>5.1929999999999996</v>
      </c>
      <c r="D228" t="str">
        <f>RTD("tos.rtd", , "IMPL_VOL", "IBB")</f>
        <v>28.43%</v>
      </c>
      <c r="E228">
        <f>RTD("tos.rtd", , "LAST", "IBB")</f>
        <v>139.53</v>
      </c>
      <c r="F228">
        <f>RTD("tos.rtd", , "VOLUME", "IBB")</f>
        <v>2406080</v>
      </c>
      <c r="G228">
        <f>RTD("tos.rtd", , "OPEN_INT", "IBB")</f>
        <v>0</v>
      </c>
      <c r="H228">
        <f>RTD("tos.rtd", , "BID", "IBB")</f>
        <v>139</v>
      </c>
      <c r="I228">
        <f>RTD("tos.rtd", , "ASK", "IBB")</f>
        <v>140.06</v>
      </c>
      <c r="J228">
        <f>RTD("tos.rtd", , "HIGH", "IBB")</f>
        <v>140.76</v>
      </c>
      <c r="K228">
        <f>RTD("tos.rtd", , "LOW", "IBB")</f>
        <v>138.47999999999999</v>
      </c>
      <c r="L228">
        <f>RTD("tos.rtd", , "OPEN", "IBB")</f>
        <v>139.47</v>
      </c>
      <c r="M228">
        <f>RTD("tos.rtd", , "DELTA", "IBB")</f>
        <v>1</v>
      </c>
      <c r="N228">
        <f>RTD("tos.rtd", , "GAMMA", "IBB")</f>
        <v>0</v>
      </c>
      <c r="O228">
        <f>RTD("tos.rtd", , "THETA", "IBB")</f>
        <v>0</v>
      </c>
      <c r="P228">
        <f>RTD("tos.rtd", , "VEGA", "IBB")</f>
        <v>0</v>
      </c>
      <c r="Q228">
        <f>RTD("tos.rtd", , "RHO", "IBB")</f>
        <v>0</v>
      </c>
      <c r="R228" t="str">
        <f>RTD("tos.rtd", , "INTRINSIC", "IBB")</f>
        <v>N/A</v>
      </c>
      <c r="S228" t="str">
        <f>RTD("tos.rtd", , "EXTRINSIC", "IBB")</f>
        <v>N/A</v>
      </c>
      <c r="T228" t="str">
        <f>RTD("tos.rtd", , "PROB_OF_EXPIRING", "IBB")</f>
        <v>N/A</v>
      </c>
      <c r="U228" t="str">
        <f>RTD("tos.rtd", , "PROB_OTM", "IBB")</f>
        <v>N/A</v>
      </c>
      <c r="V228" t="str">
        <f>RTD("tos.rtd", , "PROB_OF_TOUCHING", "IBB")</f>
        <v>N/A</v>
      </c>
      <c r="W228" t="str">
        <f>RTD("tos.rtd", , "STRIKE", "IBB")</f>
        <v>N/A</v>
      </c>
    </row>
    <row r="229" spans="1:23" x14ac:dyDescent="0.45">
      <c r="A229" t="s">
        <v>250</v>
      </c>
      <c r="B229" t="str">
        <f>RTD("tos.rtd", , "DESCRIPTION", ".IBB201120C138")</f>
        <v>N/A</v>
      </c>
      <c r="C229" t="str">
        <f>RTD("tos.rtd", , "PUT_CALL_RATIO", ".IBB201120C138")</f>
        <v>N/A</v>
      </c>
      <c r="D229" t="str">
        <f>RTD("tos.rtd", , "IMPL_VOL", ".IBB201120C138")</f>
        <v>N/A</v>
      </c>
      <c r="E229" t="str">
        <f>RTD("tos.rtd", , "LAST", ".IBB201120C138")</f>
        <v>N/A</v>
      </c>
      <c r="F229" t="str">
        <f>RTD("tos.rtd", , "VOLUME", ".IBB201120C138")</f>
        <v>N/A</v>
      </c>
      <c r="G229" t="str">
        <f>RTD("tos.rtd", , "OPEN_INT", ".IBB201120C138")</f>
        <v>N/A</v>
      </c>
      <c r="H229" t="str">
        <f>RTD("tos.rtd", , "BID", ".IBB201120C138")</f>
        <v>N/A</v>
      </c>
      <c r="I229" t="str">
        <f>RTD("tos.rtd", , "ASK", ".IBB201120C138")</f>
        <v>N/A</v>
      </c>
      <c r="J229" t="str">
        <f>RTD("tos.rtd", , "HIGH", ".IBB201120C138")</f>
        <v>N/A</v>
      </c>
      <c r="K229" t="str">
        <f>RTD("tos.rtd", , "LOW", ".IBB201120C138")</f>
        <v>N/A</v>
      </c>
      <c r="L229" t="str">
        <f>RTD("tos.rtd", , "OPEN", ".IBB201120C138")</f>
        <v>N/A</v>
      </c>
      <c r="M229" t="str">
        <f>RTD("tos.rtd", , "DELTA", ".IBB201120C138")</f>
        <v>N/A</v>
      </c>
      <c r="N229" t="str">
        <f>RTD("tos.rtd", , "GAMMA", ".IBB201120C138")</f>
        <v>N/A</v>
      </c>
      <c r="O229" t="str">
        <f>RTD("tos.rtd", , "THETA", ".IBB201120C138")</f>
        <v>N/A</v>
      </c>
      <c r="P229" t="str">
        <f>RTD("tos.rtd", , "VEGA", ".IBB201120C138")</f>
        <v>N/A</v>
      </c>
      <c r="Q229" t="str">
        <f>RTD("tos.rtd", , "RHO", ".IBB201120C138")</f>
        <v>N/A</v>
      </c>
      <c r="R229" t="str">
        <f>RTD("tos.rtd", , "INTRINSIC", ".IBB201120C138")</f>
        <v>N/A</v>
      </c>
      <c r="S229" t="str">
        <f>RTD("tos.rtd", , "EXTRINSIC", ".IBB201120C138")</f>
        <v>N/A</v>
      </c>
      <c r="T229" t="str">
        <f>RTD("tos.rtd", , "PROB_OF_EXPIRING", ".IBB201120C138")</f>
        <v>N/A</v>
      </c>
      <c r="U229" t="str">
        <f>RTD("tos.rtd", , "PROB_OTM", ".IBB201120C138")</f>
        <v>N/A</v>
      </c>
      <c r="V229" t="str">
        <f>RTD("tos.rtd", , "PROB_OF_TOUCHING", ".IBB201120C138")</f>
        <v>N/A</v>
      </c>
      <c r="W229" t="str">
        <f>RTD("tos.rtd", , "STRIKE", ".IBB201120C138")</f>
        <v>N/A</v>
      </c>
    </row>
    <row r="230" spans="1:23" x14ac:dyDescent="0.45">
      <c r="A230" t="s">
        <v>251</v>
      </c>
      <c r="B230" t="str">
        <f>RTD("tos.rtd", , "DESCRIPTION", ".IBB201120P138")</f>
        <v>N/A</v>
      </c>
      <c r="C230" t="str">
        <f>RTD("tos.rtd", , "PUT_CALL_RATIO", ".IBB201120P138")</f>
        <v>N/A</v>
      </c>
      <c r="D230" t="str">
        <f>RTD("tos.rtd", , "IMPL_VOL", ".IBB201120P138")</f>
        <v>N/A</v>
      </c>
      <c r="E230">
        <f>RTD("tos.rtd", , "LAST", ".IBB201120P138")</f>
        <v>1.38</v>
      </c>
      <c r="F230">
        <f>RTD("tos.rtd", , "VOLUME", ".IBB201120P138")</f>
        <v>14</v>
      </c>
      <c r="G230" t="str">
        <f>RTD("tos.rtd", , "OPEN_INT", ".IBB201120P138")</f>
        <v>N/A</v>
      </c>
      <c r="H230">
        <f>RTD("tos.rtd", , "BID", ".IBB201120P138")</f>
        <v>1.48</v>
      </c>
      <c r="I230">
        <f>RTD("tos.rtd", , "ASK", ".IBB201120P138")</f>
        <v>1.83</v>
      </c>
      <c r="J230" t="str">
        <f>RTD("tos.rtd", , "HIGH", ".IBB201120P138")</f>
        <v>N/A</v>
      </c>
      <c r="K230" t="str">
        <f>RTD("tos.rtd", , "LOW", ".IBB201120P138")</f>
        <v>N/A</v>
      </c>
      <c r="L230" t="str">
        <f>RTD("tos.rtd", , "OPEN", ".IBB201120P138")</f>
        <v>N/A</v>
      </c>
      <c r="M230" t="str">
        <f>RTD("tos.rtd", , "DELTA", ".IBB201120P138")</f>
        <v>N/A</v>
      </c>
      <c r="N230" t="str">
        <f>RTD("tos.rtd", , "GAMMA", ".IBB201120P138")</f>
        <v>N/A</v>
      </c>
      <c r="O230" t="str">
        <f>RTD("tos.rtd", , "THETA", ".IBB201120P138")</f>
        <v>N/A</v>
      </c>
      <c r="P230" t="str">
        <f>RTD("tos.rtd", , "VEGA", ".IBB201120P138")</f>
        <v>N/A</v>
      </c>
      <c r="Q230" t="str">
        <f>RTD("tos.rtd", , "RHO", ".IBB201120P138")</f>
        <v>N/A</v>
      </c>
      <c r="R230" t="str">
        <f>RTD("tos.rtd", , "INTRINSIC", ".IBB201120P138")</f>
        <v>N/A</v>
      </c>
      <c r="S230" t="str">
        <f>RTD("tos.rtd", , "EXTRINSIC", ".IBB201120P138")</f>
        <v>N/A</v>
      </c>
      <c r="T230" t="str">
        <f>RTD("tos.rtd", , "PROB_OF_EXPIRING", ".IBB201120P138")</f>
        <v>N/A</v>
      </c>
      <c r="U230" t="str">
        <f>RTD("tos.rtd", , "PROB_OTM", ".IBB201120P138")</f>
        <v>N/A</v>
      </c>
      <c r="V230" t="str">
        <f>RTD("tos.rtd", , "PROB_OF_TOUCHING", ".IBB201120P138")</f>
        <v>N/A</v>
      </c>
      <c r="W230" t="str">
        <f>RTD("tos.rtd", , "STRIKE", ".IBB201120P138")</f>
        <v>N/A</v>
      </c>
    </row>
    <row r="231" spans="1:23" x14ac:dyDescent="0.45">
      <c r="A231" t="s">
        <v>252</v>
      </c>
      <c r="B231" t="str">
        <f>RTD("tos.rtd", , "DESCRIPTION", ".IBB201120C138.5")</f>
        <v>N/A</v>
      </c>
      <c r="C231" t="str">
        <f>RTD("tos.rtd", , "PUT_CALL_RATIO", ".IBB201120C138.5")</f>
        <v>N/A</v>
      </c>
      <c r="D231" t="str">
        <f>RTD("tos.rtd", , "IMPL_VOL", ".IBB201120C138.5")</f>
        <v>N/A</v>
      </c>
      <c r="E231" t="str">
        <f>RTD("tos.rtd", , "LAST", ".IBB201120C138.5")</f>
        <v>N/A</v>
      </c>
      <c r="F231" t="str">
        <f>RTD("tos.rtd", , "VOLUME", ".IBB201120C138.5")</f>
        <v>N/A</v>
      </c>
      <c r="G231" t="str">
        <f>RTD("tos.rtd", , "OPEN_INT", ".IBB201120C138.5")</f>
        <v>N/A</v>
      </c>
      <c r="H231" t="str">
        <f>RTD("tos.rtd", , "BID", ".IBB201120C138.5")</f>
        <v>N/A</v>
      </c>
      <c r="I231" t="str">
        <f>RTD("tos.rtd", , "ASK", ".IBB201120C138.5")</f>
        <v>N/A</v>
      </c>
      <c r="J231" t="str">
        <f>RTD("tos.rtd", , "HIGH", ".IBB201120C138.5")</f>
        <v>N/A</v>
      </c>
      <c r="K231" t="str">
        <f>RTD("tos.rtd", , "LOW", ".IBB201120C138.5")</f>
        <v>N/A</v>
      </c>
      <c r="L231" t="str">
        <f>RTD("tos.rtd", , "OPEN", ".IBB201120C138.5")</f>
        <v>N/A</v>
      </c>
      <c r="M231" t="str">
        <f>RTD("tos.rtd", , "DELTA", ".IBB201120C138.5")</f>
        <v>N/A</v>
      </c>
      <c r="N231" t="str">
        <f>RTD("tos.rtd", , "GAMMA", ".IBB201120C138.5")</f>
        <v>N/A</v>
      </c>
      <c r="O231" t="str">
        <f>RTD("tos.rtd", , "THETA", ".IBB201120C138.5")</f>
        <v>N/A</v>
      </c>
      <c r="P231" t="str">
        <f>RTD("tos.rtd", , "VEGA", ".IBB201120C138.5")</f>
        <v>N/A</v>
      </c>
      <c r="Q231" t="str">
        <f>RTD("tos.rtd", , "RHO", ".IBB201120C138.5")</f>
        <v>N/A</v>
      </c>
      <c r="R231" t="str">
        <f>RTD("tos.rtd", , "INTRINSIC", ".IBB201120C138.5")</f>
        <v>N/A</v>
      </c>
      <c r="S231" t="str">
        <f>RTD("tos.rtd", , "EXTRINSIC", ".IBB201120C138.5")</f>
        <v>N/A</v>
      </c>
      <c r="T231" t="str">
        <f>RTD("tos.rtd", , "PROB_OF_EXPIRING", ".IBB201120C138.5")</f>
        <v>N/A</v>
      </c>
      <c r="U231" t="str">
        <f>RTD("tos.rtd", , "PROB_OTM", ".IBB201120C138.5")</f>
        <v>N/A</v>
      </c>
      <c r="V231" t="str">
        <f>RTD("tos.rtd", , "PROB_OF_TOUCHING", ".IBB201120C138.5")</f>
        <v>N/A</v>
      </c>
      <c r="W231" t="str">
        <f>RTD("tos.rtd", , "STRIKE", ".IBB201120C138.5")</f>
        <v>N/A</v>
      </c>
    </row>
    <row r="232" spans="1:23" x14ac:dyDescent="0.45">
      <c r="A232" t="s">
        <v>253</v>
      </c>
      <c r="B232" t="str">
        <f>RTD("tos.rtd", , "DESCRIPTION", ".IBB201120P138.5")</f>
        <v>N/A</v>
      </c>
      <c r="C232" t="str">
        <f>RTD("tos.rtd", , "PUT_CALL_RATIO", ".IBB201120P138.5")</f>
        <v>N/A</v>
      </c>
      <c r="D232" t="str">
        <f>RTD("tos.rtd", , "IMPL_VOL", ".IBB201120P138.5")</f>
        <v>N/A</v>
      </c>
      <c r="E232">
        <f>RTD("tos.rtd", , "LAST", ".IBB201120P138.5")</f>
        <v>2.4</v>
      </c>
      <c r="F232">
        <f>RTD("tos.rtd", , "VOLUME", ".IBB201120P138.5")</f>
        <v>0</v>
      </c>
      <c r="G232">
        <f>RTD("tos.rtd", , "OPEN_INT", ".IBB201120P138.5")</f>
        <v>368</v>
      </c>
      <c r="H232">
        <f>RTD("tos.rtd", , "BID", ".IBB201120P138.5")</f>
        <v>1.67</v>
      </c>
      <c r="I232">
        <f>RTD("tos.rtd", , "ASK", ".IBB201120P138.5")</f>
        <v>1.89</v>
      </c>
      <c r="J232">
        <f>RTD("tos.rtd", , "HIGH", ".IBB201120P138.5")</f>
        <v>0</v>
      </c>
      <c r="K232">
        <f>RTD("tos.rtd", , "LOW", ".IBB201120P138.5")</f>
        <v>0</v>
      </c>
      <c r="L232">
        <f>RTD("tos.rtd", , "OPEN", ".IBB201120P138.5")</f>
        <v>0</v>
      </c>
      <c r="M232" t="str">
        <f>RTD("tos.rtd", , "DELTA", ".IBB201120P138.5")</f>
        <v>N/A</v>
      </c>
      <c r="N232" t="str">
        <f>RTD("tos.rtd", , "GAMMA", ".IBB201120P138.5")</f>
        <v>N/A</v>
      </c>
      <c r="O232" t="str">
        <f>RTD("tos.rtd", , "THETA", ".IBB201120P138.5")</f>
        <v>N/A</v>
      </c>
      <c r="P232" t="str">
        <f>RTD("tos.rtd", , "VEGA", ".IBB201120P138.5")</f>
        <v>N/A</v>
      </c>
      <c r="Q232" t="str">
        <f>RTD("tos.rtd", , "RHO", ".IBB201120P138.5")</f>
        <v>N/A</v>
      </c>
      <c r="R232" t="str">
        <f>RTD("tos.rtd", , "INTRINSIC", ".IBB201120P138.5")</f>
        <v>N/A</v>
      </c>
      <c r="S232" t="str">
        <f>RTD("tos.rtd", , "EXTRINSIC", ".IBB201120P138.5")</f>
        <v>N/A</v>
      </c>
      <c r="T232" t="str">
        <f>RTD("tos.rtd", , "PROB_OF_EXPIRING", ".IBB201120P138.5")</f>
        <v>N/A</v>
      </c>
      <c r="U232" t="str">
        <f>RTD("tos.rtd", , "PROB_OTM", ".IBB201120P138.5")</f>
        <v>N/A</v>
      </c>
      <c r="V232" t="str">
        <f>RTD("tos.rtd", , "PROB_OF_TOUCHING", ".IBB201120P138.5")</f>
        <v>N/A</v>
      </c>
      <c r="W232" t="str">
        <f>RTD("tos.rtd", , "STRIKE", ".IBB201120P138.5")</f>
        <v>N/A</v>
      </c>
    </row>
    <row r="233" spans="1:23" x14ac:dyDescent="0.45">
      <c r="A233" t="s">
        <v>254</v>
      </c>
      <c r="B233" t="str">
        <f>RTD("tos.rtd", , "DESCRIPTION", ".IBB201120C139")</f>
        <v>N/A</v>
      </c>
      <c r="C233" t="str">
        <f>RTD("tos.rtd", , "PUT_CALL_RATIO", ".IBB201120C139")</f>
        <v>N/A</v>
      </c>
      <c r="D233" t="str">
        <f>RTD("tos.rtd", , "IMPL_VOL", ".IBB201120C139")</f>
        <v>N/A</v>
      </c>
      <c r="E233">
        <f>RTD("tos.rtd", , "LAST", ".IBB201120C139")</f>
        <v>2.46</v>
      </c>
      <c r="F233">
        <f>RTD("tos.rtd", , "VOLUME", ".IBB201120C139")</f>
        <v>7</v>
      </c>
      <c r="G233">
        <f>RTD("tos.rtd", , "OPEN_INT", ".IBB201120C139")</f>
        <v>943</v>
      </c>
      <c r="H233">
        <f>RTD("tos.rtd", , "BID", ".IBB201120C139")</f>
        <v>2.1800000000000002</v>
      </c>
      <c r="I233">
        <f>RTD("tos.rtd", , "ASK", ".IBB201120C139")</f>
        <v>2.5</v>
      </c>
      <c r="J233">
        <f>RTD("tos.rtd", , "HIGH", ".IBB201120C139")</f>
        <v>3</v>
      </c>
      <c r="K233">
        <f>RTD("tos.rtd", , "LOW", ".IBB201120C139")</f>
        <v>2.46</v>
      </c>
      <c r="L233">
        <f>RTD("tos.rtd", , "OPEN", ".IBB201120C139")</f>
        <v>3</v>
      </c>
      <c r="M233" t="str">
        <f>RTD("tos.rtd", , "DELTA", ".IBB201120C139")</f>
        <v>N/A</v>
      </c>
      <c r="N233" t="str">
        <f>RTD("tos.rtd", , "GAMMA", ".IBB201120C139")</f>
        <v>N/A</v>
      </c>
      <c r="O233" t="str">
        <f>RTD("tos.rtd", , "THETA", ".IBB201120C139")</f>
        <v>N/A</v>
      </c>
      <c r="P233" t="str">
        <f>RTD("tos.rtd", , "VEGA", ".IBB201120C139")</f>
        <v>N/A</v>
      </c>
      <c r="Q233" t="str">
        <f>RTD("tos.rtd", , "RHO", ".IBB201120C139")</f>
        <v>N/A</v>
      </c>
      <c r="R233" t="str">
        <f>RTD("tos.rtd", , "INTRINSIC", ".IBB201120C139")</f>
        <v>N/A</v>
      </c>
      <c r="S233" t="str">
        <f>RTD("tos.rtd", , "EXTRINSIC", ".IBB201120C139")</f>
        <v>N/A</v>
      </c>
      <c r="T233" t="str">
        <f>RTD("tos.rtd", , "PROB_OF_EXPIRING", ".IBB201120C139")</f>
        <v>N/A</v>
      </c>
      <c r="U233" t="str">
        <f>RTD("tos.rtd", , "PROB_OTM", ".IBB201120C139")</f>
        <v>N/A</v>
      </c>
      <c r="V233" t="str">
        <f>RTD("tos.rtd", , "PROB_OF_TOUCHING", ".IBB201120C139")</f>
        <v>N/A</v>
      </c>
      <c r="W233" t="str">
        <f>RTD("tos.rtd", , "STRIKE", ".IBB201120C139")</f>
        <v>N/A</v>
      </c>
    </row>
    <row r="234" spans="1:23" x14ac:dyDescent="0.45">
      <c r="A234" t="s">
        <v>255</v>
      </c>
      <c r="B234" t="str">
        <f>RTD("tos.rtd", , "DESCRIPTION", ".IBB201120P139")</f>
        <v>N/A</v>
      </c>
      <c r="C234" t="str">
        <f>RTD("tos.rtd", , "PUT_CALL_RATIO", ".IBB201120P139")</f>
        <v>N/A</v>
      </c>
      <c r="D234" t="str">
        <f>RTD("tos.rtd", , "IMPL_VOL", ".IBB201120P139")</f>
        <v>N/A</v>
      </c>
      <c r="E234" t="str">
        <f>RTD("tos.rtd", , "LAST", ".IBB201120P139")</f>
        <v>N/A</v>
      </c>
      <c r="F234" t="str">
        <f>RTD("tos.rtd", , "VOLUME", ".IBB201120P139")</f>
        <v>N/A</v>
      </c>
      <c r="G234" t="str">
        <f>RTD("tos.rtd", , "OPEN_INT", ".IBB201120P139")</f>
        <v>N/A</v>
      </c>
      <c r="H234" t="str">
        <f>RTD("tos.rtd", , "BID", ".IBB201120P139")</f>
        <v>N/A</v>
      </c>
      <c r="I234" t="str">
        <f>RTD("tos.rtd", , "ASK", ".IBB201120P139")</f>
        <v>N/A</v>
      </c>
      <c r="J234" t="str">
        <f>RTD("tos.rtd", , "HIGH", ".IBB201120P139")</f>
        <v>N/A</v>
      </c>
      <c r="K234" t="str">
        <f>RTD("tos.rtd", , "LOW", ".IBB201120P139")</f>
        <v>N/A</v>
      </c>
      <c r="L234" t="str">
        <f>RTD("tos.rtd", , "OPEN", ".IBB201120P139")</f>
        <v>N/A</v>
      </c>
      <c r="M234" t="str">
        <f>RTD("tos.rtd", , "DELTA", ".IBB201120P139")</f>
        <v>N/A</v>
      </c>
      <c r="N234" t="str">
        <f>RTD("tos.rtd", , "GAMMA", ".IBB201120P139")</f>
        <v>N/A</v>
      </c>
      <c r="O234" t="str">
        <f>RTD("tos.rtd", , "THETA", ".IBB201120P139")</f>
        <v>N/A</v>
      </c>
      <c r="P234" t="str">
        <f>RTD("tos.rtd", , "VEGA", ".IBB201120P139")</f>
        <v>N/A</v>
      </c>
      <c r="Q234" t="str">
        <f>RTD("tos.rtd", , "RHO", ".IBB201120P139")</f>
        <v>N/A</v>
      </c>
      <c r="R234" t="str">
        <f>RTD("tos.rtd", , "INTRINSIC", ".IBB201120P139")</f>
        <v>N/A</v>
      </c>
      <c r="S234" t="str">
        <f>RTD("tos.rtd", , "EXTRINSIC", ".IBB201120P139")</f>
        <v>N/A</v>
      </c>
      <c r="T234" t="str">
        <f>RTD("tos.rtd", , "PROB_OF_EXPIRING", ".IBB201120P139")</f>
        <v>N/A</v>
      </c>
      <c r="U234" t="str">
        <f>RTD("tos.rtd", , "PROB_OTM", ".IBB201120P139")</f>
        <v>N/A</v>
      </c>
      <c r="V234" t="str">
        <f>RTD("tos.rtd", , "PROB_OF_TOUCHING", ".IBB201120P139")</f>
        <v>N/A</v>
      </c>
      <c r="W234" t="str">
        <f>RTD("tos.rtd", , "STRIKE", ".IBB201120P139")</f>
        <v>N/A</v>
      </c>
    </row>
    <row r="235" spans="1:23" x14ac:dyDescent="0.45">
      <c r="A235" t="s">
        <v>256</v>
      </c>
      <c r="B235" t="str">
        <f>RTD("tos.rtd", , "DESCRIPTION", ".IBB201120C139.5")</f>
        <v>N/A</v>
      </c>
      <c r="C235" t="str">
        <f>RTD("tos.rtd", , "PUT_CALL_RATIO", ".IBB201120C139.5")</f>
        <v>N/A</v>
      </c>
      <c r="D235" t="str">
        <f>RTD("tos.rtd", , "IMPL_VOL", ".IBB201120C139.5")</f>
        <v>N/A</v>
      </c>
      <c r="E235" t="str">
        <f>RTD("tos.rtd", , "LAST", ".IBB201120C139.5")</f>
        <v>N/A</v>
      </c>
      <c r="F235" t="str">
        <f>RTD("tos.rtd", , "VOLUME", ".IBB201120C139.5")</f>
        <v>N/A</v>
      </c>
      <c r="G235" t="str">
        <f>RTD("tos.rtd", , "OPEN_INT", ".IBB201120C139.5")</f>
        <v>N/A</v>
      </c>
      <c r="H235" t="str">
        <f>RTD("tos.rtd", , "BID", ".IBB201120C139.5")</f>
        <v>N/A</v>
      </c>
      <c r="I235" t="str">
        <f>RTD("tos.rtd", , "ASK", ".IBB201120C139.5")</f>
        <v>N/A</v>
      </c>
      <c r="J235" t="str">
        <f>RTD("tos.rtd", , "HIGH", ".IBB201120C139.5")</f>
        <v>N/A</v>
      </c>
      <c r="K235" t="str">
        <f>RTD("tos.rtd", , "LOW", ".IBB201120C139.5")</f>
        <v>N/A</v>
      </c>
      <c r="L235" t="str">
        <f>RTD("tos.rtd", , "OPEN", ".IBB201120C139.5")</f>
        <v>N/A</v>
      </c>
      <c r="M235" t="str">
        <f>RTD("tos.rtd", , "DELTA", ".IBB201120C139.5")</f>
        <v>N/A</v>
      </c>
      <c r="N235" t="str">
        <f>RTD("tos.rtd", , "GAMMA", ".IBB201120C139.5")</f>
        <v>N/A</v>
      </c>
      <c r="O235" t="str">
        <f>RTD("tos.rtd", , "THETA", ".IBB201120C139.5")</f>
        <v>N/A</v>
      </c>
      <c r="P235" t="str">
        <f>RTD("tos.rtd", , "VEGA", ".IBB201120C139.5")</f>
        <v>N/A</v>
      </c>
      <c r="Q235" t="str">
        <f>RTD("tos.rtd", , "RHO", ".IBB201120C139.5")</f>
        <v>N/A</v>
      </c>
      <c r="R235" t="str">
        <f>RTD("tos.rtd", , "INTRINSIC", ".IBB201120C139.5")</f>
        <v>N/A</v>
      </c>
      <c r="S235" t="str">
        <f>RTD("tos.rtd", , "EXTRINSIC", ".IBB201120C139.5")</f>
        <v>N/A</v>
      </c>
      <c r="T235" t="str">
        <f>RTD("tos.rtd", , "PROB_OF_EXPIRING", ".IBB201120C139.5")</f>
        <v>N/A</v>
      </c>
      <c r="U235" t="str">
        <f>RTD("tos.rtd", , "PROB_OTM", ".IBB201120C139.5")</f>
        <v>N/A</v>
      </c>
      <c r="V235" t="str">
        <f>RTD("tos.rtd", , "PROB_OF_TOUCHING", ".IBB201120C139.5")</f>
        <v>N/A</v>
      </c>
      <c r="W235" t="str">
        <f>RTD("tos.rtd", , "STRIKE", ".IBB201120C139.5")</f>
        <v>N/A</v>
      </c>
    </row>
    <row r="236" spans="1:23" x14ac:dyDescent="0.45">
      <c r="A236" t="s">
        <v>257</v>
      </c>
      <c r="B236" t="str">
        <f>RTD("tos.rtd", , "DESCRIPTION", ".IBB201120P139.5")</f>
        <v>N/A</v>
      </c>
      <c r="C236" t="str">
        <f>RTD("tos.rtd", , "PUT_CALL_RATIO", ".IBB201120P139.5")</f>
        <v>N/A</v>
      </c>
      <c r="D236" t="str">
        <f>RTD("tos.rtd", , "IMPL_VOL", ".IBB201120P139.5")</f>
        <v>N/A</v>
      </c>
      <c r="E236">
        <f>RTD("tos.rtd", , "LAST", ".IBB201120P139.5")</f>
        <v>2.2999999999999998</v>
      </c>
      <c r="F236">
        <f>RTD("tos.rtd", , "VOLUME", ".IBB201120P139.5")</f>
        <v>40</v>
      </c>
      <c r="G236">
        <f>RTD("tos.rtd", , "OPEN_INT", ".IBB201120P139.5")</f>
        <v>13</v>
      </c>
      <c r="H236">
        <f>RTD("tos.rtd", , "BID", ".IBB201120P139.5")</f>
        <v>2.1</v>
      </c>
      <c r="I236">
        <f>RTD("tos.rtd", , "ASK", ".IBB201120P139.5")</f>
        <v>2.4900000000000002</v>
      </c>
      <c r="J236">
        <f>RTD("tos.rtd", , "HIGH", ".IBB201120P139.5")</f>
        <v>2.4</v>
      </c>
      <c r="K236">
        <f>RTD("tos.rtd", , "LOW", ".IBB201120P139.5")</f>
        <v>2.15</v>
      </c>
      <c r="L236">
        <f>RTD("tos.rtd", , "OPEN", ".IBB201120P139.5")</f>
        <v>2.15</v>
      </c>
      <c r="M236" t="str">
        <f>RTD("tos.rtd", , "DELTA", ".IBB201120P139.5")</f>
        <v>N/A</v>
      </c>
      <c r="N236" t="str">
        <f>RTD("tos.rtd", , "GAMMA", ".IBB201120P139.5")</f>
        <v>N/A</v>
      </c>
      <c r="O236" t="str">
        <f>RTD("tos.rtd", , "THETA", ".IBB201120P139.5")</f>
        <v>N/A</v>
      </c>
      <c r="P236" t="str">
        <f>RTD("tos.rtd", , "VEGA", ".IBB201120P139.5")</f>
        <v>N/A</v>
      </c>
      <c r="Q236" t="str">
        <f>RTD("tos.rtd", , "RHO", ".IBB201120P139.5")</f>
        <v>N/A</v>
      </c>
      <c r="R236" t="str">
        <f>RTD("tos.rtd", , "INTRINSIC", ".IBB201120P139.5")</f>
        <v>N/A</v>
      </c>
      <c r="S236" t="str">
        <f>RTD("tos.rtd", , "EXTRINSIC", ".IBB201120P139.5")</f>
        <v>N/A</v>
      </c>
      <c r="T236" t="str">
        <f>RTD("tos.rtd", , "PROB_OF_EXPIRING", ".IBB201120P139.5")</f>
        <v>N/A</v>
      </c>
      <c r="U236" t="str">
        <f>RTD("tos.rtd", , "PROB_OTM", ".IBB201120P139.5")</f>
        <v>N/A</v>
      </c>
      <c r="V236" t="str">
        <f>RTD("tos.rtd", , "PROB_OF_TOUCHING", ".IBB201120P139.5")</f>
        <v>N/A</v>
      </c>
      <c r="W236" t="str">
        <f>RTD("tos.rtd", , "STRIKE", ".IBB201120P139.5")</f>
        <v>N/A</v>
      </c>
    </row>
    <row r="237" spans="1:23" x14ac:dyDescent="0.45">
      <c r="A237" t="s">
        <v>258</v>
      </c>
      <c r="B237" t="str">
        <f>RTD("tos.rtd", , "DESCRIPTION", ".IBB201120C140")</f>
        <v>N/A</v>
      </c>
      <c r="C237" t="str">
        <f>RTD("tos.rtd", , "PUT_CALL_RATIO", ".IBB201120C140")</f>
        <v>N/A</v>
      </c>
      <c r="D237" t="str">
        <f>RTD("tos.rtd", , "IMPL_VOL", ".IBB201120C140")</f>
        <v>N/A</v>
      </c>
      <c r="E237" t="str">
        <f>RTD("tos.rtd", , "LAST", ".IBB201120C140")</f>
        <v>N/A</v>
      </c>
      <c r="F237" t="str">
        <f>RTD("tos.rtd", , "VOLUME", ".IBB201120C140")</f>
        <v>N/A</v>
      </c>
      <c r="G237" t="str">
        <f>RTD("tos.rtd", , "OPEN_INT", ".IBB201120C140")</f>
        <v>N/A</v>
      </c>
      <c r="H237" t="str">
        <f>RTD("tos.rtd", , "BID", ".IBB201120C140")</f>
        <v>N/A</v>
      </c>
      <c r="I237" t="str">
        <f>RTD("tos.rtd", , "ASK", ".IBB201120C140")</f>
        <v>N/A</v>
      </c>
      <c r="J237" t="str">
        <f>RTD("tos.rtd", , "HIGH", ".IBB201120C140")</f>
        <v>N/A</v>
      </c>
      <c r="K237" t="str">
        <f>RTD("tos.rtd", , "LOW", ".IBB201120C140")</f>
        <v>N/A</v>
      </c>
      <c r="L237" t="str">
        <f>RTD("tos.rtd", , "OPEN", ".IBB201120C140")</f>
        <v>N/A</v>
      </c>
      <c r="M237" t="str">
        <f>RTD("tos.rtd", , "DELTA", ".IBB201120C140")</f>
        <v>N/A</v>
      </c>
      <c r="N237" t="str">
        <f>RTD("tos.rtd", , "GAMMA", ".IBB201120C140")</f>
        <v>N/A</v>
      </c>
      <c r="O237" t="str">
        <f>RTD("tos.rtd", , "THETA", ".IBB201120C140")</f>
        <v>N/A</v>
      </c>
      <c r="P237" t="str">
        <f>RTD("tos.rtd", , "VEGA", ".IBB201120C140")</f>
        <v>N/A</v>
      </c>
      <c r="Q237" t="str">
        <f>RTD("tos.rtd", , "RHO", ".IBB201120C140")</f>
        <v>N/A</v>
      </c>
      <c r="R237" t="str">
        <f>RTD("tos.rtd", , "INTRINSIC", ".IBB201120C140")</f>
        <v>N/A</v>
      </c>
      <c r="S237" t="str">
        <f>RTD("tos.rtd", , "EXTRINSIC", ".IBB201120C140")</f>
        <v>N/A</v>
      </c>
      <c r="T237" t="str">
        <f>RTD("tos.rtd", , "PROB_OF_EXPIRING", ".IBB201120C140")</f>
        <v>N/A</v>
      </c>
      <c r="U237" t="str">
        <f>RTD("tos.rtd", , "PROB_OTM", ".IBB201120C140")</f>
        <v>N/A</v>
      </c>
      <c r="V237" t="str">
        <f>RTD("tos.rtd", , "PROB_OF_TOUCHING", ".IBB201120C140")</f>
        <v>N/A</v>
      </c>
      <c r="W237" t="str">
        <f>RTD("tos.rtd", , "STRIKE", ".IBB201120C140")</f>
        <v>N/A</v>
      </c>
    </row>
    <row r="238" spans="1:23" x14ac:dyDescent="0.45">
      <c r="A238" t="s">
        <v>259</v>
      </c>
      <c r="B238" t="str">
        <f>RTD("tos.rtd", , "DESCRIPTION", ".IBB201120P140")</f>
        <v>N/A</v>
      </c>
      <c r="C238" t="str">
        <f>RTD("tos.rtd", , "PUT_CALL_RATIO", ".IBB201120P140")</f>
        <v>N/A</v>
      </c>
      <c r="D238" t="str">
        <f>RTD("tos.rtd", , "IMPL_VOL", ".IBB201120P140")</f>
        <v>N/A</v>
      </c>
      <c r="E238" t="str">
        <f>RTD("tos.rtd", , "LAST", ".IBB201120P140")</f>
        <v>N/A</v>
      </c>
      <c r="F238" t="str">
        <f>RTD("tos.rtd", , "VOLUME", ".IBB201120P140")</f>
        <v>N/A</v>
      </c>
      <c r="G238" t="str">
        <f>RTD("tos.rtd", , "OPEN_INT", ".IBB201120P140")</f>
        <v>N/A</v>
      </c>
      <c r="H238" t="str">
        <f>RTD("tos.rtd", , "BID", ".IBB201120P140")</f>
        <v>N/A</v>
      </c>
      <c r="I238" t="str">
        <f>RTD("tos.rtd", , "ASK", ".IBB201120P140")</f>
        <v>N/A</v>
      </c>
      <c r="J238" t="str">
        <f>RTD("tos.rtd", , "HIGH", ".IBB201120P140")</f>
        <v>N/A</v>
      </c>
      <c r="K238" t="str">
        <f>RTD("tos.rtd", , "LOW", ".IBB201120P140")</f>
        <v>N/A</v>
      </c>
      <c r="L238" t="str">
        <f>RTD("tos.rtd", , "OPEN", ".IBB201120P140")</f>
        <v>N/A</v>
      </c>
      <c r="M238" t="str">
        <f>RTD("tos.rtd", , "DELTA", ".IBB201120P140")</f>
        <v>N/A</v>
      </c>
      <c r="N238" t="str">
        <f>RTD("tos.rtd", , "GAMMA", ".IBB201120P140")</f>
        <v>N/A</v>
      </c>
      <c r="O238" t="str">
        <f>RTD("tos.rtd", , "THETA", ".IBB201120P140")</f>
        <v>N/A</v>
      </c>
      <c r="P238" t="str">
        <f>RTD("tos.rtd", , "VEGA", ".IBB201120P140")</f>
        <v>N/A</v>
      </c>
      <c r="Q238" t="str">
        <f>RTD("tos.rtd", , "RHO", ".IBB201120P140")</f>
        <v>N/A</v>
      </c>
      <c r="R238" t="str">
        <f>RTD("tos.rtd", , "INTRINSIC", ".IBB201120P140")</f>
        <v>N/A</v>
      </c>
      <c r="S238" t="str">
        <f>RTD("tos.rtd", , "EXTRINSIC", ".IBB201120P140")</f>
        <v>N/A</v>
      </c>
      <c r="T238" t="str">
        <f>RTD("tos.rtd", , "PROB_OF_EXPIRING", ".IBB201120P140")</f>
        <v>N/A</v>
      </c>
      <c r="U238" t="str">
        <f>RTD("tos.rtd", , "PROB_OTM", ".IBB201120P140")</f>
        <v>N/A</v>
      </c>
      <c r="V238" t="str">
        <f>RTD("tos.rtd", , "PROB_OF_TOUCHING", ".IBB201120P140")</f>
        <v>N/A</v>
      </c>
      <c r="W238" t="str">
        <f>RTD("tos.rtd", , "STRIKE", ".IBB201120P140")</f>
        <v>N/A</v>
      </c>
    </row>
    <row r="239" spans="1:23" x14ac:dyDescent="0.45">
      <c r="A239" t="s">
        <v>260</v>
      </c>
      <c r="B239" t="str">
        <f>RTD("tos.rtd", , "DESCRIPTION", ".IBB201120C140.5")</f>
        <v>N/A</v>
      </c>
      <c r="C239" t="str">
        <f>RTD("tos.rtd", , "PUT_CALL_RATIO", ".IBB201120C140.5")</f>
        <v>N/A</v>
      </c>
      <c r="D239" t="str">
        <f>RTD("tos.rtd", , "IMPL_VOL", ".IBB201120C140.5")</f>
        <v>N/A</v>
      </c>
      <c r="E239" t="str">
        <f>RTD("tos.rtd", , "LAST", ".IBB201120C140.5")</f>
        <v>N/A</v>
      </c>
      <c r="F239" t="str">
        <f>RTD("tos.rtd", , "VOLUME", ".IBB201120C140.5")</f>
        <v>N/A</v>
      </c>
      <c r="G239" t="str">
        <f>RTD("tos.rtd", , "OPEN_INT", ".IBB201120C140.5")</f>
        <v>N/A</v>
      </c>
      <c r="H239" t="str">
        <f>RTD("tos.rtd", , "BID", ".IBB201120C140.5")</f>
        <v>N/A</v>
      </c>
      <c r="I239" t="str">
        <f>RTD("tos.rtd", , "ASK", ".IBB201120C140.5")</f>
        <v>N/A</v>
      </c>
      <c r="J239" t="str">
        <f>RTD("tos.rtd", , "HIGH", ".IBB201120C140.5")</f>
        <v>N/A</v>
      </c>
      <c r="K239" t="str">
        <f>RTD("tos.rtd", , "LOW", ".IBB201120C140.5")</f>
        <v>N/A</v>
      </c>
      <c r="L239" t="str">
        <f>RTD("tos.rtd", , "OPEN", ".IBB201120C140.5")</f>
        <v>N/A</v>
      </c>
      <c r="M239" t="str">
        <f>RTD("tos.rtd", , "DELTA", ".IBB201120C140.5")</f>
        <v>N/A</v>
      </c>
      <c r="N239" t="str">
        <f>RTD("tos.rtd", , "GAMMA", ".IBB201120C140.5")</f>
        <v>N/A</v>
      </c>
      <c r="O239" t="str">
        <f>RTD("tos.rtd", , "THETA", ".IBB201120C140.5")</f>
        <v>N/A</v>
      </c>
      <c r="P239" t="str">
        <f>RTD("tos.rtd", , "VEGA", ".IBB201120C140.5")</f>
        <v>N/A</v>
      </c>
      <c r="Q239" t="str">
        <f>RTD("tos.rtd", , "RHO", ".IBB201120C140.5")</f>
        <v>N/A</v>
      </c>
      <c r="R239" t="str">
        <f>RTD("tos.rtd", , "INTRINSIC", ".IBB201120C140.5")</f>
        <v>N/A</v>
      </c>
      <c r="S239" t="str">
        <f>RTD("tos.rtd", , "EXTRINSIC", ".IBB201120C140.5")</f>
        <v>N/A</v>
      </c>
      <c r="T239" t="str">
        <f>RTD("tos.rtd", , "PROB_OF_EXPIRING", ".IBB201120C140.5")</f>
        <v>N/A</v>
      </c>
      <c r="U239" t="str">
        <f>RTD("tos.rtd", , "PROB_OTM", ".IBB201120C140.5")</f>
        <v>N/A</v>
      </c>
      <c r="V239" t="str">
        <f>RTD("tos.rtd", , "PROB_OF_TOUCHING", ".IBB201120C140.5")</f>
        <v>N/A</v>
      </c>
      <c r="W239" t="str">
        <f>RTD("tos.rtd", , "STRIKE", ".IBB201120C140.5")</f>
        <v>N/A</v>
      </c>
    </row>
    <row r="240" spans="1:23" x14ac:dyDescent="0.45">
      <c r="A240" t="s">
        <v>261</v>
      </c>
      <c r="B240" t="str">
        <f>RTD("tos.rtd", , "DESCRIPTION", ".IBB201120P140.5")</f>
        <v>N/A</v>
      </c>
      <c r="C240" t="str">
        <f>RTD("tos.rtd", , "PUT_CALL_RATIO", ".IBB201120P140.5")</f>
        <v>N/A</v>
      </c>
      <c r="D240" t="str">
        <f>RTD("tos.rtd", , "IMPL_VOL", ".IBB201120P140.5")</f>
        <v>N/A</v>
      </c>
      <c r="E240">
        <f>RTD("tos.rtd", , "LAST", ".IBB201120P140.5")</f>
        <v>4.2</v>
      </c>
      <c r="F240">
        <f>RTD("tos.rtd", , "VOLUME", ".IBB201120P140.5")</f>
        <v>0</v>
      </c>
      <c r="G240">
        <f>RTD("tos.rtd", , "OPEN_INT", ".IBB201120P140.5")</f>
        <v>3</v>
      </c>
      <c r="H240">
        <f>RTD("tos.rtd", , "BID", ".IBB201120P140.5")</f>
        <v>2.6</v>
      </c>
      <c r="I240">
        <f>RTD("tos.rtd", , "ASK", ".IBB201120P140.5")</f>
        <v>2.89</v>
      </c>
      <c r="J240">
        <f>RTD("tos.rtd", , "HIGH", ".IBB201120P140.5")</f>
        <v>0</v>
      </c>
      <c r="K240">
        <f>RTD("tos.rtd", , "LOW", ".IBB201120P140.5")</f>
        <v>0</v>
      </c>
      <c r="L240">
        <f>RTD("tos.rtd", , "OPEN", ".IBB201120P140.5")</f>
        <v>0</v>
      </c>
      <c r="M240" t="str">
        <f>RTD("tos.rtd", , "DELTA", ".IBB201120P140.5")</f>
        <v>N/A</v>
      </c>
      <c r="N240" t="str">
        <f>RTD("tos.rtd", , "GAMMA", ".IBB201120P140.5")</f>
        <v>N/A</v>
      </c>
      <c r="O240" t="str">
        <f>RTD("tos.rtd", , "THETA", ".IBB201120P140.5")</f>
        <v>N/A</v>
      </c>
      <c r="P240" t="str">
        <f>RTD("tos.rtd", , "VEGA", ".IBB201120P140.5")</f>
        <v>N/A</v>
      </c>
      <c r="Q240" t="str">
        <f>RTD("tos.rtd", , "RHO", ".IBB201120P140.5")</f>
        <v>N/A</v>
      </c>
      <c r="R240" t="str">
        <f>RTD("tos.rtd", , "INTRINSIC", ".IBB201120P140.5")</f>
        <v>N/A</v>
      </c>
      <c r="S240" t="str">
        <f>RTD("tos.rtd", , "EXTRINSIC", ".IBB201120P140.5")</f>
        <v>N/A</v>
      </c>
      <c r="T240" t="str">
        <f>RTD("tos.rtd", , "PROB_OF_EXPIRING", ".IBB201120P140.5")</f>
        <v>N/A</v>
      </c>
      <c r="U240" t="str">
        <f>RTD("tos.rtd", , "PROB_OTM", ".IBB201120P140.5")</f>
        <v>N/A</v>
      </c>
      <c r="V240" t="str">
        <f>RTD("tos.rtd", , "PROB_OF_TOUCHING", ".IBB201120P140.5")</f>
        <v>N/A</v>
      </c>
      <c r="W240" t="str">
        <f>RTD("tos.rtd", , "STRIKE", ".IBB201120P140.5")</f>
        <v>N/A</v>
      </c>
    </row>
    <row r="241" spans="1:23" x14ac:dyDescent="0.45">
      <c r="A241" t="s">
        <v>262</v>
      </c>
      <c r="B241" t="str">
        <f>RTD("tos.rtd", , "DESCRIPTION", ".IBB201120C141")</f>
        <v>N/A</v>
      </c>
      <c r="C241" t="str">
        <f>RTD("tos.rtd", , "PUT_CALL_RATIO", ".IBB201120C141")</f>
        <v>N/A</v>
      </c>
      <c r="D241" t="str">
        <f>RTD("tos.rtd", , "IMPL_VOL", ".IBB201120C141")</f>
        <v>N/A</v>
      </c>
      <c r="E241" t="str">
        <f>RTD("tos.rtd", , "LAST", ".IBB201120C141")</f>
        <v>N/A</v>
      </c>
      <c r="F241" t="str">
        <f>RTD("tos.rtd", , "VOLUME", ".IBB201120C141")</f>
        <v>N/A</v>
      </c>
      <c r="G241" t="str">
        <f>RTD("tos.rtd", , "OPEN_INT", ".IBB201120C141")</f>
        <v>N/A</v>
      </c>
      <c r="H241" t="str">
        <f>RTD("tos.rtd", , "BID", ".IBB201120C141")</f>
        <v>N/A</v>
      </c>
      <c r="I241" t="str">
        <f>RTD("tos.rtd", , "ASK", ".IBB201120C141")</f>
        <v>N/A</v>
      </c>
      <c r="J241" t="str">
        <f>RTD("tos.rtd", , "HIGH", ".IBB201120C141")</f>
        <v>N/A</v>
      </c>
      <c r="K241" t="str">
        <f>RTD("tos.rtd", , "LOW", ".IBB201120C141")</f>
        <v>N/A</v>
      </c>
      <c r="L241" t="str">
        <f>RTD("tos.rtd", , "OPEN", ".IBB201120C141")</f>
        <v>N/A</v>
      </c>
      <c r="M241" t="str">
        <f>RTD("tos.rtd", , "DELTA", ".IBB201120C141")</f>
        <v>N/A</v>
      </c>
      <c r="N241" t="str">
        <f>RTD("tos.rtd", , "GAMMA", ".IBB201120C141")</f>
        <v>N/A</v>
      </c>
      <c r="O241" t="str">
        <f>RTD("tos.rtd", , "THETA", ".IBB201120C141")</f>
        <v>N/A</v>
      </c>
      <c r="P241" t="str">
        <f>RTD("tos.rtd", , "VEGA", ".IBB201120C141")</f>
        <v>N/A</v>
      </c>
      <c r="Q241" t="str">
        <f>RTD("tos.rtd", , "RHO", ".IBB201120C141")</f>
        <v>N/A</v>
      </c>
      <c r="R241" t="str">
        <f>RTD("tos.rtd", , "INTRINSIC", ".IBB201120C141")</f>
        <v>N/A</v>
      </c>
      <c r="S241" t="str">
        <f>RTD("tos.rtd", , "EXTRINSIC", ".IBB201120C141")</f>
        <v>N/A</v>
      </c>
      <c r="T241" t="str">
        <f>RTD("tos.rtd", , "PROB_OF_EXPIRING", ".IBB201120C141")</f>
        <v>N/A</v>
      </c>
      <c r="U241" t="str">
        <f>RTD("tos.rtd", , "PROB_OTM", ".IBB201120C141")</f>
        <v>N/A</v>
      </c>
      <c r="V241" t="str">
        <f>RTD("tos.rtd", , "PROB_OF_TOUCHING", ".IBB201120C141")</f>
        <v>N/A</v>
      </c>
      <c r="W241" t="str">
        <f>RTD("tos.rtd", , "STRIKE", ".IBB201120C141")</f>
        <v>N/A</v>
      </c>
    </row>
    <row r="242" spans="1:23" x14ac:dyDescent="0.45">
      <c r="A242" t="s">
        <v>263</v>
      </c>
      <c r="B242" t="str">
        <f>RTD("tos.rtd", , "DESCRIPTION", ".IBB201120P141")</f>
        <v>N/A</v>
      </c>
      <c r="C242" t="str">
        <f>RTD("tos.rtd", , "PUT_CALL_RATIO", ".IBB201120P141")</f>
        <v>N/A</v>
      </c>
      <c r="D242" t="str">
        <f>RTD("tos.rtd", , "IMPL_VOL", ".IBB201120P141")</f>
        <v>N/A</v>
      </c>
      <c r="E242">
        <f>RTD("tos.rtd", , "LAST", ".IBB201120P141")</f>
        <v>4.05</v>
      </c>
      <c r="F242">
        <f>RTD("tos.rtd", , "VOLUME", ".IBB201120P141")</f>
        <v>0</v>
      </c>
      <c r="G242">
        <f>RTD("tos.rtd", , "OPEN_INT", ".IBB201120P141")</f>
        <v>200</v>
      </c>
      <c r="H242">
        <f>RTD("tos.rtd", , "BID", ".IBB201120P141")</f>
        <v>2.88</v>
      </c>
      <c r="I242">
        <f>RTD("tos.rtd", , "ASK", ".IBB201120P141")</f>
        <v>3.4</v>
      </c>
      <c r="J242">
        <f>RTD("tos.rtd", , "HIGH", ".IBB201120P141")</f>
        <v>0</v>
      </c>
      <c r="K242">
        <f>RTD("tos.rtd", , "LOW", ".IBB201120P141")</f>
        <v>0</v>
      </c>
      <c r="L242">
        <f>RTD("tos.rtd", , "OPEN", ".IBB201120P141")</f>
        <v>0</v>
      </c>
      <c r="M242" t="str">
        <f>RTD("tos.rtd", , "DELTA", ".IBB201120P141")</f>
        <v>N/A</v>
      </c>
      <c r="N242" t="str">
        <f>RTD("tos.rtd", , "GAMMA", ".IBB201120P141")</f>
        <v>N/A</v>
      </c>
      <c r="O242" t="str">
        <f>RTD("tos.rtd", , "THETA", ".IBB201120P141")</f>
        <v>N/A</v>
      </c>
      <c r="P242" t="str">
        <f>RTD("tos.rtd", , "VEGA", ".IBB201120P141")</f>
        <v>N/A</v>
      </c>
      <c r="Q242" t="str">
        <f>RTD("tos.rtd", , "RHO", ".IBB201120P141")</f>
        <v>N/A</v>
      </c>
      <c r="R242" t="str">
        <f>RTD("tos.rtd", , "INTRINSIC", ".IBB201120P141")</f>
        <v>N/A</v>
      </c>
      <c r="S242" t="str">
        <f>RTD("tos.rtd", , "EXTRINSIC", ".IBB201120P141")</f>
        <v>N/A</v>
      </c>
      <c r="T242" t="str">
        <f>RTD("tos.rtd", , "PROB_OF_EXPIRING", ".IBB201120P141")</f>
        <v>N/A</v>
      </c>
      <c r="U242" t="str">
        <f>RTD("tos.rtd", , "PROB_OTM", ".IBB201120P141")</f>
        <v>N/A</v>
      </c>
      <c r="V242" t="str">
        <f>RTD("tos.rtd", , "PROB_OF_TOUCHING", ".IBB201120P141")</f>
        <v>N/A</v>
      </c>
      <c r="W242" t="str">
        <f>RTD("tos.rtd", , "STRIKE", ".IBB201120P141")</f>
        <v>N/A</v>
      </c>
    </row>
    <row r="243" spans="1:23" x14ac:dyDescent="0.45">
      <c r="A243" t="s">
        <v>264</v>
      </c>
      <c r="B243" t="str">
        <f>RTD("tos.rtd", , "DESCRIPTION", ".IBB201120C141.5")</f>
        <v>N/A</v>
      </c>
      <c r="C243" t="str">
        <f>RTD("tos.rtd", , "PUT_CALL_RATIO", ".IBB201120C141.5")</f>
        <v>N/A</v>
      </c>
      <c r="D243" t="str">
        <f>RTD("tos.rtd", , "IMPL_VOL", ".IBB201120C141.5")</f>
        <v>N/A</v>
      </c>
      <c r="E243" t="str">
        <f>RTD("tos.rtd", , "LAST", ".IBB201120C141.5")</f>
        <v>N/A</v>
      </c>
      <c r="F243" t="str">
        <f>RTD("tos.rtd", , "VOLUME", ".IBB201120C141.5")</f>
        <v>N/A</v>
      </c>
      <c r="G243" t="str">
        <f>RTD("tos.rtd", , "OPEN_INT", ".IBB201120C141.5")</f>
        <v>N/A</v>
      </c>
      <c r="H243" t="str">
        <f>RTD("tos.rtd", , "BID", ".IBB201120C141.5")</f>
        <v>N/A</v>
      </c>
      <c r="I243" t="str">
        <f>RTD("tos.rtd", , "ASK", ".IBB201120C141.5")</f>
        <v>N/A</v>
      </c>
      <c r="J243" t="str">
        <f>RTD("tos.rtd", , "HIGH", ".IBB201120C141.5")</f>
        <v>N/A</v>
      </c>
      <c r="K243" t="str">
        <f>RTD("tos.rtd", , "LOW", ".IBB201120C141.5")</f>
        <v>N/A</v>
      </c>
      <c r="L243" t="str">
        <f>RTD("tos.rtd", , "OPEN", ".IBB201120C141.5")</f>
        <v>N/A</v>
      </c>
      <c r="M243" t="str">
        <f>RTD("tos.rtd", , "DELTA", ".IBB201120C141.5")</f>
        <v>N/A</v>
      </c>
      <c r="N243" t="str">
        <f>RTD("tos.rtd", , "GAMMA", ".IBB201120C141.5")</f>
        <v>N/A</v>
      </c>
      <c r="O243" t="str">
        <f>RTD("tos.rtd", , "THETA", ".IBB201120C141.5")</f>
        <v>N/A</v>
      </c>
      <c r="P243" t="str">
        <f>RTD("tos.rtd", , "VEGA", ".IBB201120C141.5")</f>
        <v>N/A</v>
      </c>
      <c r="Q243" t="str">
        <f>RTD("tos.rtd", , "RHO", ".IBB201120C141.5")</f>
        <v>N/A</v>
      </c>
      <c r="R243" t="str">
        <f>RTD("tos.rtd", , "INTRINSIC", ".IBB201120C141.5")</f>
        <v>N/A</v>
      </c>
      <c r="S243" t="str">
        <f>RTD("tos.rtd", , "EXTRINSIC", ".IBB201120C141.5")</f>
        <v>N/A</v>
      </c>
      <c r="T243" t="str">
        <f>RTD("tos.rtd", , "PROB_OF_EXPIRING", ".IBB201120C141.5")</f>
        <v>N/A</v>
      </c>
      <c r="U243" t="str">
        <f>RTD("tos.rtd", , "PROB_OTM", ".IBB201120C141.5")</f>
        <v>N/A</v>
      </c>
      <c r="V243" t="str">
        <f>RTD("tos.rtd", , "PROB_OF_TOUCHING", ".IBB201120C141.5")</f>
        <v>N/A</v>
      </c>
      <c r="W243" t="str">
        <f>RTD("tos.rtd", , "STRIKE", ".IBB201120C141.5")</f>
        <v>N/A</v>
      </c>
    </row>
    <row r="244" spans="1:23" x14ac:dyDescent="0.45">
      <c r="A244" t="s">
        <v>265</v>
      </c>
      <c r="B244" t="str">
        <f>RTD("tos.rtd", , "DESCRIPTION", ".IBB201120P141.5")</f>
        <v>N/A</v>
      </c>
      <c r="C244" t="str">
        <f>RTD("tos.rtd", , "PUT_CALL_RATIO", ".IBB201120P141.5")</f>
        <v>N/A</v>
      </c>
      <c r="D244" t="str">
        <f>RTD("tos.rtd", , "IMPL_VOL", ".IBB201120P141.5")</f>
        <v>N/A</v>
      </c>
      <c r="E244">
        <f>RTD("tos.rtd", , "LAST", ".IBB201120P141.5")</f>
        <v>3.55</v>
      </c>
      <c r="F244">
        <f>RTD("tos.rtd", , "VOLUME", ".IBB201120P141.5")</f>
        <v>0</v>
      </c>
      <c r="G244">
        <f>RTD("tos.rtd", , "OPEN_INT", ".IBB201120P141.5")</f>
        <v>560</v>
      </c>
      <c r="H244">
        <f>RTD("tos.rtd", , "BID", ".IBB201120P141.5")</f>
        <v>3.15</v>
      </c>
      <c r="I244">
        <f>RTD("tos.rtd", , "ASK", ".IBB201120P141.5")</f>
        <v>3.4</v>
      </c>
      <c r="J244">
        <f>RTD("tos.rtd", , "HIGH", ".IBB201120P141.5")</f>
        <v>0</v>
      </c>
      <c r="K244">
        <f>RTD("tos.rtd", , "LOW", ".IBB201120P141.5")</f>
        <v>0</v>
      </c>
      <c r="L244">
        <f>RTD("tos.rtd", , "OPEN", ".IBB201120P141.5")</f>
        <v>0</v>
      </c>
      <c r="M244" t="str">
        <f>RTD("tos.rtd", , "DELTA", ".IBB201120P141.5")</f>
        <v>N/A</v>
      </c>
      <c r="N244" t="str">
        <f>RTD("tos.rtd", , "GAMMA", ".IBB201120P141.5")</f>
        <v>N/A</v>
      </c>
      <c r="O244" t="str">
        <f>RTD("tos.rtd", , "THETA", ".IBB201120P141.5")</f>
        <v>N/A</v>
      </c>
      <c r="P244" t="str">
        <f>RTD("tos.rtd", , "VEGA", ".IBB201120P141.5")</f>
        <v>N/A</v>
      </c>
      <c r="Q244" t="str">
        <f>RTD("tos.rtd", , "RHO", ".IBB201120P141.5")</f>
        <v>N/A</v>
      </c>
      <c r="R244" t="str">
        <f>RTD("tos.rtd", , "INTRINSIC", ".IBB201120P141.5")</f>
        <v>N/A</v>
      </c>
      <c r="S244" t="str">
        <f>RTD("tos.rtd", , "EXTRINSIC", ".IBB201120P141.5")</f>
        <v>N/A</v>
      </c>
      <c r="T244" t="str">
        <f>RTD("tos.rtd", , "PROB_OF_EXPIRING", ".IBB201120P141.5")</f>
        <v>N/A</v>
      </c>
      <c r="U244" t="str">
        <f>RTD("tos.rtd", , "PROB_OTM", ".IBB201120P141.5")</f>
        <v>N/A</v>
      </c>
      <c r="V244" t="str">
        <f>RTD("tos.rtd", , "PROB_OF_TOUCHING", ".IBB201120P141.5")</f>
        <v>N/A</v>
      </c>
      <c r="W244" t="str">
        <f>RTD("tos.rtd", , "STRIKE", ".IBB201120P141.5")</f>
        <v>N/A</v>
      </c>
    </row>
    <row r="245" spans="1:23" x14ac:dyDescent="0.45">
      <c r="A245" t="s">
        <v>266</v>
      </c>
      <c r="B245" t="str">
        <f>RTD("tos.rtd", , "DESCRIPTION", "ICLN")</f>
        <v>N/A</v>
      </c>
      <c r="C245">
        <f>RTD("tos.rtd", , "PUT_CALL_RATIO", "ICLN")</f>
        <v>0.09</v>
      </c>
      <c r="D245" t="str">
        <f>RTD("tos.rtd", , "IMPL_VOL", "ICLN")</f>
        <v>38.70%</v>
      </c>
      <c r="E245">
        <f>RTD("tos.rtd", , "LAST", "ICLN")</f>
        <v>21.6</v>
      </c>
      <c r="F245">
        <f>RTD("tos.rtd", , "VOLUME", "ICLN")</f>
        <v>4538441</v>
      </c>
      <c r="G245">
        <f>RTD("tos.rtd", , "OPEN_INT", "ICLN")</f>
        <v>0</v>
      </c>
      <c r="H245">
        <f>RTD("tos.rtd", , "BID", "ICLN")</f>
        <v>21.53</v>
      </c>
      <c r="I245">
        <f>RTD("tos.rtd", , "ASK", "ICLN")</f>
        <v>21.7</v>
      </c>
      <c r="J245">
        <f>RTD("tos.rtd", , "HIGH", "ICLN")</f>
        <v>22.134699999999999</v>
      </c>
      <c r="K245">
        <f>RTD("tos.rtd", , "LOW", "ICLN")</f>
        <v>21.51</v>
      </c>
      <c r="L245">
        <f>RTD("tos.rtd", , "OPEN", "ICLN")</f>
        <v>22.08</v>
      </c>
      <c r="M245">
        <f>RTD("tos.rtd", , "DELTA", "ICLN")</f>
        <v>1</v>
      </c>
      <c r="N245">
        <f>RTD("tos.rtd", , "GAMMA", "ICLN")</f>
        <v>0</v>
      </c>
      <c r="O245">
        <f>RTD("tos.rtd", , "THETA", "ICLN")</f>
        <v>0</v>
      </c>
      <c r="P245">
        <f>RTD("tos.rtd", , "VEGA", "ICLN")</f>
        <v>0</v>
      </c>
      <c r="Q245">
        <f>RTD("tos.rtd", , "RHO", "ICLN")</f>
        <v>0</v>
      </c>
      <c r="R245" t="str">
        <f>RTD("tos.rtd", , "INTRINSIC", "ICLN")</f>
        <v>N/A</v>
      </c>
      <c r="S245" t="str">
        <f>RTD("tos.rtd", , "EXTRINSIC", "ICLN")</f>
        <v>N/A</v>
      </c>
      <c r="T245" t="str">
        <f>RTD("tos.rtd", , "PROB_OF_EXPIRING", "ICLN")</f>
        <v>N/A</v>
      </c>
      <c r="U245" t="str">
        <f>RTD("tos.rtd", , "PROB_OTM", "ICLN")</f>
        <v>N/A</v>
      </c>
      <c r="V245" t="str">
        <f>RTD("tos.rtd", , "PROB_OF_TOUCHING", "ICLN")</f>
        <v>N/A</v>
      </c>
      <c r="W245" t="str">
        <f>RTD("tos.rtd", , "STRIKE", "ICLN")</f>
        <v>N/A</v>
      </c>
    </row>
    <row r="246" spans="1:23" x14ac:dyDescent="0.45">
      <c r="A246" t="s">
        <v>267</v>
      </c>
      <c r="B246" t="str">
        <f>RTD("tos.rtd", , "DESCRIPTION", ".ICLN201120C22")</f>
        <v>N/A</v>
      </c>
      <c r="C246" t="str">
        <f>RTD("tos.rtd", , "PUT_CALL_RATIO", ".ICLN201120C22")</f>
        <v>N/A</v>
      </c>
      <c r="D246" t="str">
        <f>RTD("tos.rtd", , "IMPL_VOL", ".ICLN201120C22")</f>
        <v>N/A</v>
      </c>
      <c r="E246" t="str">
        <f>RTD("tos.rtd", , "LAST", ".ICLN201120C22")</f>
        <v>N/A</v>
      </c>
      <c r="F246" t="str">
        <f>RTD("tos.rtd", , "VOLUME", ".ICLN201120C22")</f>
        <v>N/A</v>
      </c>
      <c r="G246" t="str">
        <f>RTD("tos.rtd", , "OPEN_INT", ".ICLN201120C22")</f>
        <v>N/A</v>
      </c>
      <c r="H246" t="str">
        <f>RTD("tos.rtd", , "BID", ".ICLN201120C22")</f>
        <v>N/A</v>
      </c>
      <c r="I246" t="str">
        <f>RTD("tos.rtd", , "ASK", ".ICLN201120C22")</f>
        <v>N/A</v>
      </c>
      <c r="J246" t="str">
        <f>RTD("tos.rtd", , "HIGH", ".ICLN201120C22")</f>
        <v>N/A</v>
      </c>
      <c r="K246" t="str">
        <f>RTD("tos.rtd", , "LOW", ".ICLN201120C22")</f>
        <v>N/A</v>
      </c>
      <c r="L246" t="str">
        <f>RTD("tos.rtd", , "OPEN", ".ICLN201120C22")</f>
        <v>N/A</v>
      </c>
      <c r="M246" t="str">
        <f>RTD("tos.rtd", , "DELTA", ".ICLN201120C22")</f>
        <v>N/A</v>
      </c>
      <c r="N246" t="str">
        <f>RTD("tos.rtd", , "GAMMA", ".ICLN201120C22")</f>
        <v>N/A</v>
      </c>
      <c r="O246" t="str">
        <f>RTD("tos.rtd", , "THETA", ".ICLN201120C22")</f>
        <v>N/A</v>
      </c>
      <c r="P246" t="str">
        <f>RTD("tos.rtd", , "VEGA", ".ICLN201120C22")</f>
        <v>N/A</v>
      </c>
      <c r="Q246" t="str">
        <f>RTD("tos.rtd", , "RHO", ".ICLN201120C22")</f>
        <v>N/A</v>
      </c>
      <c r="R246" t="str">
        <f>RTD("tos.rtd", , "INTRINSIC", ".ICLN201120C22")</f>
        <v>N/A</v>
      </c>
      <c r="S246" t="str">
        <f>RTD("tos.rtd", , "EXTRINSIC", ".ICLN201120C22")</f>
        <v>N/A</v>
      </c>
      <c r="T246" t="str">
        <f>RTD("tos.rtd", , "PROB_OF_EXPIRING", ".ICLN201120C22")</f>
        <v>N/A</v>
      </c>
      <c r="U246" t="str">
        <f>RTD("tos.rtd", , "PROB_OTM", ".ICLN201120C22")</f>
        <v>N/A</v>
      </c>
      <c r="V246" t="str">
        <f>RTD("tos.rtd", , "PROB_OF_TOUCHING", ".ICLN201120C22")</f>
        <v>N/A</v>
      </c>
      <c r="W246" t="str">
        <f>RTD("tos.rtd", , "STRIKE", ".ICLN201120C22")</f>
        <v>N/A</v>
      </c>
    </row>
    <row r="247" spans="1:23" x14ac:dyDescent="0.45">
      <c r="A247" t="s">
        <v>268</v>
      </c>
      <c r="B247" t="str">
        <f>RTD("tos.rtd", , "DESCRIPTION", ".ICLN201120P22")</f>
        <v>N/A</v>
      </c>
      <c r="C247" t="str">
        <f>RTD("tos.rtd", , "PUT_CALL_RATIO", ".ICLN201120P22")</f>
        <v>N/A</v>
      </c>
      <c r="D247" t="str">
        <f>RTD("tos.rtd", , "IMPL_VOL", ".ICLN201120P22")</f>
        <v>N/A</v>
      </c>
      <c r="E247" t="str">
        <f>RTD("tos.rtd", , "LAST", ".ICLN201120P22")</f>
        <v>N/A</v>
      </c>
      <c r="F247" t="str">
        <f>RTD("tos.rtd", , "VOLUME", ".ICLN201120P22")</f>
        <v>N/A</v>
      </c>
      <c r="G247" t="str">
        <f>RTD("tos.rtd", , "OPEN_INT", ".ICLN201120P22")</f>
        <v>N/A</v>
      </c>
      <c r="H247" t="str">
        <f>RTD("tos.rtd", , "BID", ".ICLN201120P22")</f>
        <v>N/A</v>
      </c>
      <c r="I247" t="str">
        <f>RTD("tos.rtd", , "ASK", ".ICLN201120P22")</f>
        <v>N/A</v>
      </c>
      <c r="J247" t="str">
        <f>RTD("tos.rtd", , "HIGH", ".ICLN201120P22")</f>
        <v>N/A</v>
      </c>
      <c r="K247" t="str">
        <f>RTD("tos.rtd", , "LOW", ".ICLN201120P22")</f>
        <v>N/A</v>
      </c>
      <c r="L247" t="str">
        <f>RTD("tos.rtd", , "OPEN", ".ICLN201120P22")</f>
        <v>N/A</v>
      </c>
      <c r="M247" t="str">
        <f>RTD("tos.rtd", , "DELTA", ".ICLN201120P22")</f>
        <v>N/A</v>
      </c>
      <c r="N247" t="str">
        <f>RTD("tos.rtd", , "GAMMA", ".ICLN201120P22")</f>
        <v>N/A</v>
      </c>
      <c r="O247" t="str">
        <f>RTD("tos.rtd", , "THETA", ".ICLN201120P22")</f>
        <v>N/A</v>
      </c>
      <c r="P247" t="str">
        <f>RTD("tos.rtd", , "VEGA", ".ICLN201120P22")</f>
        <v>N/A</v>
      </c>
      <c r="Q247" t="str">
        <f>RTD("tos.rtd", , "RHO", ".ICLN201120P22")</f>
        <v>N/A</v>
      </c>
      <c r="R247" t="str">
        <f>RTD("tos.rtd", , "INTRINSIC", ".ICLN201120P22")</f>
        <v>N/A</v>
      </c>
      <c r="S247" t="str">
        <f>RTD("tos.rtd", , "EXTRINSIC", ".ICLN201120P22")</f>
        <v>N/A</v>
      </c>
      <c r="T247" t="str">
        <f>RTD("tos.rtd", , "PROB_OF_EXPIRING", ".ICLN201120P22")</f>
        <v>N/A</v>
      </c>
      <c r="U247" t="str">
        <f>RTD("tos.rtd", , "PROB_OTM", ".ICLN201120P22")</f>
        <v>N/A</v>
      </c>
      <c r="V247" t="str">
        <f>RTD("tos.rtd", , "PROB_OF_TOUCHING", ".ICLN201120P22")</f>
        <v>N/A</v>
      </c>
      <c r="W247" t="str">
        <f>RTD("tos.rtd", , "STRIKE", ".ICLN201120P22")</f>
        <v>N/A</v>
      </c>
    </row>
    <row r="248" spans="1:23" x14ac:dyDescent="0.45">
      <c r="A248" t="s">
        <v>269</v>
      </c>
      <c r="B248" t="str">
        <f>RTD("tos.rtd", , "DESCRIPTION", "IEF")</f>
        <v>N/A</v>
      </c>
      <c r="C248">
        <f>RTD("tos.rtd", , "PUT_CALL_RATIO", "IEF")</f>
        <v>0.875</v>
      </c>
      <c r="D248" t="str">
        <f>RTD("tos.rtd", , "IMPL_VOL", "IEF")</f>
        <v>4.48%</v>
      </c>
      <c r="E248">
        <f>RTD("tos.rtd", , "LAST", "IEF")</f>
        <v>120.14</v>
      </c>
      <c r="F248">
        <f>RTD("tos.rtd", , "VOLUME", "IEF")</f>
        <v>6323952</v>
      </c>
      <c r="G248">
        <f>RTD("tos.rtd", , "OPEN_INT", "IEF")</f>
        <v>0</v>
      </c>
      <c r="H248">
        <f>RTD("tos.rtd", , "BID", "IEF")</f>
        <v>119.71</v>
      </c>
      <c r="I248">
        <f>RTD("tos.rtd", , "ASK", "IEF")</f>
        <v>120.5</v>
      </c>
      <c r="J248">
        <f>RTD("tos.rtd", , "HIGH", "IEF")</f>
        <v>120.15</v>
      </c>
      <c r="K248">
        <f>RTD("tos.rtd", , "LOW", "IEF")</f>
        <v>119.78</v>
      </c>
      <c r="L248">
        <f>RTD("tos.rtd", , "OPEN", "IEF")</f>
        <v>119.82</v>
      </c>
      <c r="M248">
        <f>RTD("tos.rtd", , "DELTA", "IEF")</f>
        <v>1</v>
      </c>
      <c r="N248">
        <f>RTD("tos.rtd", , "GAMMA", "IEF")</f>
        <v>0</v>
      </c>
      <c r="O248">
        <f>RTD("tos.rtd", , "THETA", "IEF")</f>
        <v>0</v>
      </c>
      <c r="P248">
        <f>RTD("tos.rtd", , "VEGA", "IEF")</f>
        <v>0</v>
      </c>
      <c r="Q248">
        <f>RTD("tos.rtd", , "RHO", "IEF")</f>
        <v>0</v>
      </c>
      <c r="R248" t="str">
        <f>RTD("tos.rtd", , "INTRINSIC", "IEF")</f>
        <v>N/A</v>
      </c>
      <c r="S248" t="str">
        <f>RTD("tos.rtd", , "EXTRINSIC", "IEF")</f>
        <v>N/A</v>
      </c>
      <c r="T248" t="str">
        <f>RTD("tos.rtd", , "PROB_OF_EXPIRING", "IEF")</f>
        <v>N/A</v>
      </c>
      <c r="U248" t="str">
        <f>RTD("tos.rtd", , "PROB_OTM", "IEF")</f>
        <v>N/A</v>
      </c>
      <c r="V248" t="str">
        <f>RTD("tos.rtd", , "PROB_OF_TOUCHING", "IEF")</f>
        <v>N/A</v>
      </c>
      <c r="W248" t="str">
        <f>RTD("tos.rtd", , "STRIKE", "IEF")</f>
        <v>N/A</v>
      </c>
    </row>
    <row r="249" spans="1:23" x14ac:dyDescent="0.45">
      <c r="A249" t="s">
        <v>270</v>
      </c>
      <c r="B249" t="str">
        <f>RTD("tos.rtd", , "DESCRIPTION", ".IEF201120C119.5")</f>
        <v>N/A</v>
      </c>
      <c r="C249" t="str">
        <f>RTD("tos.rtd", , "PUT_CALL_RATIO", ".IEF201120C119.5")</f>
        <v>N/A</v>
      </c>
      <c r="D249" t="str">
        <f>RTD("tos.rtd", , "IMPL_VOL", ".IEF201120C119.5")</f>
        <v>N/A</v>
      </c>
      <c r="E249" t="str">
        <f>RTD("tos.rtd", , "LAST", ".IEF201120C119.5")</f>
        <v>N/A</v>
      </c>
      <c r="F249" t="str">
        <f>RTD("tos.rtd", , "VOLUME", ".IEF201120C119.5")</f>
        <v>N/A</v>
      </c>
      <c r="G249" t="str">
        <f>RTD("tos.rtd", , "OPEN_INT", ".IEF201120C119.5")</f>
        <v>N/A</v>
      </c>
      <c r="H249" t="str">
        <f>RTD("tos.rtd", , "BID", ".IEF201120C119.5")</f>
        <v>N/A</v>
      </c>
      <c r="I249" t="str">
        <f>RTD("tos.rtd", , "ASK", ".IEF201120C119.5")</f>
        <v>N/A</v>
      </c>
      <c r="J249" t="str">
        <f>RTD("tos.rtd", , "HIGH", ".IEF201120C119.5")</f>
        <v>N/A</v>
      </c>
      <c r="K249" t="str">
        <f>RTD("tos.rtd", , "LOW", ".IEF201120C119.5")</f>
        <v>N/A</v>
      </c>
      <c r="L249" t="str">
        <f>RTD("tos.rtd", , "OPEN", ".IEF201120C119.5")</f>
        <v>N/A</v>
      </c>
      <c r="M249" t="str">
        <f>RTD("tos.rtd", , "DELTA", ".IEF201120C119.5")</f>
        <v>N/A</v>
      </c>
      <c r="N249" t="str">
        <f>RTD("tos.rtd", , "GAMMA", ".IEF201120C119.5")</f>
        <v>N/A</v>
      </c>
      <c r="O249" t="str">
        <f>RTD("tos.rtd", , "THETA", ".IEF201120C119.5")</f>
        <v>N/A</v>
      </c>
      <c r="P249" t="str">
        <f>RTD("tos.rtd", , "VEGA", ".IEF201120C119.5")</f>
        <v>N/A</v>
      </c>
      <c r="Q249" t="str">
        <f>RTD("tos.rtd", , "RHO", ".IEF201120C119.5")</f>
        <v>N/A</v>
      </c>
      <c r="R249" t="str">
        <f>RTD("tos.rtd", , "INTRINSIC", ".IEF201120C119.5")</f>
        <v>N/A</v>
      </c>
      <c r="S249" t="str">
        <f>RTD("tos.rtd", , "EXTRINSIC", ".IEF201120C119.5")</f>
        <v>N/A</v>
      </c>
      <c r="T249" t="str">
        <f>RTD("tos.rtd", , "PROB_OF_EXPIRING", ".IEF201120C119.5")</f>
        <v>N/A</v>
      </c>
      <c r="U249" t="str">
        <f>RTD("tos.rtd", , "PROB_OTM", ".IEF201120C119.5")</f>
        <v>N/A</v>
      </c>
      <c r="V249" t="str">
        <f>RTD("tos.rtd", , "PROB_OF_TOUCHING", ".IEF201120C119.5")</f>
        <v>N/A</v>
      </c>
      <c r="W249" t="str">
        <f>RTD("tos.rtd", , "STRIKE", ".IEF201120C119.5")</f>
        <v>N/A</v>
      </c>
    </row>
    <row r="250" spans="1:23" x14ac:dyDescent="0.45">
      <c r="A250" t="s">
        <v>271</v>
      </c>
      <c r="B250" t="str">
        <f>RTD("tos.rtd", , "DESCRIPTION", ".IEF201120P119.5")</f>
        <v>N/A</v>
      </c>
      <c r="C250" t="str">
        <f>RTD("tos.rtd", , "PUT_CALL_RATIO", ".IEF201120P119.5")</f>
        <v>N/A</v>
      </c>
      <c r="D250" t="str">
        <f>RTD("tos.rtd", , "IMPL_VOL", ".IEF201120P119.5")</f>
        <v>N/A</v>
      </c>
      <c r="E250" t="str">
        <f>RTD("tos.rtd", , "LAST", ".IEF201120P119.5")</f>
        <v>N/A</v>
      </c>
      <c r="F250" t="str">
        <f>RTD("tos.rtd", , "VOLUME", ".IEF201120P119.5")</f>
        <v>N/A</v>
      </c>
      <c r="G250" t="str">
        <f>RTD("tos.rtd", , "OPEN_INT", ".IEF201120P119.5")</f>
        <v>N/A</v>
      </c>
      <c r="H250" t="str">
        <f>RTD("tos.rtd", , "BID", ".IEF201120P119.5")</f>
        <v>N/A</v>
      </c>
      <c r="I250" t="str">
        <f>RTD("tos.rtd", , "ASK", ".IEF201120P119.5")</f>
        <v>N/A</v>
      </c>
      <c r="J250" t="str">
        <f>RTD("tos.rtd", , "HIGH", ".IEF201120P119.5")</f>
        <v>N/A</v>
      </c>
      <c r="K250" t="str">
        <f>RTD("tos.rtd", , "LOW", ".IEF201120P119.5")</f>
        <v>N/A</v>
      </c>
      <c r="L250" t="str">
        <f>RTD("tos.rtd", , "OPEN", ".IEF201120P119.5")</f>
        <v>N/A</v>
      </c>
      <c r="M250" t="str">
        <f>RTD("tos.rtd", , "DELTA", ".IEF201120P119.5")</f>
        <v>N/A</v>
      </c>
      <c r="N250" t="str">
        <f>RTD("tos.rtd", , "GAMMA", ".IEF201120P119.5")</f>
        <v>N/A</v>
      </c>
      <c r="O250" t="str">
        <f>RTD("tos.rtd", , "THETA", ".IEF201120P119.5")</f>
        <v>N/A</v>
      </c>
      <c r="P250" t="str">
        <f>RTD("tos.rtd", , "VEGA", ".IEF201120P119.5")</f>
        <v>N/A</v>
      </c>
      <c r="Q250" t="str">
        <f>RTD("tos.rtd", , "RHO", ".IEF201120P119.5")</f>
        <v>N/A</v>
      </c>
      <c r="R250" t="str">
        <f>RTD("tos.rtd", , "INTRINSIC", ".IEF201120P119.5")</f>
        <v>N/A</v>
      </c>
      <c r="S250" t="str">
        <f>RTD("tos.rtd", , "EXTRINSIC", ".IEF201120P119.5")</f>
        <v>N/A</v>
      </c>
      <c r="T250" t="str">
        <f>RTD("tos.rtd", , "PROB_OF_EXPIRING", ".IEF201120P119.5")</f>
        <v>N/A</v>
      </c>
      <c r="U250" t="str">
        <f>RTD("tos.rtd", , "PROB_OTM", ".IEF201120P119.5")</f>
        <v>N/A</v>
      </c>
      <c r="V250" t="str">
        <f>RTD("tos.rtd", , "PROB_OF_TOUCHING", ".IEF201120P119.5")</f>
        <v>N/A</v>
      </c>
      <c r="W250" t="str">
        <f>RTD("tos.rtd", , "STRIKE", ".IEF201120P119.5")</f>
        <v>N/A</v>
      </c>
    </row>
    <row r="251" spans="1:23" x14ac:dyDescent="0.45">
      <c r="A251" t="s">
        <v>272</v>
      </c>
      <c r="B251" t="str">
        <f>RTD("tos.rtd", , "DESCRIPTION", "IEFA")</f>
        <v>N/A</v>
      </c>
      <c r="C251">
        <f>RTD("tos.rtd", , "PUT_CALL_RATIO", "IEFA")</f>
        <v>0.16300000000000001</v>
      </c>
      <c r="D251" t="str">
        <f>RTD("tos.rtd", , "IMPL_VOL", "IEFA")</f>
        <v>30.66%</v>
      </c>
      <c r="E251">
        <f>RTD("tos.rtd", , "LAST", "IEFA")</f>
        <v>64.45</v>
      </c>
      <c r="F251">
        <f>RTD("tos.rtd", , "VOLUME", "IEFA")</f>
        <v>5643264</v>
      </c>
      <c r="G251">
        <f>RTD("tos.rtd", , "OPEN_INT", "IEFA")</f>
        <v>0</v>
      </c>
      <c r="H251">
        <f>RTD("tos.rtd", , "BID", "IEFA")</f>
        <v>63.91</v>
      </c>
      <c r="I251">
        <f>RTD("tos.rtd", , "ASK", "IEFA")</f>
        <v>64.88</v>
      </c>
      <c r="J251">
        <f>RTD("tos.rtd", , "HIGH", "IEFA")</f>
        <v>65.040000000000006</v>
      </c>
      <c r="K251">
        <f>RTD("tos.rtd", , "LOW", "IEFA")</f>
        <v>64.293300000000002</v>
      </c>
      <c r="L251">
        <f>RTD("tos.rtd", , "OPEN", "IEFA")</f>
        <v>64.8</v>
      </c>
      <c r="M251">
        <f>RTD("tos.rtd", , "DELTA", "IEFA")</f>
        <v>1</v>
      </c>
      <c r="N251">
        <f>RTD("tos.rtd", , "GAMMA", "IEFA")</f>
        <v>0</v>
      </c>
      <c r="O251">
        <f>RTD("tos.rtd", , "THETA", "IEFA")</f>
        <v>0</v>
      </c>
      <c r="P251">
        <f>RTD("tos.rtd", , "VEGA", "IEFA")</f>
        <v>0</v>
      </c>
      <c r="Q251">
        <f>RTD("tos.rtd", , "RHO", "IEFA")</f>
        <v>0</v>
      </c>
      <c r="R251" t="str">
        <f>RTD("tos.rtd", , "INTRINSIC", "IEFA")</f>
        <v>N/A</v>
      </c>
      <c r="S251" t="str">
        <f>RTD("tos.rtd", , "EXTRINSIC", "IEFA")</f>
        <v>N/A</v>
      </c>
      <c r="T251" t="str">
        <f>RTD("tos.rtd", , "PROB_OF_EXPIRING", "IEFA")</f>
        <v>N/A</v>
      </c>
      <c r="U251" t="str">
        <f>RTD("tos.rtd", , "PROB_OTM", "IEFA")</f>
        <v>N/A</v>
      </c>
      <c r="V251" t="str">
        <f>RTD("tos.rtd", , "PROB_OF_TOUCHING", "IEFA")</f>
        <v>N/A</v>
      </c>
      <c r="W251" t="str">
        <f>RTD("tos.rtd", , "STRIKE", "IEFA")</f>
        <v>N/A</v>
      </c>
    </row>
    <row r="252" spans="1:23" x14ac:dyDescent="0.45">
      <c r="A252" t="s">
        <v>273</v>
      </c>
      <c r="B252" t="str">
        <f>RTD("tos.rtd", , "DESCRIPTION", ".IEFA201120C65")</f>
        <v>N/A</v>
      </c>
      <c r="C252" t="str">
        <f>RTD("tos.rtd", , "PUT_CALL_RATIO", ".IEFA201120C65")</f>
        <v>N/A</v>
      </c>
      <c r="D252" t="str">
        <f>RTD("tos.rtd", , "IMPL_VOL", ".IEFA201120C65")</f>
        <v>N/A</v>
      </c>
      <c r="E252" t="str">
        <f>RTD("tos.rtd", , "LAST", ".IEFA201120C65")</f>
        <v>N/A</v>
      </c>
      <c r="F252" t="str">
        <f>RTD("tos.rtd", , "VOLUME", ".IEFA201120C65")</f>
        <v>N/A</v>
      </c>
      <c r="G252" t="str">
        <f>RTD("tos.rtd", , "OPEN_INT", ".IEFA201120C65")</f>
        <v>N/A</v>
      </c>
      <c r="H252" t="str">
        <f>RTD("tos.rtd", , "BID", ".IEFA201120C65")</f>
        <v>N/A</v>
      </c>
      <c r="I252" t="str">
        <f>RTD("tos.rtd", , "ASK", ".IEFA201120C65")</f>
        <v>N/A</v>
      </c>
      <c r="J252" t="str">
        <f>RTD("tos.rtd", , "HIGH", ".IEFA201120C65")</f>
        <v>N/A</v>
      </c>
      <c r="K252" t="str">
        <f>RTD("tos.rtd", , "LOW", ".IEFA201120C65")</f>
        <v>N/A</v>
      </c>
      <c r="L252" t="str">
        <f>RTD("tos.rtd", , "OPEN", ".IEFA201120C65")</f>
        <v>N/A</v>
      </c>
      <c r="M252" t="str">
        <f>RTD("tos.rtd", , "DELTA", ".IEFA201120C65")</f>
        <v>N/A</v>
      </c>
      <c r="N252" t="str">
        <f>RTD("tos.rtd", , "GAMMA", ".IEFA201120C65")</f>
        <v>N/A</v>
      </c>
      <c r="O252" t="str">
        <f>RTD("tos.rtd", , "THETA", ".IEFA201120C65")</f>
        <v>N/A</v>
      </c>
      <c r="P252" t="str">
        <f>RTD("tos.rtd", , "VEGA", ".IEFA201120C65")</f>
        <v>N/A</v>
      </c>
      <c r="Q252" t="str">
        <f>RTD("tos.rtd", , "RHO", ".IEFA201120C65")</f>
        <v>N/A</v>
      </c>
      <c r="R252" t="str">
        <f>RTD("tos.rtd", , "INTRINSIC", ".IEFA201120C65")</f>
        <v>N/A</v>
      </c>
      <c r="S252" t="str">
        <f>RTD("tos.rtd", , "EXTRINSIC", ".IEFA201120C65")</f>
        <v>N/A</v>
      </c>
      <c r="T252" t="str">
        <f>RTD("tos.rtd", , "PROB_OF_EXPIRING", ".IEFA201120C65")</f>
        <v>N/A</v>
      </c>
      <c r="U252" t="str">
        <f>RTD("tos.rtd", , "PROB_OTM", ".IEFA201120C65")</f>
        <v>N/A</v>
      </c>
      <c r="V252" t="str">
        <f>RTD("tos.rtd", , "PROB_OF_TOUCHING", ".IEFA201120C65")</f>
        <v>N/A</v>
      </c>
      <c r="W252" t="str">
        <f>RTD("tos.rtd", , "STRIKE", ".IEFA201120C65")</f>
        <v>N/A</v>
      </c>
    </row>
    <row r="253" spans="1:23" x14ac:dyDescent="0.45">
      <c r="A253" t="s">
        <v>274</v>
      </c>
      <c r="B253" t="str">
        <f>RTD("tos.rtd", , "DESCRIPTION", ".IEFA201120P65")</f>
        <v>N/A</v>
      </c>
      <c r="C253" t="str">
        <f>RTD("tos.rtd", , "PUT_CALL_RATIO", ".IEFA201120P65")</f>
        <v>N/A</v>
      </c>
      <c r="D253" t="str">
        <f>RTD("tos.rtd", , "IMPL_VOL", ".IEFA201120P65")</f>
        <v>N/A</v>
      </c>
      <c r="E253" t="str">
        <f>RTD("tos.rtd", , "LAST", ".IEFA201120P65")</f>
        <v>N/A</v>
      </c>
      <c r="F253" t="str">
        <f>RTD("tos.rtd", , "VOLUME", ".IEFA201120P65")</f>
        <v>N/A</v>
      </c>
      <c r="G253" t="str">
        <f>RTD("tos.rtd", , "OPEN_INT", ".IEFA201120P65")</f>
        <v>N/A</v>
      </c>
      <c r="H253" t="str">
        <f>RTD("tos.rtd", , "BID", ".IEFA201120P65")</f>
        <v>N/A</v>
      </c>
      <c r="I253" t="str">
        <f>RTD("tos.rtd", , "ASK", ".IEFA201120P65")</f>
        <v>N/A</v>
      </c>
      <c r="J253" t="str">
        <f>RTD("tos.rtd", , "HIGH", ".IEFA201120P65")</f>
        <v>N/A</v>
      </c>
      <c r="K253" t="str">
        <f>RTD("tos.rtd", , "LOW", ".IEFA201120P65")</f>
        <v>N/A</v>
      </c>
      <c r="L253" t="str">
        <f>RTD("tos.rtd", , "OPEN", ".IEFA201120P65")</f>
        <v>N/A</v>
      </c>
      <c r="M253" t="str">
        <f>RTD("tos.rtd", , "DELTA", ".IEFA201120P65")</f>
        <v>N/A</v>
      </c>
      <c r="N253" t="str">
        <f>RTD("tos.rtd", , "GAMMA", ".IEFA201120P65")</f>
        <v>N/A</v>
      </c>
      <c r="O253" t="str">
        <f>RTD("tos.rtd", , "THETA", ".IEFA201120P65")</f>
        <v>N/A</v>
      </c>
      <c r="P253" t="str">
        <f>RTD("tos.rtd", , "VEGA", ".IEFA201120P65")</f>
        <v>N/A</v>
      </c>
      <c r="Q253" t="str">
        <f>RTD("tos.rtd", , "RHO", ".IEFA201120P65")</f>
        <v>N/A</v>
      </c>
      <c r="R253" t="str">
        <f>RTD("tos.rtd", , "INTRINSIC", ".IEFA201120P65")</f>
        <v>N/A</v>
      </c>
      <c r="S253" t="str">
        <f>RTD("tos.rtd", , "EXTRINSIC", ".IEFA201120P65")</f>
        <v>N/A</v>
      </c>
      <c r="T253" t="str">
        <f>RTD("tos.rtd", , "PROB_OF_EXPIRING", ".IEFA201120P65")</f>
        <v>N/A</v>
      </c>
      <c r="U253" t="str">
        <f>RTD("tos.rtd", , "PROB_OTM", ".IEFA201120P65")</f>
        <v>N/A</v>
      </c>
      <c r="V253" t="str">
        <f>RTD("tos.rtd", , "PROB_OF_TOUCHING", ".IEFA201120P65")</f>
        <v>N/A</v>
      </c>
      <c r="W253" t="str">
        <f>RTD("tos.rtd", , "STRIKE", ".IEFA201120P65")</f>
        <v>N/A</v>
      </c>
    </row>
    <row r="254" spans="1:23" x14ac:dyDescent="0.45">
      <c r="A254" t="s">
        <v>275</v>
      </c>
      <c r="B254" t="str">
        <f>RTD("tos.rtd", , "DESCRIPTION", ".IEFA201120C66")</f>
        <v>N/A</v>
      </c>
      <c r="C254" t="str">
        <f>RTD("tos.rtd", , "PUT_CALL_RATIO", ".IEFA201120C66")</f>
        <v>N/A</v>
      </c>
      <c r="D254" t="str">
        <f>RTD("tos.rtd", , "IMPL_VOL", ".IEFA201120C66")</f>
        <v>N/A</v>
      </c>
      <c r="E254" t="str">
        <f>RTD("tos.rtd", , "LAST", ".IEFA201120C66")</f>
        <v>N/A</v>
      </c>
      <c r="F254" t="str">
        <f>RTD("tos.rtd", , "VOLUME", ".IEFA201120C66")</f>
        <v>N/A</v>
      </c>
      <c r="G254" t="str">
        <f>RTD("tos.rtd", , "OPEN_INT", ".IEFA201120C66")</f>
        <v>N/A</v>
      </c>
      <c r="H254" t="str">
        <f>RTD("tos.rtd", , "BID", ".IEFA201120C66")</f>
        <v>N/A</v>
      </c>
      <c r="I254" t="str">
        <f>RTD("tos.rtd", , "ASK", ".IEFA201120C66")</f>
        <v>N/A</v>
      </c>
      <c r="J254" t="str">
        <f>RTD("tos.rtd", , "HIGH", ".IEFA201120C66")</f>
        <v>N/A</v>
      </c>
      <c r="K254" t="str">
        <f>RTD("tos.rtd", , "LOW", ".IEFA201120C66")</f>
        <v>N/A</v>
      </c>
      <c r="L254" t="str">
        <f>RTD("tos.rtd", , "OPEN", ".IEFA201120C66")</f>
        <v>N/A</v>
      </c>
      <c r="M254" t="str">
        <f>RTD("tos.rtd", , "DELTA", ".IEFA201120C66")</f>
        <v>N/A</v>
      </c>
      <c r="N254" t="str">
        <f>RTD("tos.rtd", , "GAMMA", ".IEFA201120C66")</f>
        <v>N/A</v>
      </c>
      <c r="O254" t="str">
        <f>RTD("tos.rtd", , "THETA", ".IEFA201120C66")</f>
        <v>N/A</v>
      </c>
      <c r="P254" t="str">
        <f>RTD("tos.rtd", , "VEGA", ".IEFA201120C66")</f>
        <v>N/A</v>
      </c>
      <c r="Q254" t="str">
        <f>RTD("tos.rtd", , "RHO", ".IEFA201120C66")</f>
        <v>N/A</v>
      </c>
      <c r="R254" t="str">
        <f>RTD("tos.rtd", , "INTRINSIC", ".IEFA201120C66")</f>
        <v>N/A</v>
      </c>
      <c r="S254" t="str">
        <f>RTD("tos.rtd", , "EXTRINSIC", ".IEFA201120C66")</f>
        <v>N/A</v>
      </c>
      <c r="T254" t="str">
        <f>RTD("tos.rtd", , "PROB_OF_EXPIRING", ".IEFA201120C66")</f>
        <v>N/A</v>
      </c>
      <c r="U254" t="str">
        <f>RTD("tos.rtd", , "PROB_OTM", ".IEFA201120C66")</f>
        <v>N/A</v>
      </c>
      <c r="V254" t="str">
        <f>RTD("tos.rtd", , "PROB_OF_TOUCHING", ".IEFA201120C66")</f>
        <v>N/A</v>
      </c>
      <c r="W254" t="str">
        <f>RTD("tos.rtd", , "STRIKE", ".IEFA201120C66")</f>
        <v>N/A</v>
      </c>
    </row>
    <row r="255" spans="1:23" x14ac:dyDescent="0.45">
      <c r="A255" t="s">
        <v>276</v>
      </c>
      <c r="B255" t="str">
        <f>RTD("tos.rtd", , "DESCRIPTION", ".IEFA201120P66")</f>
        <v>N/A</v>
      </c>
      <c r="C255" t="str">
        <f>RTD("tos.rtd", , "PUT_CALL_RATIO", ".IEFA201120P66")</f>
        <v>N/A</v>
      </c>
      <c r="D255" t="str">
        <f>RTD("tos.rtd", , "IMPL_VOL", ".IEFA201120P66")</f>
        <v>N/A</v>
      </c>
      <c r="E255" t="str">
        <f>RTD("tos.rtd", , "LAST", ".IEFA201120P66")</f>
        <v>N/A</v>
      </c>
      <c r="F255" t="str">
        <f>RTD("tos.rtd", , "VOLUME", ".IEFA201120P66")</f>
        <v>N/A</v>
      </c>
      <c r="G255" t="str">
        <f>RTD("tos.rtd", , "OPEN_INT", ".IEFA201120P66")</f>
        <v>N/A</v>
      </c>
      <c r="H255" t="str">
        <f>RTD("tos.rtd", , "BID", ".IEFA201120P66")</f>
        <v>N/A</v>
      </c>
      <c r="I255" t="str">
        <f>RTD("tos.rtd", , "ASK", ".IEFA201120P66")</f>
        <v>N/A</v>
      </c>
      <c r="J255" t="str">
        <f>RTD("tos.rtd", , "HIGH", ".IEFA201120P66")</f>
        <v>N/A</v>
      </c>
      <c r="K255" t="str">
        <f>RTD("tos.rtd", , "LOW", ".IEFA201120P66")</f>
        <v>N/A</v>
      </c>
      <c r="L255" t="str">
        <f>RTD("tos.rtd", , "OPEN", ".IEFA201120P66")</f>
        <v>N/A</v>
      </c>
      <c r="M255" t="str">
        <f>RTD("tos.rtd", , "DELTA", ".IEFA201120P66")</f>
        <v>N/A</v>
      </c>
      <c r="N255" t="str">
        <f>RTD("tos.rtd", , "GAMMA", ".IEFA201120P66")</f>
        <v>N/A</v>
      </c>
      <c r="O255" t="str">
        <f>RTD("tos.rtd", , "THETA", ".IEFA201120P66")</f>
        <v>N/A</v>
      </c>
      <c r="P255" t="str">
        <f>RTD("tos.rtd", , "VEGA", ".IEFA201120P66")</f>
        <v>N/A</v>
      </c>
      <c r="Q255" t="str">
        <f>RTD("tos.rtd", , "RHO", ".IEFA201120P66")</f>
        <v>N/A</v>
      </c>
      <c r="R255" t="str">
        <f>RTD("tos.rtd", , "INTRINSIC", ".IEFA201120P66")</f>
        <v>N/A</v>
      </c>
      <c r="S255" t="str">
        <f>RTD("tos.rtd", , "EXTRINSIC", ".IEFA201120P66")</f>
        <v>N/A</v>
      </c>
      <c r="T255" t="str">
        <f>RTD("tos.rtd", , "PROB_OF_EXPIRING", ".IEFA201120P66")</f>
        <v>N/A</v>
      </c>
      <c r="U255" t="str">
        <f>RTD("tos.rtd", , "PROB_OTM", ".IEFA201120P66")</f>
        <v>N/A</v>
      </c>
      <c r="V255" t="str">
        <f>RTD("tos.rtd", , "PROB_OF_TOUCHING", ".IEFA201120P66")</f>
        <v>N/A</v>
      </c>
      <c r="W255" t="str">
        <f>RTD("tos.rtd", , "STRIKE", ".IEFA201120P66")</f>
        <v>N/A</v>
      </c>
    </row>
    <row r="256" spans="1:23" x14ac:dyDescent="0.45">
      <c r="A256" t="s">
        <v>277</v>
      </c>
      <c r="B256" t="str">
        <f>RTD("tos.rtd", , "DESCRIPTION", "IEMG")</f>
        <v>N/A</v>
      </c>
      <c r="C256">
        <f>RTD("tos.rtd", , "PUT_CALL_RATIO", "IEMG")</f>
        <v>0.106</v>
      </c>
      <c r="D256" t="str">
        <f>RTD("tos.rtd", , "IMPL_VOL", "IEMG")</f>
        <v>20.84%</v>
      </c>
      <c r="E256">
        <f>RTD("tos.rtd", , "LAST", "IEMG")</f>
        <v>57.06</v>
      </c>
      <c r="F256">
        <f>RTD("tos.rtd", , "VOLUME", "IEMG")</f>
        <v>15836079</v>
      </c>
      <c r="G256">
        <f>RTD("tos.rtd", , "OPEN_INT", "IEMG")</f>
        <v>0</v>
      </c>
      <c r="H256">
        <f>RTD("tos.rtd", , "BID", "IEMG")</f>
        <v>57.1</v>
      </c>
      <c r="I256">
        <f>RTD("tos.rtd", , "ASK", "IEMG")</f>
        <v>58</v>
      </c>
      <c r="J256">
        <f>RTD("tos.rtd", , "HIGH", "IEMG")</f>
        <v>57.805</v>
      </c>
      <c r="K256">
        <f>RTD("tos.rtd", , "LOW", "IEMG")</f>
        <v>56.9221</v>
      </c>
      <c r="L256">
        <f>RTD("tos.rtd", , "OPEN", "IEMG")</f>
        <v>57.61</v>
      </c>
      <c r="M256">
        <f>RTD("tos.rtd", , "DELTA", "IEMG")</f>
        <v>1</v>
      </c>
      <c r="N256">
        <f>RTD("tos.rtd", , "GAMMA", "IEMG")</f>
        <v>0</v>
      </c>
      <c r="O256">
        <f>RTD("tos.rtd", , "THETA", "IEMG")</f>
        <v>0</v>
      </c>
      <c r="P256">
        <f>RTD("tos.rtd", , "VEGA", "IEMG")</f>
        <v>0</v>
      </c>
      <c r="Q256">
        <f>RTD("tos.rtd", , "RHO", "IEMG")</f>
        <v>0</v>
      </c>
      <c r="R256" t="str">
        <f>RTD("tos.rtd", , "INTRINSIC", "IEMG")</f>
        <v>N/A</v>
      </c>
      <c r="S256" t="str">
        <f>RTD("tos.rtd", , "EXTRINSIC", "IEMG")</f>
        <v>N/A</v>
      </c>
      <c r="T256" t="str">
        <f>RTD("tos.rtd", , "PROB_OF_EXPIRING", "IEMG")</f>
        <v>N/A</v>
      </c>
      <c r="U256" t="str">
        <f>RTD("tos.rtd", , "PROB_OTM", "IEMG")</f>
        <v>N/A</v>
      </c>
      <c r="V256" t="str">
        <f>RTD("tos.rtd", , "PROB_OF_TOUCHING", "IEMG")</f>
        <v>N/A</v>
      </c>
      <c r="W256" t="str">
        <f>RTD("tos.rtd", , "STRIKE", "IEMG")</f>
        <v>N/A</v>
      </c>
    </row>
    <row r="257" spans="1:23" x14ac:dyDescent="0.45">
      <c r="A257" t="s">
        <v>278</v>
      </c>
      <c r="B257" t="str">
        <f>RTD("tos.rtd", , "DESCRIPTION", ".IEMG201120C57")</f>
        <v>N/A</v>
      </c>
      <c r="C257" t="str">
        <f>RTD("tos.rtd", , "PUT_CALL_RATIO", ".IEMG201120C57")</f>
        <v>N/A</v>
      </c>
      <c r="D257" t="str">
        <f>RTD("tos.rtd", , "IMPL_VOL", ".IEMG201120C57")</f>
        <v>N/A</v>
      </c>
      <c r="E257">
        <f>RTD("tos.rtd", , "LAST", ".IEMG201120C57")</f>
        <v>0.89</v>
      </c>
      <c r="F257">
        <f>RTD("tos.rtd", , "VOLUME", ".IEMG201120C57")</f>
        <v>0</v>
      </c>
      <c r="G257">
        <f>RTD("tos.rtd", , "OPEN_INT", ".IEMG201120C57")</f>
        <v>258</v>
      </c>
      <c r="H257">
        <f>RTD("tos.rtd", , "BID", ".IEMG201120C57")</f>
        <v>0.6</v>
      </c>
      <c r="I257">
        <f>RTD("tos.rtd", , "ASK", ".IEMG201120C57")</f>
        <v>0.75</v>
      </c>
      <c r="J257">
        <f>RTD("tos.rtd", , "HIGH", ".IEMG201120C57")</f>
        <v>0</v>
      </c>
      <c r="K257">
        <f>RTD("tos.rtd", , "LOW", ".IEMG201120C57")</f>
        <v>0</v>
      </c>
      <c r="L257">
        <f>RTD("tos.rtd", , "OPEN", ".IEMG201120C57")</f>
        <v>0</v>
      </c>
      <c r="M257" t="str">
        <f>RTD("tos.rtd", , "DELTA", ".IEMG201120C57")</f>
        <v>N/A</v>
      </c>
      <c r="N257" t="str">
        <f>RTD("tos.rtd", , "GAMMA", ".IEMG201120C57")</f>
        <v>N/A</v>
      </c>
      <c r="O257" t="str">
        <f>RTD("tos.rtd", , "THETA", ".IEMG201120C57")</f>
        <v>N/A</v>
      </c>
      <c r="P257" t="str">
        <f>RTD("tos.rtd", , "VEGA", ".IEMG201120C57")</f>
        <v>N/A</v>
      </c>
      <c r="Q257" t="str">
        <f>RTD("tos.rtd", , "RHO", ".IEMG201120C57")</f>
        <v>N/A</v>
      </c>
      <c r="R257" t="str">
        <f>RTD("tos.rtd", , "INTRINSIC", ".IEMG201120C57")</f>
        <v>N/A</v>
      </c>
      <c r="S257" t="str">
        <f>RTD("tos.rtd", , "EXTRINSIC", ".IEMG201120C57")</f>
        <v>N/A</v>
      </c>
      <c r="T257" t="str">
        <f>RTD("tos.rtd", , "PROB_OF_EXPIRING", ".IEMG201120C57")</f>
        <v>N/A</v>
      </c>
      <c r="U257" t="str">
        <f>RTD("tos.rtd", , "PROB_OTM", ".IEMG201120C57")</f>
        <v>N/A</v>
      </c>
      <c r="V257" t="str">
        <f>RTD("tos.rtd", , "PROB_OF_TOUCHING", ".IEMG201120C57")</f>
        <v>N/A</v>
      </c>
      <c r="W257" t="str">
        <f>RTD("tos.rtd", , "STRIKE", ".IEMG201120C57")</f>
        <v>N/A</v>
      </c>
    </row>
    <row r="258" spans="1:23" x14ac:dyDescent="0.45">
      <c r="A258" t="s">
        <v>279</v>
      </c>
      <c r="B258" t="str">
        <f>RTD("tos.rtd", , "DESCRIPTION", ".IEMG201120P57")</f>
        <v>N/A</v>
      </c>
      <c r="C258" t="str">
        <f>RTD("tos.rtd", , "PUT_CALL_RATIO", ".IEMG201120P57")</f>
        <v>N/A</v>
      </c>
      <c r="D258" t="str">
        <f>RTD("tos.rtd", , "IMPL_VOL", ".IEMG201120P57")</f>
        <v>N/A</v>
      </c>
      <c r="E258">
        <f>RTD("tos.rtd", , "LAST", ".IEMG201120P57")</f>
        <v>0.46</v>
      </c>
      <c r="F258">
        <f>RTD("tos.rtd", , "VOLUME", ".IEMG201120P57")</f>
        <v>0</v>
      </c>
      <c r="G258">
        <f>RTD("tos.rtd", , "OPEN_INT", ".IEMG201120P57")</f>
        <v>7</v>
      </c>
      <c r="H258">
        <f>RTD("tos.rtd", , "BID", ".IEMG201120P57")</f>
        <v>0.55000000000000004</v>
      </c>
      <c r="I258">
        <f>RTD("tos.rtd", , "ASK", ".IEMG201120P57")</f>
        <v>0.85</v>
      </c>
      <c r="J258">
        <f>RTD("tos.rtd", , "HIGH", ".IEMG201120P57")</f>
        <v>0</v>
      </c>
      <c r="K258">
        <f>RTD("tos.rtd", , "LOW", ".IEMG201120P57")</f>
        <v>0</v>
      </c>
      <c r="L258">
        <f>RTD("tos.rtd", , "OPEN", ".IEMG201120P57")</f>
        <v>0</v>
      </c>
      <c r="M258" t="str">
        <f>RTD("tos.rtd", , "DELTA", ".IEMG201120P57")</f>
        <v>N/A</v>
      </c>
      <c r="N258" t="str">
        <f>RTD("tos.rtd", , "GAMMA", ".IEMG201120P57")</f>
        <v>N/A</v>
      </c>
      <c r="O258" t="str">
        <f>RTD("tos.rtd", , "THETA", ".IEMG201120P57")</f>
        <v>N/A</v>
      </c>
      <c r="P258" t="str">
        <f>RTD("tos.rtd", , "VEGA", ".IEMG201120P57")</f>
        <v>N/A</v>
      </c>
      <c r="Q258" t="str">
        <f>RTD("tos.rtd", , "RHO", ".IEMG201120P57")</f>
        <v>N/A</v>
      </c>
      <c r="R258" t="str">
        <f>RTD("tos.rtd", , "INTRINSIC", ".IEMG201120P57")</f>
        <v>N/A</v>
      </c>
      <c r="S258" t="str">
        <f>RTD("tos.rtd", , "EXTRINSIC", ".IEMG201120P57")</f>
        <v>N/A</v>
      </c>
      <c r="T258" t="str">
        <f>RTD("tos.rtd", , "PROB_OF_EXPIRING", ".IEMG201120P57")</f>
        <v>N/A</v>
      </c>
      <c r="U258" t="str">
        <f>RTD("tos.rtd", , "PROB_OTM", ".IEMG201120P57")</f>
        <v>N/A</v>
      </c>
      <c r="V258" t="str">
        <f>RTD("tos.rtd", , "PROB_OF_TOUCHING", ".IEMG201120P57")</f>
        <v>N/A</v>
      </c>
      <c r="W258" t="str">
        <f>RTD("tos.rtd", , "STRIKE", ".IEMG201120P57")</f>
        <v>N/A</v>
      </c>
    </row>
    <row r="259" spans="1:23" x14ac:dyDescent="0.45">
      <c r="A259" t="s">
        <v>280</v>
      </c>
      <c r="B259" t="str">
        <f>RTD("tos.rtd", , "DESCRIPTION", ".IEMG201120C58")</f>
        <v>N/A</v>
      </c>
      <c r="C259" t="str">
        <f>RTD("tos.rtd", , "PUT_CALL_RATIO", ".IEMG201120C58")</f>
        <v>N/A</v>
      </c>
      <c r="D259" t="str">
        <f>RTD("tos.rtd", , "IMPL_VOL", ".IEMG201120C58")</f>
        <v>N/A</v>
      </c>
      <c r="E259">
        <f>RTD("tos.rtd", , "LAST", ".IEMG201120C58")</f>
        <v>0.35</v>
      </c>
      <c r="F259">
        <f>RTD("tos.rtd", , "VOLUME", ".IEMG201120C58")</f>
        <v>4</v>
      </c>
      <c r="G259">
        <f>RTD("tos.rtd", , "OPEN_INT", ".IEMG201120C58")</f>
        <v>96</v>
      </c>
      <c r="H259">
        <f>RTD("tos.rtd", , "BID", ".IEMG201120C58")</f>
        <v>0.15</v>
      </c>
      <c r="I259">
        <f>RTD("tos.rtd", , "ASK", ".IEMG201120C58")</f>
        <v>0.3</v>
      </c>
      <c r="J259">
        <f>RTD("tos.rtd", , "HIGH", ".IEMG201120C58")</f>
        <v>0.35</v>
      </c>
      <c r="K259">
        <f>RTD("tos.rtd", , "LOW", ".IEMG201120C58")</f>
        <v>0.35</v>
      </c>
      <c r="L259">
        <f>RTD("tos.rtd", , "OPEN", ".IEMG201120C58")</f>
        <v>0.35</v>
      </c>
      <c r="M259" t="str">
        <f>RTD("tos.rtd", , "DELTA", ".IEMG201120C58")</f>
        <v>N/A</v>
      </c>
      <c r="N259" t="str">
        <f>RTD("tos.rtd", , "GAMMA", ".IEMG201120C58")</f>
        <v>N/A</v>
      </c>
      <c r="O259" t="str">
        <f>RTD("tos.rtd", , "THETA", ".IEMG201120C58")</f>
        <v>N/A</v>
      </c>
      <c r="P259" t="str">
        <f>RTD("tos.rtd", , "VEGA", ".IEMG201120C58")</f>
        <v>N/A</v>
      </c>
      <c r="Q259" t="str">
        <f>RTD("tos.rtd", , "RHO", ".IEMG201120C58")</f>
        <v>N/A</v>
      </c>
      <c r="R259" t="str">
        <f>RTD("tos.rtd", , "INTRINSIC", ".IEMG201120C58")</f>
        <v>N/A</v>
      </c>
      <c r="S259" t="str">
        <f>RTD("tos.rtd", , "EXTRINSIC", ".IEMG201120C58")</f>
        <v>N/A</v>
      </c>
      <c r="T259" t="str">
        <f>RTD("tos.rtd", , "PROB_OF_EXPIRING", ".IEMG201120C58")</f>
        <v>N/A</v>
      </c>
      <c r="U259" t="str">
        <f>RTD("tos.rtd", , "PROB_OTM", ".IEMG201120C58")</f>
        <v>N/A</v>
      </c>
      <c r="V259" t="str">
        <f>RTD("tos.rtd", , "PROB_OF_TOUCHING", ".IEMG201120C58")</f>
        <v>N/A</v>
      </c>
      <c r="W259" t="str">
        <f>RTD("tos.rtd", , "STRIKE", ".IEMG201120C58")</f>
        <v>N/A</v>
      </c>
    </row>
    <row r="260" spans="1:23" x14ac:dyDescent="0.45">
      <c r="A260" t="s">
        <v>281</v>
      </c>
      <c r="B260" t="str">
        <f>RTD("tos.rtd", , "DESCRIPTION", ".IEMG201120P58")</f>
        <v>N/A</v>
      </c>
      <c r="C260" t="str">
        <f>RTD("tos.rtd", , "PUT_CALL_RATIO", ".IEMG201120P58")</f>
        <v>N/A</v>
      </c>
      <c r="D260" t="str">
        <f>RTD("tos.rtd", , "IMPL_VOL", ".IEMG201120P58")</f>
        <v>N/A</v>
      </c>
      <c r="E260">
        <f>RTD("tos.rtd", , "LAST", ".IEMG201120P58")</f>
        <v>0</v>
      </c>
      <c r="F260">
        <f>RTD("tos.rtd", , "VOLUME", ".IEMG201120P58")</f>
        <v>0</v>
      </c>
      <c r="G260">
        <f>RTD("tos.rtd", , "OPEN_INT", ".IEMG201120P58")</f>
        <v>0</v>
      </c>
      <c r="H260">
        <f>RTD("tos.rtd", , "BID", ".IEMG201120P58")</f>
        <v>0.95</v>
      </c>
      <c r="I260">
        <f>RTD("tos.rtd", , "ASK", ".IEMG201120P58")</f>
        <v>1.35</v>
      </c>
      <c r="J260">
        <f>RTD("tos.rtd", , "HIGH", ".IEMG201120P58")</f>
        <v>0</v>
      </c>
      <c r="K260">
        <f>RTD("tos.rtd", , "LOW", ".IEMG201120P58")</f>
        <v>0</v>
      </c>
      <c r="L260">
        <f>RTD("tos.rtd", , "OPEN", ".IEMG201120P58")</f>
        <v>0</v>
      </c>
      <c r="M260" t="str">
        <f>RTD("tos.rtd", , "DELTA", ".IEMG201120P58")</f>
        <v>N/A</v>
      </c>
      <c r="N260" t="str">
        <f>RTD("tos.rtd", , "GAMMA", ".IEMG201120P58")</f>
        <v>N/A</v>
      </c>
      <c r="O260" t="str">
        <f>RTD("tos.rtd", , "THETA", ".IEMG201120P58")</f>
        <v>N/A</v>
      </c>
      <c r="P260" t="str">
        <f>RTD("tos.rtd", , "VEGA", ".IEMG201120P58")</f>
        <v>N/A</v>
      </c>
      <c r="Q260" t="str">
        <f>RTD("tos.rtd", , "RHO", ".IEMG201120P58")</f>
        <v>N/A</v>
      </c>
      <c r="R260" t="str">
        <f>RTD("tos.rtd", , "INTRINSIC", ".IEMG201120P58")</f>
        <v>N/A</v>
      </c>
      <c r="S260" t="str">
        <f>RTD("tos.rtd", , "EXTRINSIC", ".IEMG201120P58")</f>
        <v>N/A</v>
      </c>
      <c r="T260" t="str">
        <f>RTD("tos.rtd", , "PROB_OF_EXPIRING", ".IEMG201120P58")</f>
        <v>N/A</v>
      </c>
      <c r="U260" t="str">
        <f>RTD("tos.rtd", , "PROB_OTM", ".IEMG201120P58")</f>
        <v>N/A</v>
      </c>
      <c r="V260" t="str">
        <f>RTD("tos.rtd", , "PROB_OF_TOUCHING", ".IEMG201120P58")</f>
        <v>N/A</v>
      </c>
      <c r="W260" t="str">
        <f>RTD("tos.rtd", , "STRIKE", ".IEMG201120P58")</f>
        <v>N/A</v>
      </c>
    </row>
    <row r="261" spans="1:23" x14ac:dyDescent="0.45">
      <c r="A261" t="s">
        <v>282</v>
      </c>
      <c r="B261" t="str">
        <f>RTD("tos.rtd", , "DESCRIPTION", "IGIB")</f>
        <v>N/A</v>
      </c>
      <c r="C261">
        <f>RTD("tos.rtd", , "PUT_CALL_RATIO", "IGIB")</f>
        <v>10</v>
      </c>
      <c r="D261" t="str">
        <f>RTD("tos.rtd", , "IMPL_VOL", "IGIB")</f>
        <v>6.55%</v>
      </c>
      <c r="E261">
        <f>RTD("tos.rtd", , "LAST", "IGIB")</f>
        <v>60.98</v>
      </c>
      <c r="F261">
        <f>RTD("tos.rtd", , "VOLUME", "IGIB")</f>
        <v>1796797</v>
      </c>
      <c r="G261">
        <f>RTD("tos.rtd", , "OPEN_INT", "IGIB")</f>
        <v>0</v>
      </c>
      <c r="H261">
        <f>RTD("tos.rtd", , "BID", "IGIB")</f>
        <v>49.22</v>
      </c>
      <c r="I261">
        <f>RTD("tos.rtd", , "ASK", "IGIB")</f>
        <v>70.66</v>
      </c>
      <c r="J261">
        <f>RTD("tos.rtd", , "HIGH", "IGIB")</f>
        <v>61</v>
      </c>
      <c r="K261">
        <f>RTD("tos.rtd", , "LOW", "IGIB")</f>
        <v>60.88</v>
      </c>
      <c r="L261">
        <f>RTD("tos.rtd", , "OPEN", "IGIB")</f>
        <v>60.93</v>
      </c>
      <c r="M261">
        <f>RTD("tos.rtd", , "DELTA", "IGIB")</f>
        <v>1</v>
      </c>
      <c r="N261">
        <f>RTD("tos.rtd", , "GAMMA", "IGIB")</f>
        <v>0</v>
      </c>
      <c r="O261">
        <f>RTD("tos.rtd", , "THETA", "IGIB")</f>
        <v>0</v>
      </c>
      <c r="P261">
        <f>RTD("tos.rtd", , "VEGA", "IGIB")</f>
        <v>0</v>
      </c>
      <c r="Q261">
        <f>RTD("tos.rtd", , "RHO", "IGIB")</f>
        <v>0</v>
      </c>
      <c r="R261" t="str">
        <f>RTD("tos.rtd", , "INTRINSIC", "IGIB")</f>
        <v>N/A</v>
      </c>
      <c r="S261" t="str">
        <f>RTD("tos.rtd", , "EXTRINSIC", "IGIB")</f>
        <v>N/A</v>
      </c>
      <c r="T261" t="str">
        <f>RTD("tos.rtd", , "PROB_OF_EXPIRING", "IGIB")</f>
        <v>N/A</v>
      </c>
      <c r="U261" t="str">
        <f>RTD("tos.rtd", , "PROB_OTM", "IGIB")</f>
        <v>N/A</v>
      </c>
      <c r="V261" t="str">
        <f>RTD("tos.rtd", , "PROB_OF_TOUCHING", "IGIB")</f>
        <v>N/A</v>
      </c>
      <c r="W261" t="str">
        <f>RTD("tos.rtd", , "STRIKE", "IGIB")</f>
        <v>N/A</v>
      </c>
    </row>
    <row r="262" spans="1:23" x14ac:dyDescent="0.45">
      <c r="A262" t="s">
        <v>283</v>
      </c>
      <c r="B262" t="str">
        <f>RTD("tos.rtd", , "DESCRIPTION", ".IGIB201120C61")</f>
        <v>N/A</v>
      </c>
      <c r="C262" t="str">
        <f>RTD("tos.rtd", , "PUT_CALL_RATIO", ".IGIB201120C61")</f>
        <v>N/A</v>
      </c>
      <c r="D262" t="str">
        <f>RTD("tos.rtd", , "IMPL_VOL", ".IGIB201120C61")</f>
        <v>N/A</v>
      </c>
      <c r="E262" t="str">
        <f>RTD("tos.rtd", , "LAST", ".IGIB201120C61")</f>
        <v>N/A</v>
      </c>
      <c r="F262" t="str">
        <f>RTD("tos.rtd", , "VOLUME", ".IGIB201120C61")</f>
        <v>N/A</v>
      </c>
      <c r="G262" t="str">
        <f>RTD("tos.rtd", , "OPEN_INT", ".IGIB201120C61")</f>
        <v>N/A</v>
      </c>
      <c r="H262" t="str">
        <f>RTD("tos.rtd", , "BID", ".IGIB201120C61")</f>
        <v>N/A</v>
      </c>
      <c r="I262" t="str">
        <f>RTD("tos.rtd", , "ASK", ".IGIB201120C61")</f>
        <v>N/A</v>
      </c>
      <c r="J262" t="str">
        <f>RTD("tos.rtd", , "HIGH", ".IGIB201120C61")</f>
        <v>N/A</v>
      </c>
      <c r="K262" t="str">
        <f>RTD("tos.rtd", , "LOW", ".IGIB201120C61")</f>
        <v>N/A</v>
      </c>
      <c r="L262" t="str">
        <f>RTD("tos.rtd", , "OPEN", ".IGIB201120C61")</f>
        <v>N/A</v>
      </c>
      <c r="M262" t="str">
        <f>RTD("tos.rtd", , "DELTA", ".IGIB201120C61")</f>
        <v>N/A</v>
      </c>
      <c r="N262" t="str">
        <f>RTD("tos.rtd", , "GAMMA", ".IGIB201120C61")</f>
        <v>N/A</v>
      </c>
      <c r="O262" t="str">
        <f>RTD("tos.rtd", , "THETA", ".IGIB201120C61")</f>
        <v>N/A</v>
      </c>
      <c r="P262" t="str">
        <f>RTD("tos.rtd", , "VEGA", ".IGIB201120C61")</f>
        <v>N/A</v>
      </c>
      <c r="Q262" t="str">
        <f>RTD("tos.rtd", , "RHO", ".IGIB201120C61")</f>
        <v>N/A</v>
      </c>
      <c r="R262" t="str">
        <f>RTD("tos.rtd", , "INTRINSIC", ".IGIB201120C61")</f>
        <v>N/A</v>
      </c>
      <c r="S262" t="str">
        <f>RTD("tos.rtd", , "EXTRINSIC", ".IGIB201120C61")</f>
        <v>N/A</v>
      </c>
      <c r="T262" t="str">
        <f>RTD("tos.rtd", , "PROB_OF_EXPIRING", ".IGIB201120C61")</f>
        <v>N/A</v>
      </c>
      <c r="U262" t="str">
        <f>RTD("tos.rtd", , "PROB_OTM", ".IGIB201120C61")</f>
        <v>N/A</v>
      </c>
      <c r="V262" t="str">
        <f>RTD("tos.rtd", , "PROB_OF_TOUCHING", ".IGIB201120C61")</f>
        <v>N/A</v>
      </c>
      <c r="W262" t="str">
        <f>RTD("tos.rtd", , "STRIKE", ".IGIB201120C61")</f>
        <v>N/A</v>
      </c>
    </row>
    <row r="263" spans="1:23" x14ac:dyDescent="0.45">
      <c r="A263" t="s">
        <v>284</v>
      </c>
      <c r="B263" t="str">
        <f>RTD("tos.rtd", , "DESCRIPTION", ".IGIB201120P61")</f>
        <v>N/A</v>
      </c>
      <c r="C263" t="str">
        <f>RTD("tos.rtd", , "PUT_CALL_RATIO", ".IGIB201120P61")</f>
        <v>N/A</v>
      </c>
      <c r="D263" t="str">
        <f>RTD("tos.rtd", , "IMPL_VOL", ".IGIB201120P61")</f>
        <v>N/A</v>
      </c>
      <c r="E263" t="str">
        <f>RTD("tos.rtd", , "LAST", ".IGIB201120P61")</f>
        <v>N/A</v>
      </c>
      <c r="F263" t="str">
        <f>RTD("tos.rtd", , "VOLUME", ".IGIB201120P61")</f>
        <v>N/A</v>
      </c>
      <c r="G263" t="str">
        <f>RTD("tos.rtd", , "OPEN_INT", ".IGIB201120P61")</f>
        <v>N/A</v>
      </c>
      <c r="H263" t="str">
        <f>RTD("tos.rtd", , "BID", ".IGIB201120P61")</f>
        <v>N/A</v>
      </c>
      <c r="I263" t="str">
        <f>RTD("tos.rtd", , "ASK", ".IGIB201120P61")</f>
        <v>N/A</v>
      </c>
      <c r="J263" t="str">
        <f>RTD("tos.rtd", , "HIGH", ".IGIB201120P61")</f>
        <v>N/A</v>
      </c>
      <c r="K263" t="str">
        <f>RTD("tos.rtd", , "LOW", ".IGIB201120P61")</f>
        <v>N/A</v>
      </c>
      <c r="L263" t="str">
        <f>RTD("tos.rtd", , "OPEN", ".IGIB201120P61")</f>
        <v>N/A</v>
      </c>
      <c r="M263" t="str">
        <f>RTD("tos.rtd", , "DELTA", ".IGIB201120P61")</f>
        <v>N/A</v>
      </c>
      <c r="N263" t="str">
        <f>RTD("tos.rtd", , "GAMMA", ".IGIB201120P61")</f>
        <v>N/A</v>
      </c>
      <c r="O263" t="str">
        <f>RTD("tos.rtd", , "THETA", ".IGIB201120P61")</f>
        <v>N/A</v>
      </c>
      <c r="P263" t="str">
        <f>RTD("tos.rtd", , "VEGA", ".IGIB201120P61")</f>
        <v>N/A</v>
      </c>
      <c r="Q263" t="str">
        <f>RTD("tos.rtd", , "RHO", ".IGIB201120P61")</f>
        <v>N/A</v>
      </c>
      <c r="R263" t="str">
        <f>RTD("tos.rtd", , "INTRINSIC", ".IGIB201120P61")</f>
        <v>N/A</v>
      </c>
      <c r="S263" t="str">
        <f>RTD("tos.rtd", , "EXTRINSIC", ".IGIB201120P61")</f>
        <v>N/A</v>
      </c>
      <c r="T263" t="str">
        <f>RTD("tos.rtd", , "PROB_OF_EXPIRING", ".IGIB201120P61")</f>
        <v>N/A</v>
      </c>
      <c r="U263" t="str">
        <f>RTD("tos.rtd", , "PROB_OTM", ".IGIB201120P61")</f>
        <v>N/A</v>
      </c>
      <c r="V263" t="str">
        <f>RTD("tos.rtd", , "PROB_OF_TOUCHING", ".IGIB201120P61")</f>
        <v>N/A</v>
      </c>
      <c r="W263" t="str">
        <f>RTD("tos.rtd", , "STRIKE", ".IGIB201120P61")</f>
        <v>N/A</v>
      </c>
    </row>
    <row r="264" spans="1:23" x14ac:dyDescent="0.45">
      <c r="A264" t="s">
        <v>285</v>
      </c>
      <c r="B264" t="str">
        <f>RTD("tos.rtd", , "DESCRIPTION", "IGV")</f>
        <v>N/A</v>
      </c>
      <c r="C264">
        <f>RTD("tos.rtd", , "PUT_CALL_RATIO", "IGV")</f>
        <v>0.128</v>
      </c>
      <c r="D264" t="str">
        <f>RTD("tos.rtd", , "IMPL_VOL", "IGV")</f>
        <v>32.52%</v>
      </c>
      <c r="E264">
        <f>RTD("tos.rtd", , "LAST", "IGV")</f>
        <v>319.47000000000003</v>
      </c>
      <c r="F264">
        <f>RTD("tos.rtd", , "VOLUME", "IGV")</f>
        <v>1432995</v>
      </c>
      <c r="G264">
        <f>RTD("tos.rtd", , "OPEN_INT", "IGV")</f>
        <v>0</v>
      </c>
      <c r="H264">
        <f>RTD("tos.rtd", , "BID", "IGV")</f>
        <v>315.32</v>
      </c>
      <c r="I264">
        <f>RTD("tos.rtd", , "ASK", "IGV")</f>
        <v>322.54000000000002</v>
      </c>
      <c r="J264">
        <f>RTD("tos.rtd", , "HIGH", "IGV")</f>
        <v>324.95</v>
      </c>
      <c r="K264">
        <f>RTD("tos.rtd", , "LOW", "IGV")</f>
        <v>318.31</v>
      </c>
      <c r="L264">
        <f>RTD("tos.rtd", , "OPEN", "IGV")</f>
        <v>321.97000000000003</v>
      </c>
      <c r="M264">
        <f>RTD("tos.rtd", , "DELTA", "IGV")</f>
        <v>1</v>
      </c>
      <c r="N264">
        <f>RTD("tos.rtd", , "GAMMA", "IGV")</f>
        <v>0</v>
      </c>
      <c r="O264">
        <f>RTD("tos.rtd", , "THETA", "IGV")</f>
        <v>0</v>
      </c>
      <c r="P264">
        <f>RTD("tos.rtd", , "VEGA", "IGV")</f>
        <v>0</v>
      </c>
      <c r="Q264">
        <f>RTD("tos.rtd", , "RHO", "IGV")</f>
        <v>0</v>
      </c>
      <c r="R264" t="str">
        <f>RTD("tos.rtd", , "INTRINSIC", "IGV")</f>
        <v>N/A</v>
      </c>
      <c r="S264" t="str">
        <f>RTD("tos.rtd", , "EXTRINSIC", "IGV")</f>
        <v>N/A</v>
      </c>
      <c r="T264" t="str">
        <f>RTD("tos.rtd", , "PROB_OF_EXPIRING", "IGV")</f>
        <v>N/A</v>
      </c>
      <c r="U264" t="str">
        <f>RTD("tos.rtd", , "PROB_OTM", "IGV")</f>
        <v>N/A</v>
      </c>
      <c r="V264" t="str">
        <f>RTD("tos.rtd", , "PROB_OF_TOUCHING", "IGV")</f>
        <v>N/A</v>
      </c>
      <c r="W264" t="str">
        <f>RTD("tos.rtd", , "STRIKE", "IGV")</f>
        <v>N/A</v>
      </c>
    </row>
    <row r="265" spans="1:23" x14ac:dyDescent="0.45">
      <c r="A265" t="s">
        <v>286</v>
      </c>
      <c r="B265" t="str">
        <f>RTD("tos.rtd", , "DESCRIPTION", ".IGV201120C315")</f>
        <v>N/A</v>
      </c>
      <c r="C265" t="str">
        <f>RTD("tos.rtd", , "PUT_CALL_RATIO", ".IGV201120C315")</f>
        <v>N/A</v>
      </c>
      <c r="D265" t="str">
        <f>RTD("tos.rtd", , "IMPL_VOL", ".IGV201120C315")</f>
        <v>N/A</v>
      </c>
      <c r="E265" t="str">
        <f>RTD("tos.rtd", , "LAST", ".IGV201120C315")</f>
        <v>N/A</v>
      </c>
      <c r="F265" t="str">
        <f>RTD("tos.rtd", , "VOLUME", ".IGV201120C315")</f>
        <v>N/A</v>
      </c>
      <c r="G265" t="str">
        <f>RTD("tos.rtd", , "OPEN_INT", ".IGV201120C315")</f>
        <v>N/A</v>
      </c>
      <c r="H265" t="str">
        <f>RTD("tos.rtd", , "BID", ".IGV201120C315")</f>
        <v>N/A</v>
      </c>
      <c r="I265" t="str">
        <f>RTD("tos.rtd", , "ASK", ".IGV201120C315")</f>
        <v>N/A</v>
      </c>
      <c r="J265" t="str">
        <f>RTD("tos.rtd", , "HIGH", ".IGV201120C315")</f>
        <v>N/A</v>
      </c>
      <c r="K265" t="str">
        <f>RTD("tos.rtd", , "LOW", ".IGV201120C315")</f>
        <v>N/A</v>
      </c>
      <c r="L265" t="str">
        <f>RTD("tos.rtd", , "OPEN", ".IGV201120C315")</f>
        <v>N/A</v>
      </c>
      <c r="M265" t="str">
        <f>RTD("tos.rtd", , "DELTA", ".IGV201120C315")</f>
        <v>N/A</v>
      </c>
      <c r="N265" t="str">
        <f>RTD("tos.rtd", , "GAMMA", ".IGV201120C315")</f>
        <v>N/A</v>
      </c>
      <c r="O265" t="str">
        <f>RTD("tos.rtd", , "THETA", ".IGV201120C315")</f>
        <v>N/A</v>
      </c>
      <c r="P265" t="str">
        <f>RTD("tos.rtd", , "VEGA", ".IGV201120C315")</f>
        <v>N/A</v>
      </c>
      <c r="Q265" t="str">
        <f>RTD("tos.rtd", , "RHO", ".IGV201120C315")</f>
        <v>N/A</v>
      </c>
      <c r="R265" t="str">
        <f>RTD("tos.rtd", , "INTRINSIC", ".IGV201120C315")</f>
        <v>N/A</v>
      </c>
      <c r="S265" t="str">
        <f>RTD("tos.rtd", , "EXTRINSIC", ".IGV201120C315")</f>
        <v>N/A</v>
      </c>
      <c r="T265" t="str">
        <f>RTD("tos.rtd", , "PROB_OF_EXPIRING", ".IGV201120C315")</f>
        <v>N/A</v>
      </c>
      <c r="U265" t="str">
        <f>RTD("tos.rtd", , "PROB_OTM", ".IGV201120C315")</f>
        <v>N/A</v>
      </c>
      <c r="V265" t="str">
        <f>RTD("tos.rtd", , "PROB_OF_TOUCHING", ".IGV201120C315")</f>
        <v>N/A</v>
      </c>
      <c r="W265" t="str">
        <f>RTD("tos.rtd", , "STRIKE", ".IGV201120C315")</f>
        <v>N/A</v>
      </c>
    </row>
    <row r="266" spans="1:23" x14ac:dyDescent="0.45">
      <c r="A266" t="s">
        <v>287</v>
      </c>
      <c r="B266" t="str">
        <f>RTD("tos.rtd", , "DESCRIPTION", ".IGV201120P315")</f>
        <v>N/A</v>
      </c>
      <c r="C266" t="str">
        <f>RTD("tos.rtd", , "PUT_CALL_RATIO", ".IGV201120P315")</f>
        <v>N/A</v>
      </c>
      <c r="D266" t="str">
        <f>RTD("tos.rtd", , "IMPL_VOL", ".IGV201120P315")</f>
        <v>N/A</v>
      </c>
      <c r="E266" t="str">
        <f>RTD("tos.rtd", , "LAST", ".IGV201120P315")</f>
        <v>N/A</v>
      </c>
      <c r="F266" t="str">
        <f>RTD("tos.rtd", , "VOLUME", ".IGV201120P315")</f>
        <v>N/A</v>
      </c>
      <c r="G266" t="str">
        <f>RTD("tos.rtd", , "OPEN_INT", ".IGV201120P315")</f>
        <v>N/A</v>
      </c>
      <c r="H266" t="str">
        <f>RTD("tos.rtd", , "BID", ".IGV201120P315")</f>
        <v>N/A</v>
      </c>
      <c r="I266" t="str">
        <f>RTD("tos.rtd", , "ASK", ".IGV201120P315")</f>
        <v>N/A</v>
      </c>
      <c r="J266" t="str">
        <f>RTD("tos.rtd", , "HIGH", ".IGV201120P315")</f>
        <v>N/A</v>
      </c>
      <c r="K266" t="str">
        <f>RTD("tos.rtd", , "LOW", ".IGV201120P315")</f>
        <v>N/A</v>
      </c>
      <c r="L266" t="str">
        <f>RTD("tos.rtd", , "OPEN", ".IGV201120P315")</f>
        <v>N/A</v>
      </c>
      <c r="M266" t="str">
        <f>RTD("tos.rtd", , "DELTA", ".IGV201120P315")</f>
        <v>N/A</v>
      </c>
      <c r="N266" t="str">
        <f>RTD("tos.rtd", , "GAMMA", ".IGV201120P315")</f>
        <v>N/A</v>
      </c>
      <c r="O266" t="str">
        <f>RTD("tos.rtd", , "THETA", ".IGV201120P315")</f>
        <v>N/A</v>
      </c>
      <c r="P266" t="str">
        <f>RTD("tos.rtd", , "VEGA", ".IGV201120P315")</f>
        <v>N/A</v>
      </c>
      <c r="Q266" t="str">
        <f>RTD("tos.rtd", , "RHO", ".IGV201120P315")</f>
        <v>N/A</v>
      </c>
      <c r="R266" t="str">
        <f>RTD("tos.rtd", , "INTRINSIC", ".IGV201120P315")</f>
        <v>N/A</v>
      </c>
      <c r="S266" t="str">
        <f>RTD("tos.rtd", , "EXTRINSIC", ".IGV201120P315")</f>
        <v>N/A</v>
      </c>
      <c r="T266" t="str">
        <f>RTD("tos.rtd", , "PROB_OF_EXPIRING", ".IGV201120P315")</f>
        <v>N/A</v>
      </c>
      <c r="U266" t="str">
        <f>RTD("tos.rtd", , "PROB_OTM", ".IGV201120P315")</f>
        <v>N/A</v>
      </c>
      <c r="V266" t="str">
        <f>RTD("tos.rtd", , "PROB_OF_TOUCHING", ".IGV201120P315")</f>
        <v>N/A</v>
      </c>
      <c r="W266" t="str">
        <f>RTD("tos.rtd", , "STRIKE", ".IGV201120P315")</f>
        <v>N/A</v>
      </c>
    </row>
    <row r="267" spans="1:23" x14ac:dyDescent="0.45">
      <c r="A267" t="s">
        <v>288</v>
      </c>
      <c r="B267" t="str">
        <f>RTD("tos.rtd", , "DESCRIPTION", ".IGV201120C320")</f>
        <v>N/A</v>
      </c>
      <c r="C267" t="str">
        <f>RTD("tos.rtd", , "PUT_CALL_RATIO", ".IGV201120C320")</f>
        <v>N/A</v>
      </c>
      <c r="D267" t="str">
        <f>RTD("tos.rtd", , "IMPL_VOL", ".IGV201120C320")</f>
        <v>N/A</v>
      </c>
      <c r="E267" t="str">
        <f>RTD("tos.rtd", , "LAST", ".IGV201120C320")</f>
        <v>N/A</v>
      </c>
      <c r="F267" t="str">
        <f>RTD("tos.rtd", , "VOLUME", ".IGV201120C320")</f>
        <v>N/A</v>
      </c>
      <c r="G267" t="str">
        <f>RTD("tos.rtd", , "OPEN_INT", ".IGV201120C320")</f>
        <v>N/A</v>
      </c>
      <c r="H267" t="str">
        <f>RTD("tos.rtd", , "BID", ".IGV201120C320")</f>
        <v>N/A</v>
      </c>
      <c r="I267" t="str">
        <f>RTD("tos.rtd", , "ASK", ".IGV201120C320")</f>
        <v>N/A</v>
      </c>
      <c r="J267" t="str">
        <f>RTD("tos.rtd", , "HIGH", ".IGV201120C320")</f>
        <v>N/A</v>
      </c>
      <c r="K267" t="str">
        <f>RTD("tos.rtd", , "LOW", ".IGV201120C320")</f>
        <v>N/A</v>
      </c>
      <c r="L267" t="str">
        <f>RTD("tos.rtd", , "OPEN", ".IGV201120C320")</f>
        <v>N/A</v>
      </c>
      <c r="M267" t="str">
        <f>RTD("tos.rtd", , "DELTA", ".IGV201120C320")</f>
        <v>N/A</v>
      </c>
      <c r="N267" t="str">
        <f>RTD("tos.rtd", , "GAMMA", ".IGV201120C320")</f>
        <v>N/A</v>
      </c>
      <c r="O267" t="str">
        <f>RTD("tos.rtd", , "THETA", ".IGV201120C320")</f>
        <v>N/A</v>
      </c>
      <c r="P267" t="str">
        <f>RTD("tos.rtd", , "VEGA", ".IGV201120C320")</f>
        <v>N/A</v>
      </c>
      <c r="Q267" t="str">
        <f>RTD("tos.rtd", , "RHO", ".IGV201120C320")</f>
        <v>N/A</v>
      </c>
      <c r="R267" t="str">
        <f>RTD("tos.rtd", , "INTRINSIC", ".IGV201120C320")</f>
        <v>N/A</v>
      </c>
      <c r="S267" t="str">
        <f>RTD("tos.rtd", , "EXTRINSIC", ".IGV201120C320")</f>
        <v>N/A</v>
      </c>
      <c r="T267" t="str">
        <f>RTD("tos.rtd", , "PROB_OF_EXPIRING", ".IGV201120C320")</f>
        <v>N/A</v>
      </c>
      <c r="U267" t="str">
        <f>RTD("tos.rtd", , "PROB_OTM", ".IGV201120C320")</f>
        <v>N/A</v>
      </c>
      <c r="V267" t="str">
        <f>RTD("tos.rtd", , "PROB_OF_TOUCHING", ".IGV201120C320")</f>
        <v>N/A</v>
      </c>
      <c r="W267" t="str">
        <f>RTD("tos.rtd", , "STRIKE", ".IGV201120C320")</f>
        <v>N/A</v>
      </c>
    </row>
    <row r="268" spans="1:23" x14ac:dyDescent="0.45">
      <c r="A268" t="s">
        <v>289</v>
      </c>
      <c r="B268" t="str">
        <f>RTD("tos.rtd", , "DESCRIPTION", ".IGV201120P320")</f>
        <v>N/A</v>
      </c>
      <c r="C268" t="str">
        <f>RTD("tos.rtd", , "PUT_CALL_RATIO", ".IGV201120P320")</f>
        <v>N/A</v>
      </c>
      <c r="D268" t="str">
        <f>RTD("tos.rtd", , "IMPL_VOL", ".IGV201120P320")</f>
        <v>N/A</v>
      </c>
      <c r="E268" t="str">
        <f>RTD("tos.rtd", , "LAST", ".IGV201120P320")</f>
        <v>N/A</v>
      </c>
      <c r="F268" t="str">
        <f>RTD("tos.rtd", , "VOLUME", ".IGV201120P320")</f>
        <v>N/A</v>
      </c>
      <c r="G268" t="str">
        <f>RTD("tos.rtd", , "OPEN_INT", ".IGV201120P320")</f>
        <v>N/A</v>
      </c>
      <c r="H268" t="str">
        <f>RTD("tos.rtd", , "BID", ".IGV201120P320")</f>
        <v>N/A</v>
      </c>
      <c r="I268" t="str">
        <f>RTD("tos.rtd", , "ASK", ".IGV201120P320")</f>
        <v>N/A</v>
      </c>
      <c r="J268" t="str">
        <f>RTD("tos.rtd", , "HIGH", ".IGV201120P320")</f>
        <v>N/A</v>
      </c>
      <c r="K268" t="str">
        <f>RTD("tos.rtd", , "LOW", ".IGV201120P320")</f>
        <v>N/A</v>
      </c>
      <c r="L268" t="str">
        <f>RTD("tos.rtd", , "OPEN", ".IGV201120P320")</f>
        <v>N/A</v>
      </c>
      <c r="M268" t="str">
        <f>RTD("tos.rtd", , "DELTA", ".IGV201120P320")</f>
        <v>N/A</v>
      </c>
      <c r="N268" t="str">
        <f>RTD("tos.rtd", , "GAMMA", ".IGV201120P320")</f>
        <v>N/A</v>
      </c>
      <c r="O268" t="str">
        <f>RTD("tos.rtd", , "THETA", ".IGV201120P320")</f>
        <v>N/A</v>
      </c>
      <c r="P268" t="str">
        <f>RTD("tos.rtd", , "VEGA", ".IGV201120P320")</f>
        <v>N/A</v>
      </c>
      <c r="Q268" t="str">
        <f>RTD("tos.rtd", , "RHO", ".IGV201120P320")</f>
        <v>N/A</v>
      </c>
      <c r="R268" t="str">
        <f>RTD("tos.rtd", , "INTRINSIC", ".IGV201120P320")</f>
        <v>N/A</v>
      </c>
      <c r="S268" t="str">
        <f>RTD("tos.rtd", , "EXTRINSIC", ".IGV201120P320")</f>
        <v>N/A</v>
      </c>
      <c r="T268" t="str">
        <f>RTD("tos.rtd", , "PROB_OF_EXPIRING", ".IGV201120P320")</f>
        <v>N/A</v>
      </c>
      <c r="U268" t="str">
        <f>RTD("tos.rtd", , "PROB_OTM", ".IGV201120P320")</f>
        <v>N/A</v>
      </c>
      <c r="V268" t="str">
        <f>RTD("tos.rtd", , "PROB_OF_TOUCHING", ".IGV201120P320")</f>
        <v>N/A</v>
      </c>
      <c r="W268" t="str">
        <f>RTD("tos.rtd", , "STRIKE", ".IGV201120P320")</f>
        <v>N/A</v>
      </c>
    </row>
    <row r="269" spans="1:23" x14ac:dyDescent="0.45">
      <c r="A269" t="s">
        <v>290</v>
      </c>
      <c r="B269" t="str">
        <f>RTD("tos.rtd", , "DESCRIPTION", ".IGV201120C325")</f>
        <v>N/A</v>
      </c>
      <c r="C269" t="str">
        <f>RTD("tos.rtd", , "PUT_CALL_RATIO", ".IGV201120C325")</f>
        <v>N/A</v>
      </c>
      <c r="D269" t="str">
        <f>RTD("tos.rtd", , "IMPL_VOL", ".IGV201120C325")</f>
        <v>N/A</v>
      </c>
      <c r="E269">
        <f>RTD("tos.rtd", , "LAST", ".IGV201120C325")</f>
        <v>4</v>
      </c>
      <c r="F269">
        <f>RTD("tos.rtd", , "VOLUME", ".IGV201120C325")</f>
        <v>72</v>
      </c>
      <c r="G269" t="str">
        <f>RTD("tos.rtd", , "OPEN_INT", ".IGV201120C325")</f>
        <v>N/A</v>
      </c>
      <c r="H269">
        <f>RTD("tos.rtd", , "BID", ".IGV201120C325")</f>
        <v>2.9</v>
      </c>
      <c r="I269">
        <f>RTD("tos.rtd", , "ASK", ".IGV201120C325")</f>
        <v>3.4</v>
      </c>
      <c r="J269" t="str">
        <f>RTD("tos.rtd", , "HIGH", ".IGV201120C325")</f>
        <v>N/A</v>
      </c>
      <c r="K269" t="str">
        <f>RTD("tos.rtd", , "LOW", ".IGV201120C325")</f>
        <v>N/A</v>
      </c>
      <c r="L269" t="str">
        <f>RTD("tos.rtd", , "OPEN", ".IGV201120C325")</f>
        <v>N/A</v>
      </c>
      <c r="M269" t="str">
        <f>RTD("tos.rtd", , "DELTA", ".IGV201120C325")</f>
        <v>N/A</v>
      </c>
      <c r="N269" t="str">
        <f>RTD("tos.rtd", , "GAMMA", ".IGV201120C325")</f>
        <v>N/A</v>
      </c>
      <c r="O269" t="str">
        <f>RTD("tos.rtd", , "THETA", ".IGV201120C325")</f>
        <v>N/A</v>
      </c>
      <c r="P269" t="str">
        <f>RTD("tos.rtd", , "VEGA", ".IGV201120C325")</f>
        <v>N/A</v>
      </c>
      <c r="Q269" t="str">
        <f>RTD("tos.rtd", , "RHO", ".IGV201120C325")</f>
        <v>N/A</v>
      </c>
      <c r="R269" t="str">
        <f>RTD("tos.rtd", , "INTRINSIC", ".IGV201120C325")</f>
        <v>N/A</v>
      </c>
      <c r="S269" t="str">
        <f>RTD("tos.rtd", , "EXTRINSIC", ".IGV201120C325")</f>
        <v>N/A</v>
      </c>
      <c r="T269" t="str">
        <f>RTD("tos.rtd", , "PROB_OF_EXPIRING", ".IGV201120C325")</f>
        <v>N/A</v>
      </c>
      <c r="U269" t="str">
        <f>RTD("tos.rtd", , "PROB_OTM", ".IGV201120C325")</f>
        <v>N/A</v>
      </c>
      <c r="V269" t="str">
        <f>RTD("tos.rtd", , "PROB_OF_TOUCHING", ".IGV201120C325")</f>
        <v>N/A</v>
      </c>
      <c r="W269" t="str">
        <f>RTD("tos.rtd", , "STRIKE", ".IGV201120C325")</f>
        <v>N/A</v>
      </c>
    </row>
    <row r="270" spans="1:23" x14ac:dyDescent="0.45">
      <c r="A270" t="s">
        <v>291</v>
      </c>
      <c r="B270" t="str">
        <f>RTD("tos.rtd", , "DESCRIPTION", ".IGV201120P325")</f>
        <v>N/A</v>
      </c>
      <c r="C270" t="str">
        <f>RTD("tos.rtd", , "PUT_CALL_RATIO", ".IGV201120P325")</f>
        <v>N/A</v>
      </c>
      <c r="D270" t="str">
        <f>RTD("tos.rtd", , "IMPL_VOL", ".IGV201120P325")</f>
        <v>N/A</v>
      </c>
      <c r="E270" t="str">
        <f>RTD("tos.rtd", , "LAST", ".IGV201120P325")</f>
        <v>N/A</v>
      </c>
      <c r="F270" t="str">
        <f>RTD("tos.rtd", , "VOLUME", ".IGV201120P325")</f>
        <v>N/A</v>
      </c>
      <c r="G270" t="str">
        <f>RTD("tos.rtd", , "OPEN_INT", ".IGV201120P325")</f>
        <v>N/A</v>
      </c>
      <c r="H270" t="str">
        <f>RTD("tos.rtd", , "BID", ".IGV201120P325")</f>
        <v>N/A</v>
      </c>
      <c r="I270" t="str">
        <f>RTD("tos.rtd", , "ASK", ".IGV201120P325")</f>
        <v>N/A</v>
      </c>
      <c r="J270" t="str">
        <f>RTD("tos.rtd", , "HIGH", ".IGV201120P325")</f>
        <v>N/A</v>
      </c>
      <c r="K270" t="str">
        <f>RTD("tos.rtd", , "LOW", ".IGV201120P325")</f>
        <v>N/A</v>
      </c>
      <c r="L270" t="str">
        <f>RTD("tos.rtd", , "OPEN", ".IGV201120P325")</f>
        <v>N/A</v>
      </c>
      <c r="M270" t="str">
        <f>RTD("tos.rtd", , "DELTA", ".IGV201120P325")</f>
        <v>N/A</v>
      </c>
      <c r="N270" t="str">
        <f>RTD("tos.rtd", , "GAMMA", ".IGV201120P325")</f>
        <v>N/A</v>
      </c>
      <c r="O270" t="str">
        <f>RTD("tos.rtd", , "THETA", ".IGV201120P325")</f>
        <v>N/A</v>
      </c>
      <c r="P270" t="str">
        <f>RTD("tos.rtd", , "VEGA", ".IGV201120P325")</f>
        <v>N/A</v>
      </c>
      <c r="Q270" t="str">
        <f>RTD("tos.rtd", , "RHO", ".IGV201120P325")</f>
        <v>N/A</v>
      </c>
      <c r="R270" t="str">
        <f>RTD("tos.rtd", , "INTRINSIC", ".IGV201120P325")</f>
        <v>N/A</v>
      </c>
      <c r="S270" t="str">
        <f>RTD("tos.rtd", , "EXTRINSIC", ".IGV201120P325")</f>
        <v>N/A</v>
      </c>
      <c r="T270" t="str">
        <f>RTD("tos.rtd", , "PROB_OF_EXPIRING", ".IGV201120P325")</f>
        <v>N/A</v>
      </c>
      <c r="U270" t="str">
        <f>RTD("tos.rtd", , "PROB_OTM", ".IGV201120P325")</f>
        <v>N/A</v>
      </c>
      <c r="V270" t="str">
        <f>RTD("tos.rtd", , "PROB_OF_TOUCHING", ".IGV201120P325")</f>
        <v>N/A</v>
      </c>
      <c r="W270" t="str">
        <f>RTD("tos.rtd", , "STRIKE", ".IGV201120P325")</f>
        <v>N/A</v>
      </c>
    </row>
    <row r="271" spans="1:23" x14ac:dyDescent="0.45">
      <c r="A271" t="s">
        <v>292</v>
      </c>
      <c r="B271" t="str">
        <f>RTD("tos.rtd", , "DESCRIPTION", "IJH")</f>
        <v>N/A</v>
      </c>
      <c r="C271">
        <f>RTD("tos.rtd", , "PUT_CALL_RATIO", "IJH")</f>
        <v>0.127</v>
      </c>
      <c r="D271" t="str">
        <f>RTD("tos.rtd", , "IMPL_VOL", "IJH")</f>
        <v>24.02%</v>
      </c>
      <c r="E271">
        <f>RTD("tos.rtd", , "LAST", "IJH")</f>
        <v>206.42</v>
      </c>
      <c r="F271">
        <f>RTD("tos.rtd", , "VOLUME", "IJH")</f>
        <v>1401811</v>
      </c>
      <c r="G271">
        <f>RTD("tos.rtd", , "OPEN_INT", "IJH")</f>
        <v>0</v>
      </c>
      <c r="H271">
        <f>RTD("tos.rtd", , "BID", "IJH")</f>
        <v>203.89</v>
      </c>
      <c r="I271">
        <f>RTD("tos.rtd", , "ASK", "IJH")</f>
        <v>208.6</v>
      </c>
      <c r="J271">
        <f>RTD("tos.rtd", , "HIGH", "IJH")</f>
        <v>209.03</v>
      </c>
      <c r="K271">
        <f>RTD("tos.rtd", , "LOW", "IJH")</f>
        <v>204.99</v>
      </c>
      <c r="L271">
        <f>RTD("tos.rtd", , "OPEN", "IJH")</f>
        <v>209.03</v>
      </c>
      <c r="M271">
        <f>RTD("tos.rtd", , "DELTA", "IJH")</f>
        <v>1</v>
      </c>
      <c r="N271">
        <f>RTD("tos.rtd", , "GAMMA", "IJH")</f>
        <v>0</v>
      </c>
      <c r="O271">
        <f>RTD("tos.rtd", , "THETA", "IJH")</f>
        <v>0</v>
      </c>
      <c r="P271">
        <f>RTD("tos.rtd", , "VEGA", "IJH")</f>
        <v>0</v>
      </c>
      <c r="Q271">
        <f>RTD("tos.rtd", , "RHO", "IJH")</f>
        <v>0</v>
      </c>
      <c r="R271" t="str">
        <f>RTD("tos.rtd", , "INTRINSIC", "IJH")</f>
        <v>N/A</v>
      </c>
      <c r="S271" t="str">
        <f>RTD("tos.rtd", , "EXTRINSIC", "IJH")</f>
        <v>N/A</v>
      </c>
      <c r="T271" t="str">
        <f>RTD("tos.rtd", , "PROB_OF_EXPIRING", "IJH")</f>
        <v>N/A</v>
      </c>
      <c r="U271" t="str">
        <f>RTD("tos.rtd", , "PROB_OTM", "IJH")</f>
        <v>N/A</v>
      </c>
      <c r="V271" t="str">
        <f>RTD("tos.rtd", , "PROB_OF_TOUCHING", "IJH")</f>
        <v>N/A</v>
      </c>
      <c r="W271" t="str">
        <f>RTD("tos.rtd", , "STRIKE", "IJH")</f>
        <v>N/A</v>
      </c>
    </row>
    <row r="272" spans="1:23" x14ac:dyDescent="0.45">
      <c r="A272" t="s">
        <v>293</v>
      </c>
      <c r="B272" t="str">
        <f>RTD("tos.rtd", , "DESCRIPTION", ".IJH201120C210")</f>
        <v>N/A</v>
      </c>
      <c r="C272" t="str">
        <f>RTD("tos.rtd", , "PUT_CALL_RATIO", ".IJH201120C210")</f>
        <v>N/A</v>
      </c>
      <c r="D272" t="str">
        <f>RTD("tos.rtd", , "IMPL_VOL", ".IJH201120C210")</f>
        <v>N/A</v>
      </c>
      <c r="E272" t="str">
        <f>RTD("tos.rtd", , "LAST", ".IJH201120C210")</f>
        <v>N/A</v>
      </c>
      <c r="F272" t="str">
        <f>RTD("tos.rtd", , "VOLUME", ".IJH201120C210")</f>
        <v>N/A</v>
      </c>
      <c r="G272" t="str">
        <f>RTD("tos.rtd", , "OPEN_INT", ".IJH201120C210")</f>
        <v>N/A</v>
      </c>
      <c r="H272" t="str">
        <f>RTD("tos.rtd", , "BID", ".IJH201120C210")</f>
        <v>N/A</v>
      </c>
      <c r="I272" t="str">
        <f>RTD("tos.rtd", , "ASK", ".IJH201120C210")</f>
        <v>N/A</v>
      </c>
      <c r="J272" t="str">
        <f>RTD("tos.rtd", , "HIGH", ".IJH201120C210")</f>
        <v>N/A</v>
      </c>
      <c r="K272" t="str">
        <f>RTD("tos.rtd", , "LOW", ".IJH201120C210")</f>
        <v>N/A</v>
      </c>
      <c r="L272" t="str">
        <f>RTD("tos.rtd", , "OPEN", ".IJH201120C210")</f>
        <v>N/A</v>
      </c>
      <c r="M272" t="str">
        <f>RTD("tos.rtd", , "DELTA", ".IJH201120C210")</f>
        <v>N/A</v>
      </c>
      <c r="N272" t="str">
        <f>RTD("tos.rtd", , "GAMMA", ".IJH201120C210")</f>
        <v>N/A</v>
      </c>
      <c r="O272" t="str">
        <f>RTD("tos.rtd", , "THETA", ".IJH201120C210")</f>
        <v>N/A</v>
      </c>
      <c r="P272" t="str">
        <f>RTD("tos.rtd", , "VEGA", ".IJH201120C210")</f>
        <v>N/A</v>
      </c>
      <c r="Q272" t="str">
        <f>RTD("tos.rtd", , "RHO", ".IJH201120C210")</f>
        <v>N/A</v>
      </c>
      <c r="R272" t="str">
        <f>RTD("tos.rtd", , "INTRINSIC", ".IJH201120C210")</f>
        <v>N/A</v>
      </c>
      <c r="S272" t="str">
        <f>RTD("tos.rtd", , "EXTRINSIC", ".IJH201120C210")</f>
        <v>N/A</v>
      </c>
      <c r="T272" t="str">
        <f>RTD("tos.rtd", , "PROB_OF_EXPIRING", ".IJH201120C210")</f>
        <v>N/A</v>
      </c>
      <c r="U272" t="str">
        <f>RTD("tos.rtd", , "PROB_OTM", ".IJH201120C210")</f>
        <v>N/A</v>
      </c>
      <c r="V272" t="str">
        <f>RTD("tos.rtd", , "PROB_OF_TOUCHING", ".IJH201120C210")</f>
        <v>N/A</v>
      </c>
      <c r="W272" t="str">
        <f>RTD("tos.rtd", , "STRIKE", ".IJH201120C210")</f>
        <v>N/A</v>
      </c>
    </row>
    <row r="273" spans="1:23" x14ac:dyDescent="0.45">
      <c r="A273" t="s">
        <v>294</v>
      </c>
      <c r="B273" t="str">
        <f>RTD("tos.rtd", , "DESCRIPTION", ".IJH201120P210")</f>
        <v>N/A</v>
      </c>
      <c r="C273" t="str">
        <f>RTD("tos.rtd", , "PUT_CALL_RATIO", ".IJH201120P210")</f>
        <v>N/A</v>
      </c>
      <c r="D273" t="str">
        <f>RTD("tos.rtd", , "IMPL_VOL", ".IJH201120P210")</f>
        <v>N/A</v>
      </c>
      <c r="E273" t="str">
        <f>RTD("tos.rtd", , "LAST", ".IJH201120P210")</f>
        <v>N/A</v>
      </c>
      <c r="F273" t="str">
        <f>RTD("tos.rtd", , "VOLUME", ".IJH201120P210")</f>
        <v>N/A</v>
      </c>
      <c r="G273" t="str">
        <f>RTD("tos.rtd", , "OPEN_INT", ".IJH201120P210")</f>
        <v>N/A</v>
      </c>
      <c r="H273" t="str">
        <f>RTD("tos.rtd", , "BID", ".IJH201120P210")</f>
        <v>N/A</v>
      </c>
      <c r="I273" t="str">
        <f>RTD("tos.rtd", , "ASK", ".IJH201120P210")</f>
        <v>N/A</v>
      </c>
      <c r="J273" t="str">
        <f>RTD("tos.rtd", , "HIGH", ".IJH201120P210")</f>
        <v>N/A</v>
      </c>
      <c r="K273" t="str">
        <f>RTD("tos.rtd", , "LOW", ".IJH201120P210")</f>
        <v>N/A</v>
      </c>
      <c r="L273" t="str">
        <f>RTD("tos.rtd", , "OPEN", ".IJH201120P210")</f>
        <v>N/A</v>
      </c>
      <c r="M273" t="str">
        <f>RTD("tos.rtd", , "DELTA", ".IJH201120P210")</f>
        <v>N/A</v>
      </c>
      <c r="N273" t="str">
        <f>RTD("tos.rtd", , "GAMMA", ".IJH201120P210")</f>
        <v>N/A</v>
      </c>
      <c r="O273" t="str">
        <f>RTD("tos.rtd", , "THETA", ".IJH201120P210")</f>
        <v>N/A</v>
      </c>
      <c r="P273" t="str">
        <f>RTD("tos.rtd", , "VEGA", ".IJH201120P210")</f>
        <v>N/A</v>
      </c>
      <c r="Q273" t="str">
        <f>RTD("tos.rtd", , "RHO", ".IJH201120P210")</f>
        <v>N/A</v>
      </c>
      <c r="R273" t="str">
        <f>RTD("tos.rtd", , "INTRINSIC", ".IJH201120P210")</f>
        <v>N/A</v>
      </c>
      <c r="S273" t="str">
        <f>RTD("tos.rtd", , "EXTRINSIC", ".IJH201120P210")</f>
        <v>N/A</v>
      </c>
      <c r="T273" t="str">
        <f>RTD("tos.rtd", , "PROB_OF_EXPIRING", ".IJH201120P210")</f>
        <v>N/A</v>
      </c>
      <c r="U273" t="str">
        <f>RTD("tos.rtd", , "PROB_OTM", ".IJH201120P210")</f>
        <v>N/A</v>
      </c>
      <c r="V273" t="str">
        <f>RTD("tos.rtd", , "PROB_OF_TOUCHING", ".IJH201120P210")</f>
        <v>N/A</v>
      </c>
      <c r="W273" t="str">
        <f>RTD("tos.rtd", , "STRIKE", ".IJH201120P210")</f>
        <v>N/A</v>
      </c>
    </row>
    <row r="274" spans="1:23" x14ac:dyDescent="0.45">
      <c r="A274" t="s">
        <v>295</v>
      </c>
      <c r="B274" t="str">
        <f>RTD("tos.rtd", , "DESCRIPTION", "IJR")</f>
        <v>N/A</v>
      </c>
      <c r="C274">
        <f>RTD("tos.rtd", , "PUT_CALL_RATIO", "IJR")</f>
        <v>6.944</v>
      </c>
      <c r="D274" t="str">
        <f>RTD("tos.rtd", , "IMPL_VOL", "IJR")</f>
        <v>31.96%</v>
      </c>
      <c r="E274">
        <f>RTD("tos.rtd", , "LAST", "IJR")</f>
        <v>79.599999999999994</v>
      </c>
      <c r="F274">
        <f>RTD("tos.rtd", , "VOLUME", "IJR")</f>
        <v>4184850</v>
      </c>
      <c r="G274">
        <f>RTD("tos.rtd", , "OPEN_INT", "IJR")</f>
        <v>0</v>
      </c>
      <c r="H274">
        <f>RTD("tos.rtd", , "BID", "IJR")</f>
        <v>78.92</v>
      </c>
      <c r="I274">
        <f>RTD("tos.rtd", , "ASK", "IJR")</f>
        <v>79.989999999999995</v>
      </c>
      <c r="J274">
        <f>RTD("tos.rtd", , "HIGH", "IJR")</f>
        <v>80.7</v>
      </c>
      <c r="K274">
        <f>RTD("tos.rtd", , "LOW", "IJR")</f>
        <v>78.84</v>
      </c>
      <c r="L274">
        <f>RTD("tos.rtd", , "OPEN", "IJR")</f>
        <v>80.569999999999993</v>
      </c>
      <c r="M274">
        <f>RTD("tos.rtd", , "DELTA", "IJR")</f>
        <v>1</v>
      </c>
      <c r="N274">
        <f>RTD("tos.rtd", , "GAMMA", "IJR")</f>
        <v>0</v>
      </c>
      <c r="O274">
        <f>RTD("tos.rtd", , "THETA", "IJR")</f>
        <v>0</v>
      </c>
      <c r="P274">
        <f>RTD("tos.rtd", , "VEGA", "IJR")</f>
        <v>0</v>
      </c>
      <c r="Q274">
        <f>RTD("tos.rtd", , "RHO", "IJR")</f>
        <v>0</v>
      </c>
      <c r="R274" t="str">
        <f>RTD("tos.rtd", , "INTRINSIC", "IJR")</f>
        <v>N/A</v>
      </c>
      <c r="S274" t="str">
        <f>RTD("tos.rtd", , "EXTRINSIC", "IJR")</f>
        <v>N/A</v>
      </c>
      <c r="T274" t="str">
        <f>RTD("tos.rtd", , "PROB_OF_EXPIRING", "IJR")</f>
        <v>N/A</v>
      </c>
      <c r="U274" t="str">
        <f>RTD("tos.rtd", , "PROB_OTM", "IJR")</f>
        <v>N/A</v>
      </c>
      <c r="V274" t="str">
        <f>RTD("tos.rtd", , "PROB_OF_TOUCHING", "IJR")</f>
        <v>N/A</v>
      </c>
      <c r="W274" t="str">
        <f>RTD("tos.rtd", , "STRIKE", "IJR")</f>
        <v>N/A</v>
      </c>
    </row>
    <row r="275" spans="1:23" x14ac:dyDescent="0.45">
      <c r="A275" t="s">
        <v>296</v>
      </c>
      <c r="B275" t="str">
        <f>RTD("tos.rtd", , "DESCRIPTION", ".IJR201120C80")</f>
        <v>N/A</v>
      </c>
      <c r="C275" t="str">
        <f>RTD("tos.rtd", , "PUT_CALL_RATIO", ".IJR201120C80")</f>
        <v>N/A</v>
      </c>
      <c r="D275" t="str">
        <f>RTD("tos.rtd", , "IMPL_VOL", ".IJR201120C80")</f>
        <v>N/A</v>
      </c>
      <c r="E275" t="str">
        <f>RTD("tos.rtd", , "LAST", ".IJR201120C80")</f>
        <v>N/A</v>
      </c>
      <c r="F275" t="str">
        <f>RTD("tos.rtd", , "VOLUME", ".IJR201120C80")</f>
        <v>N/A</v>
      </c>
      <c r="G275" t="str">
        <f>RTD("tos.rtd", , "OPEN_INT", ".IJR201120C80")</f>
        <v>N/A</v>
      </c>
      <c r="H275" t="str">
        <f>RTD("tos.rtd", , "BID", ".IJR201120C80")</f>
        <v>N/A</v>
      </c>
      <c r="I275" t="str">
        <f>RTD("tos.rtd", , "ASK", ".IJR201120C80")</f>
        <v>N/A</v>
      </c>
      <c r="J275" t="str">
        <f>RTD("tos.rtd", , "HIGH", ".IJR201120C80")</f>
        <v>N/A</v>
      </c>
      <c r="K275" t="str">
        <f>RTD("tos.rtd", , "LOW", ".IJR201120C80")</f>
        <v>N/A</v>
      </c>
      <c r="L275" t="str">
        <f>RTD("tos.rtd", , "OPEN", ".IJR201120C80")</f>
        <v>N/A</v>
      </c>
      <c r="M275" t="str">
        <f>RTD("tos.rtd", , "DELTA", ".IJR201120C80")</f>
        <v>N/A</v>
      </c>
      <c r="N275" t="str">
        <f>RTD("tos.rtd", , "GAMMA", ".IJR201120C80")</f>
        <v>N/A</v>
      </c>
      <c r="O275" t="str">
        <f>RTD("tos.rtd", , "THETA", ".IJR201120C80")</f>
        <v>N/A</v>
      </c>
      <c r="P275" t="str">
        <f>RTD("tos.rtd", , "VEGA", ".IJR201120C80")</f>
        <v>N/A</v>
      </c>
      <c r="Q275" t="str">
        <f>RTD("tos.rtd", , "RHO", ".IJR201120C80")</f>
        <v>N/A</v>
      </c>
      <c r="R275" t="str">
        <f>RTD("tos.rtd", , "INTRINSIC", ".IJR201120C80")</f>
        <v>N/A</v>
      </c>
      <c r="S275" t="str">
        <f>RTD("tos.rtd", , "EXTRINSIC", ".IJR201120C80")</f>
        <v>N/A</v>
      </c>
      <c r="T275" t="str">
        <f>RTD("tos.rtd", , "PROB_OF_EXPIRING", ".IJR201120C80")</f>
        <v>N/A</v>
      </c>
      <c r="U275" t="str">
        <f>RTD("tos.rtd", , "PROB_OTM", ".IJR201120C80")</f>
        <v>N/A</v>
      </c>
      <c r="V275" t="str">
        <f>RTD("tos.rtd", , "PROB_OF_TOUCHING", ".IJR201120C80")</f>
        <v>N/A</v>
      </c>
      <c r="W275" t="str">
        <f>RTD("tos.rtd", , "STRIKE", ".IJR201120C80")</f>
        <v>N/A</v>
      </c>
    </row>
    <row r="276" spans="1:23" x14ac:dyDescent="0.45">
      <c r="A276" t="s">
        <v>297</v>
      </c>
      <c r="B276" t="str">
        <f>RTD("tos.rtd", , "DESCRIPTION", ".IJR201120P80")</f>
        <v>N/A</v>
      </c>
      <c r="C276" t="str">
        <f>RTD("tos.rtd", , "PUT_CALL_RATIO", ".IJR201120P80")</f>
        <v>N/A</v>
      </c>
      <c r="D276" t="str">
        <f>RTD("tos.rtd", , "IMPL_VOL", ".IJR201120P80")</f>
        <v>N/A</v>
      </c>
      <c r="E276">
        <f>RTD("tos.rtd", , "LAST", ".IJR201120P80")</f>
        <v>0</v>
      </c>
      <c r="F276" t="str">
        <f>RTD("tos.rtd", , "VOLUME", ".IJR201120P80")</f>
        <v>N/A</v>
      </c>
      <c r="G276" t="str">
        <f>RTD("tos.rtd", , "OPEN_INT", ".IJR201120P80")</f>
        <v>N/A</v>
      </c>
      <c r="H276">
        <f>RTD("tos.rtd", , "BID", ".IJR201120P80")</f>
        <v>1.55</v>
      </c>
      <c r="I276">
        <f>RTD("tos.rtd", , "ASK", ".IJR201120P80")</f>
        <v>1.75</v>
      </c>
      <c r="J276" t="str">
        <f>RTD("tos.rtd", , "HIGH", ".IJR201120P80")</f>
        <v>N/A</v>
      </c>
      <c r="K276" t="str">
        <f>RTD("tos.rtd", , "LOW", ".IJR201120P80")</f>
        <v>N/A</v>
      </c>
      <c r="L276" t="str">
        <f>RTD("tos.rtd", , "OPEN", ".IJR201120P80")</f>
        <v>N/A</v>
      </c>
      <c r="M276" t="str">
        <f>RTD("tos.rtd", , "DELTA", ".IJR201120P80")</f>
        <v>N/A</v>
      </c>
      <c r="N276" t="str">
        <f>RTD("tos.rtd", , "GAMMA", ".IJR201120P80")</f>
        <v>N/A</v>
      </c>
      <c r="O276" t="str">
        <f>RTD("tos.rtd", , "THETA", ".IJR201120P80")</f>
        <v>N/A</v>
      </c>
      <c r="P276" t="str">
        <f>RTD("tos.rtd", , "VEGA", ".IJR201120P80")</f>
        <v>N/A</v>
      </c>
      <c r="Q276" t="str">
        <f>RTD("tos.rtd", , "RHO", ".IJR201120P80")</f>
        <v>N/A</v>
      </c>
      <c r="R276" t="str">
        <f>RTD("tos.rtd", , "INTRINSIC", ".IJR201120P80")</f>
        <v>N/A</v>
      </c>
      <c r="S276" t="str">
        <f>RTD("tos.rtd", , "EXTRINSIC", ".IJR201120P80")</f>
        <v>N/A</v>
      </c>
      <c r="T276" t="str">
        <f>RTD("tos.rtd", , "PROB_OF_EXPIRING", ".IJR201120P80")</f>
        <v>N/A</v>
      </c>
      <c r="U276" t="str">
        <f>RTD("tos.rtd", , "PROB_OTM", ".IJR201120P80")</f>
        <v>N/A</v>
      </c>
      <c r="V276" t="str">
        <f>RTD("tos.rtd", , "PROB_OF_TOUCHING", ".IJR201120P80")</f>
        <v>N/A</v>
      </c>
      <c r="W276" t="str">
        <f>RTD("tos.rtd", , "STRIKE", ".IJR201120P80")</f>
        <v>N/A</v>
      </c>
    </row>
    <row r="277" spans="1:23" x14ac:dyDescent="0.45">
      <c r="A277" t="s">
        <v>298</v>
      </c>
      <c r="B277" t="str">
        <f>RTD("tos.rtd", , "DESCRIPTION", "ILF")</f>
        <v>N/A</v>
      </c>
      <c r="C277">
        <f>RTD("tos.rtd", , "PUT_CALL_RATIO", "ILF")</f>
        <v>0.188</v>
      </c>
      <c r="D277" t="str">
        <f>RTD("tos.rtd", , "IMPL_VOL", "ILF")</f>
        <v>29.76%</v>
      </c>
      <c r="E277">
        <f>RTD("tos.rtd", , "LAST", "ILF")</f>
        <v>24.22</v>
      </c>
      <c r="F277">
        <f>RTD("tos.rtd", , "VOLUME", "ILF")</f>
        <v>2163339</v>
      </c>
      <c r="G277">
        <f>RTD("tos.rtd", , "OPEN_INT", "ILF")</f>
        <v>0</v>
      </c>
      <c r="H277">
        <f>RTD("tos.rtd", , "BID", "ILF")</f>
        <v>20</v>
      </c>
      <c r="I277">
        <f>RTD("tos.rtd", , "ASK", "ILF")</f>
        <v>26.58</v>
      </c>
      <c r="J277">
        <f>RTD("tos.rtd", , "HIGH", "ILF")</f>
        <v>24.85</v>
      </c>
      <c r="K277">
        <f>RTD("tos.rtd", , "LOW", "ILF")</f>
        <v>24.1</v>
      </c>
      <c r="L277">
        <f>RTD("tos.rtd", , "OPEN", "ILF")</f>
        <v>24.85</v>
      </c>
      <c r="M277">
        <f>RTD("tos.rtd", , "DELTA", "ILF")</f>
        <v>1</v>
      </c>
      <c r="N277">
        <f>RTD("tos.rtd", , "GAMMA", "ILF")</f>
        <v>0</v>
      </c>
      <c r="O277">
        <f>RTD("tos.rtd", , "THETA", "ILF")</f>
        <v>0</v>
      </c>
      <c r="P277">
        <f>RTD("tos.rtd", , "VEGA", "ILF")</f>
        <v>0</v>
      </c>
      <c r="Q277">
        <f>RTD("tos.rtd", , "RHO", "ILF")</f>
        <v>0</v>
      </c>
      <c r="R277" t="str">
        <f>RTD("tos.rtd", , "INTRINSIC", "ILF")</f>
        <v>N/A</v>
      </c>
      <c r="S277" t="str">
        <f>RTD("tos.rtd", , "EXTRINSIC", "ILF")</f>
        <v>N/A</v>
      </c>
      <c r="T277" t="str">
        <f>RTD("tos.rtd", , "PROB_OF_EXPIRING", "ILF")</f>
        <v>N/A</v>
      </c>
      <c r="U277" t="str">
        <f>RTD("tos.rtd", , "PROB_OTM", "ILF")</f>
        <v>N/A</v>
      </c>
      <c r="V277" t="str">
        <f>RTD("tos.rtd", , "PROB_OF_TOUCHING", "ILF")</f>
        <v>N/A</v>
      </c>
      <c r="W277" t="str">
        <f>RTD("tos.rtd", , "STRIKE", "ILF")</f>
        <v>N/A</v>
      </c>
    </row>
    <row r="278" spans="1:23" x14ac:dyDescent="0.45">
      <c r="A278" t="s">
        <v>299</v>
      </c>
      <c r="B278" t="str">
        <f>RTD("tos.rtd", , "DESCRIPTION", ".ILF201120C25")</f>
        <v>N/A</v>
      </c>
      <c r="C278" t="str">
        <f>RTD("tos.rtd", , "PUT_CALL_RATIO", ".ILF201120C25")</f>
        <v>N/A</v>
      </c>
      <c r="D278" t="str">
        <f>RTD("tos.rtd", , "IMPL_VOL", ".ILF201120C25")</f>
        <v>N/A</v>
      </c>
      <c r="E278" t="str">
        <f>RTD("tos.rtd", , "LAST", ".ILF201120C25")</f>
        <v>N/A</v>
      </c>
      <c r="F278" t="str">
        <f>RTD("tos.rtd", , "VOLUME", ".ILF201120C25")</f>
        <v>N/A</v>
      </c>
      <c r="G278" t="str">
        <f>RTD("tos.rtd", , "OPEN_INT", ".ILF201120C25")</f>
        <v>N/A</v>
      </c>
      <c r="H278" t="str">
        <f>RTD("tos.rtd", , "BID", ".ILF201120C25")</f>
        <v>N/A</v>
      </c>
      <c r="I278" t="str">
        <f>RTD("tos.rtd", , "ASK", ".ILF201120C25")</f>
        <v>N/A</v>
      </c>
      <c r="J278" t="str">
        <f>RTD("tos.rtd", , "HIGH", ".ILF201120C25")</f>
        <v>N/A</v>
      </c>
      <c r="K278" t="str">
        <f>RTD("tos.rtd", , "LOW", ".ILF201120C25")</f>
        <v>N/A</v>
      </c>
      <c r="L278" t="str">
        <f>RTD("tos.rtd", , "OPEN", ".ILF201120C25")</f>
        <v>N/A</v>
      </c>
      <c r="M278" t="str">
        <f>RTD("tos.rtd", , "DELTA", ".ILF201120C25")</f>
        <v>N/A</v>
      </c>
      <c r="N278" t="str">
        <f>RTD("tos.rtd", , "GAMMA", ".ILF201120C25")</f>
        <v>N/A</v>
      </c>
      <c r="O278" t="str">
        <f>RTD("tos.rtd", , "THETA", ".ILF201120C25")</f>
        <v>N/A</v>
      </c>
      <c r="P278" t="str">
        <f>RTD("tos.rtd", , "VEGA", ".ILF201120C25")</f>
        <v>N/A</v>
      </c>
      <c r="Q278" t="str">
        <f>RTD("tos.rtd", , "RHO", ".ILF201120C25")</f>
        <v>N/A</v>
      </c>
      <c r="R278" t="str">
        <f>RTD("tos.rtd", , "INTRINSIC", ".ILF201120C25")</f>
        <v>N/A</v>
      </c>
      <c r="S278" t="str">
        <f>RTD("tos.rtd", , "EXTRINSIC", ".ILF201120C25")</f>
        <v>N/A</v>
      </c>
      <c r="T278" t="str">
        <f>RTD("tos.rtd", , "PROB_OF_EXPIRING", ".ILF201120C25")</f>
        <v>N/A</v>
      </c>
      <c r="U278" t="str">
        <f>RTD("tos.rtd", , "PROB_OTM", ".ILF201120C25")</f>
        <v>N/A</v>
      </c>
      <c r="V278" t="str">
        <f>RTD("tos.rtd", , "PROB_OF_TOUCHING", ".ILF201120C25")</f>
        <v>N/A</v>
      </c>
      <c r="W278" t="str">
        <f>RTD("tos.rtd", , "STRIKE", ".ILF201120C25")</f>
        <v>N/A</v>
      </c>
    </row>
    <row r="279" spans="1:23" x14ac:dyDescent="0.45">
      <c r="A279" t="s">
        <v>300</v>
      </c>
      <c r="B279" t="str">
        <f>RTD("tos.rtd", , "DESCRIPTION", ".ILF201120P25")</f>
        <v>N/A</v>
      </c>
      <c r="C279" t="str">
        <f>RTD("tos.rtd", , "PUT_CALL_RATIO", ".ILF201120P25")</f>
        <v>N/A</v>
      </c>
      <c r="D279" t="str">
        <f>RTD("tos.rtd", , "IMPL_VOL", ".ILF201120P25")</f>
        <v>N/A</v>
      </c>
      <c r="E279" t="str">
        <f>RTD("tos.rtd", , "LAST", ".ILF201120P25")</f>
        <v>N/A</v>
      </c>
      <c r="F279" t="str">
        <f>RTD("tos.rtd", , "VOLUME", ".ILF201120P25")</f>
        <v>N/A</v>
      </c>
      <c r="G279" t="str">
        <f>RTD("tos.rtd", , "OPEN_INT", ".ILF201120P25")</f>
        <v>N/A</v>
      </c>
      <c r="H279" t="str">
        <f>RTD("tos.rtd", , "BID", ".ILF201120P25")</f>
        <v>N/A</v>
      </c>
      <c r="I279" t="str">
        <f>RTD("tos.rtd", , "ASK", ".ILF201120P25")</f>
        <v>N/A</v>
      </c>
      <c r="J279" t="str">
        <f>RTD("tos.rtd", , "HIGH", ".ILF201120P25")</f>
        <v>N/A</v>
      </c>
      <c r="K279" t="str">
        <f>RTD("tos.rtd", , "LOW", ".ILF201120P25")</f>
        <v>N/A</v>
      </c>
      <c r="L279" t="str">
        <f>RTD("tos.rtd", , "OPEN", ".ILF201120P25")</f>
        <v>N/A</v>
      </c>
      <c r="M279" t="str">
        <f>RTD("tos.rtd", , "DELTA", ".ILF201120P25")</f>
        <v>N/A</v>
      </c>
      <c r="N279" t="str">
        <f>RTD("tos.rtd", , "GAMMA", ".ILF201120P25")</f>
        <v>N/A</v>
      </c>
      <c r="O279" t="str">
        <f>RTD("tos.rtd", , "THETA", ".ILF201120P25")</f>
        <v>N/A</v>
      </c>
      <c r="P279" t="str">
        <f>RTD("tos.rtd", , "VEGA", ".ILF201120P25")</f>
        <v>N/A</v>
      </c>
      <c r="Q279" t="str">
        <f>RTD("tos.rtd", , "RHO", ".ILF201120P25")</f>
        <v>N/A</v>
      </c>
      <c r="R279" t="str">
        <f>RTD("tos.rtd", , "INTRINSIC", ".ILF201120P25")</f>
        <v>N/A</v>
      </c>
      <c r="S279" t="str">
        <f>RTD("tos.rtd", , "EXTRINSIC", ".ILF201120P25")</f>
        <v>N/A</v>
      </c>
      <c r="T279" t="str">
        <f>RTD("tos.rtd", , "PROB_OF_EXPIRING", ".ILF201120P25")</f>
        <v>N/A</v>
      </c>
      <c r="U279" t="str">
        <f>RTD("tos.rtd", , "PROB_OTM", ".ILF201120P25")</f>
        <v>N/A</v>
      </c>
      <c r="V279" t="str">
        <f>RTD("tos.rtd", , "PROB_OF_TOUCHING", ".ILF201120P25")</f>
        <v>N/A</v>
      </c>
      <c r="W279" t="str">
        <f>RTD("tos.rtd", , "STRIKE", ".ILF201120P25")</f>
        <v>N/A</v>
      </c>
    </row>
    <row r="280" spans="1:23" x14ac:dyDescent="0.45">
      <c r="A280" t="s">
        <v>301</v>
      </c>
      <c r="B280" t="str">
        <f>RTD("tos.rtd", , "DESCRIPTION", "INDA")</f>
        <v>N/A</v>
      </c>
      <c r="C280">
        <f>RTD("tos.rtd", , "PUT_CALL_RATIO", "INDA")</f>
        <v>0.877</v>
      </c>
      <c r="D280" t="str">
        <f>RTD("tos.rtd", , "IMPL_VOL", "INDA")</f>
        <v>25.84%</v>
      </c>
      <c r="E280">
        <f>RTD("tos.rtd", , "LAST", "INDA")</f>
        <v>35.75</v>
      </c>
      <c r="F280">
        <f>RTD("tos.rtd", , "VOLUME", "INDA")</f>
        <v>3574826</v>
      </c>
      <c r="G280">
        <f>RTD("tos.rtd", , "OPEN_INT", "INDA")</f>
        <v>0</v>
      </c>
      <c r="H280">
        <f>RTD("tos.rtd", , "BID", "INDA")</f>
        <v>34.6</v>
      </c>
      <c r="I280">
        <f>RTD("tos.rtd", , "ASK", "INDA")</f>
        <v>45</v>
      </c>
      <c r="J280">
        <f>RTD("tos.rtd", , "HIGH", "INDA")</f>
        <v>36.015000000000001</v>
      </c>
      <c r="K280">
        <f>RTD("tos.rtd", , "LOW", "INDA")</f>
        <v>35.659999999999997</v>
      </c>
      <c r="L280">
        <f>RTD("tos.rtd", , "OPEN", "INDA")</f>
        <v>35.9</v>
      </c>
      <c r="M280">
        <f>RTD("tos.rtd", , "DELTA", "INDA")</f>
        <v>1</v>
      </c>
      <c r="N280">
        <f>RTD("tos.rtd", , "GAMMA", "INDA")</f>
        <v>0</v>
      </c>
      <c r="O280">
        <f>RTD("tos.rtd", , "THETA", "INDA")</f>
        <v>0</v>
      </c>
      <c r="P280">
        <f>RTD("tos.rtd", , "VEGA", "INDA")</f>
        <v>0</v>
      </c>
      <c r="Q280">
        <f>RTD("tos.rtd", , "RHO", "INDA")</f>
        <v>0</v>
      </c>
      <c r="R280" t="str">
        <f>RTD("tos.rtd", , "INTRINSIC", "INDA")</f>
        <v>N/A</v>
      </c>
      <c r="S280" t="str">
        <f>RTD("tos.rtd", , "EXTRINSIC", "INDA")</f>
        <v>N/A</v>
      </c>
      <c r="T280" t="str">
        <f>RTD("tos.rtd", , "PROB_OF_EXPIRING", "INDA")</f>
        <v>N/A</v>
      </c>
      <c r="U280" t="str">
        <f>RTD("tos.rtd", , "PROB_OTM", "INDA")</f>
        <v>N/A</v>
      </c>
      <c r="V280" t="str">
        <f>RTD("tos.rtd", , "PROB_OF_TOUCHING", "INDA")</f>
        <v>N/A</v>
      </c>
      <c r="W280" t="str">
        <f>RTD("tos.rtd", , "STRIKE", "INDA")</f>
        <v>N/A</v>
      </c>
    </row>
    <row r="281" spans="1:23" x14ac:dyDescent="0.45">
      <c r="A281" t="s">
        <v>302</v>
      </c>
      <c r="B281" t="str">
        <f>RTD("tos.rtd", , "DESCRIPTION", ".INDA201120C36")</f>
        <v>N/A</v>
      </c>
      <c r="C281" t="str">
        <f>RTD("tos.rtd", , "PUT_CALL_RATIO", ".INDA201120C36")</f>
        <v>N/A</v>
      </c>
      <c r="D281" t="str">
        <f>RTD("tos.rtd", , "IMPL_VOL", ".INDA201120C36")</f>
        <v>N/A</v>
      </c>
      <c r="E281" t="str">
        <f>RTD("tos.rtd", , "LAST", ".INDA201120C36")</f>
        <v>N/A</v>
      </c>
      <c r="F281" t="str">
        <f>RTD("tos.rtd", , "VOLUME", ".INDA201120C36")</f>
        <v>N/A</v>
      </c>
      <c r="G281" t="str">
        <f>RTD("tos.rtd", , "OPEN_INT", ".INDA201120C36")</f>
        <v>N/A</v>
      </c>
      <c r="H281" t="str">
        <f>RTD("tos.rtd", , "BID", ".INDA201120C36")</f>
        <v>N/A</v>
      </c>
      <c r="I281" t="str">
        <f>RTD("tos.rtd", , "ASK", ".INDA201120C36")</f>
        <v>N/A</v>
      </c>
      <c r="J281" t="str">
        <f>RTD("tos.rtd", , "HIGH", ".INDA201120C36")</f>
        <v>N/A</v>
      </c>
      <c r="K281" t="str">
        <f>RTD("tos.rtd", , "LOW", ".INDA201120C36")</f>
        <v>N/A</v>
      </c>
      <c r="L281" t="str">
        <f>RTD("tos.rtd", , "OPEN", ".INDA201120C36")</f>
        <v>N/A</v>
      </c>
      <c r="M281" t="str">
        <f>RTD("tos.rtd", , "DELTA", ".INDA201120C36")</f>
        <v>N/A</v>
      </c>
      <c r="N281" t="str">
        <f>RTD("tos.rtd", , "GAMMA", ".INDA201120C36")</f>
        <v>N/A</v>
      </c>
      <c r="O281" t="str">
        <f>RTD("tos.rtd", , "THETA", ".INDA201120C36")</f>
        <v>N/A</v>
      </c>
      <c r="P281" t="str">
        <f>RTD("tos.rtd", , "VEGA", ".INDA201120C36")</f>
        <v>N/A</v>
      </c>
      <c r="Q281" t="str">
        <f>RTD("tos.rtd", , "RHO", ".INDA201120C36")</f>
        <v>N/A</v>
      </c>
      <c r="R281" t="str">
        <f>RTD("tos.rtd", , "INTRINSIC", ".INDA201120C36")</f>
        <v>N/A</v>
      </c>
      <c r="S281" t="str">
        <f>RTD("tos.rtd", , "EXTRINSIC", ".INDA201120C36")</f>
        <v>N/A</v>
      </c>
      <c r="T281" t="str">
        <f>RTD("tos.rtd", , "PROB_OF_EXPIRING", ".INDA201120C36")</f>
        <v>N/A</v>
      </c>
      <c r="U281" t="str">
        <f>RTD("tos.rtd", , "PROB_OTM", ".INDA201120C36")</f>
        <v>N/A</v>
      </c>
      <c r="V281" t="str">
        <f>RTD("tos.rtd", , "PROB_OF_TOUCHING", ".INDA201120C36")</f>
        <v>N/A</v>
      </c>
      <c r="W281" t="str">
        <f>RTD("tos.rtd", , "STRIKE", ".INDA201120C36")</f>
        <v>N/A</v>
      </c>
    </row>
    <row r="282" spans="1:23" x14ac:dyDescent="0.45">
      <c r="A282" t="s">
        <v>303</v>
      </c>
      <c r="B282" t="str">
        <f>RTD("tos.rtd", , "DESCRIPTION", ".INDA201120P36")</f>
        <v>N/A</v>
      </c>
      <c r="C282" t="str">
        <f>RTD("tos.rtd", , "PUT_CALL_RATIO", ".INDA201120P36")</f>
        <v>N/A</v>
      </c>
      <c r="D282" t="str">
        <f>RTD("tos.rtd", , "IMPL_VOL", ".INDA201120P36")</f>
        <v>N/A</v>
      </c>
      <c r="E282" t="str">
        <f>RTD("tos.rtd", , "LAST", ".INDA201120P36")</f>
        <v>N/A</v>
      </c>
      <c r="F282" t="str">
        <f>RTD("tos.rtd", , "VOLUME", ".INDA201120P36")</f>
        <v>N/A</v>
      </c>
      <c r="G282" t="str">
        <f>RTD("tos.rtd", , "OPEN_INT", ".INDA201120P36")</f>
        <v>N/A</v>
      </c>
      <c r="H282" t="str">
        <f>RTD("tos.rtd", , "BID", ".INDA201120P36")</f>
        <v>N/A</v>
      </c>
      <c r="I282" t="str">
        <f>RTD("tos.rtd", , "ASK", ".INDA201120P36")</f>
        <v>N/A</v>
      </c>
      <c r="J282" t="str">
        <f>RTD("tos.rtd", , "HIGH", ".INDA201120P36")</f>
        <v>N/A</v>
      </c>
      <c r="K282" t="str">
        <f>RTD("tos.rtd", , "LOW", ".INDA201120P36")</f>
        <v>N/A</v>
      </c>
      <c r="L282" t="str">
        <f>RTD("tos.rtd", , "OPEN", ".INDA201120P36")</f>
        <v>N/A</v>
      </c>
      <c r="M282" t="str">
        <f>RTD("tos.rtd", , "DELTA", ".INDA201120P36")</f>
        <v>N/A</v>
      </c>
      <c r="N282" t="str">
        <f>RTD("tos.rtd", , "GAMMA", ".INDA201120P36")</f>
        <v>N/A</v>
      </c>
      <c r="O282" t="str">
        <f>RTD("tos.rtd", , "THETA", ".INDA201120P36")</f>
        <v>N/A</v>
      </c>
      <c r="P282" t="str">
        <f>RTD("tos.rtd", , "VEGA", ".INDA201120P36")</f>
        <v>N/A</v>
      </c>
      <c r="Q282" t="str">
        <f>RTD("tos.rtd", , "RHO", ".INDA201120P36")</f>
        <v>N/A</v>
      </c>
      <c r="R282" t="str">
        <f>RTD("tos.rtd", , "INTRINSIC", ".INDA201120P36")</f>
        <v>N/A</v>
      </c>
      <c r="S282" t="str">
        <f>RTD("tos.rtd", , "EXTRINSIC", ".INDA201120P36")</f>
        <v>N/A</v>
      </c>
      <c r="T282" t="str">
        <f>RTD("tos.rtd", , "PROB_OF_EXPIRING", ".INDA201120P36")</f>
        <v>N/A</v>
      </c>
      <c r="U282" t="str">
        <f>RTD("tos.rtd", , "PROB_OTM", ".INDA201120P36")</f>
        <v>N/A</v>
      </c>
      <c r="V282" t="str">
        <f>RTD("tos.rtd", , "PROB_OF_TOUCHING", ".INDA201120P36")</f>
        <v>N/A</v>
      </c>
      <c r="W282" t="str">
        <f>RTD("tos.rtd", , "STRIKE", ".INDA201120P36")</f>
        <v>N/A</v>
      </c>
    </row>
    <row r="283" spans="1:23" x14ac:dyDescent="0.45">
      <c r="A283" t="s">
        <v>304</v>
      </c>
      <c r="B283" t="str">
        <f>RTD("tos.rtd", , "DESCRIPTION", ".INDA201120C36.5")</f>
        <v>N/A</v>
      </c>
      <c r="C283" t="str">
        <f>RTD("tos.rtd", , "PUT_CALL_RATIO", ".INDA201120C36.5")</f>
        <v>N/A</v>
      </c>
      <c r="D283" t="str">
        <f>RTD("tos.rtd", , "IMPL_VOL", ".INDA201120C36.5")</f>
        <v>N/A</v>
      </c>
      <c r="E283" t="str">
        <f>RTD("tos.rtd", , "LAST", ".INDA201120C36.5")</f>
        <v>N/A</v>
      </c>
      <c r="F283" t="str">
        <f>RTD("tos.rtd", , "VOLUME", ".INDA201120C36.5")</f>
        <v>N/A</v>
      </c>
      <c r="G283" t="str">
        <f>RTD("tos.rtd", , "OPEN_INT", ".INDA201120C36.5")</f>
        <v>N/A</v>
      </c>
      <c r="H283" t="str">
        <f>RTD("tos.rtd", , "BID", ".INDA201120C36.5")</f>
        <v>N/A</v>
      </c>
      <c r="I283" t="str">
        <f>RTD("tos.rtd", , "ASK", ".INDA201120C36.5")</f>
        <v>N/A</v>
      </c>
      <c r="J283" t="str">
        <f>RTD("tos.rtd", , "HIGH", ".INDA201120C36.5")</f>
        <v>N/A</v>
      </c>
      <c r="K283" t="str">
        <f>RTD("tos.rtd", , "LOW", ".INDA201120C36.5")</f>
        <v>N/A</v>
      </c>
      <c r="L283" t="str">
        <f>RTD("tos.rtd", , "OPEN", ".INDA201120C36.5")</f>
        <v>N/A</v>
      </c>
      <c r="M283" t="str">
        <f>RTD("tos.rtd", , "DELTA", ".INDA201120C36.5")</f>
        <v>N/A</v>
      </c>
      <c r="N283" t="str">
        <f>RTD("tos.rtd", , "GAMMA", ".INDA201120C36.5")</f>
        <v>N/A</v>
      </c>
      <c r="O283" t="str">
        <f>RTD("tos.rtd", , "THETA", ".INDA201120C36.5")</f>
        <v>N/A</v>
      </c>
      <c r="P283" t="str">
        <f>RTD("tos.rtd", , "VEGA", ".INDA201120C36.5")</f>
        <v>N/A</v>
      </c>
      <c r="Q283" t="str">
        <f>RTD("tos.rtd", , "RHO", ".INDA201120C36.5")</f>
        <v>N/A</v>
      </c>
      <c r="R283" t="str">
        <f>RTD("tos.rtd", , "INTRINSIC", ".INDA201120C36.5")</f>
        <v>N/A</v>
      </c>
      <c r="S283" t="str">
        <f>RTD("tos.rtd", , "EXTRINSIC", ".INDA201120C36.5")</f>
        <v>N/A</v>
      </c>
      <c r="T283" t="str">
        <f>RTD("tos.rtd", , "PROB_OF_EXPIRING", ".INDA201120C36.5")</f>
        <v>N/A</v>
      </c>
      <c r="U283" t="str">
        <f>RTD("tos.rtd", , "PROB_OTM", ".INDA201120C36.5")</f>
        <v>N/A</v>
      </c>
      <c r="V283" t="str">
        <f>RTD("tos.rtd", , "PROB_OF_TOUCHING", ".INDA201120C36.5")</f>
        <v>N/A</v>
      </c>
      <c r="W283" t="str">
        <f>RTD("tos.rtd", , "STRIKE", ".INDA201120C36.5")</f>
        <v>N/A</v>
      </c>
    </row>
    <row r="284" spans="1:23" x14ac:dyDescent="0.45">
      <c r="A284" t="s">
        <v>305</v>
      </c>
      <c r="B284" t="str">
        <f>RTD("tos.rtd", , "DESCRIPTION", ".INDA201120P36.5")</f>
        <v>N/A</v>
      </c>
      <c r="C284" t="str">
        <f>RTD("tos.rtd", , "PUT_CALL_RATIO", ".INDA201120P36.5")</f>
        <v>N/A</v>
      </c>
      <c r="D284" t="str">
        <f>RTD("tos.rtd", , "IMPL_VOL", ".INDA201120P36.5")</f>
        <v>N/A</v>
      </c>
      <c r="E284">
        <f>RTD("tos.rtd", , "LAST", ".INDA201120P36.5")</f>
        <v>0</v>
      </c>
      <c r="F284">
        <f>RTD("tos.rtd", , "VOLUME", ".INDA201120P36.5")</f>
        <v>0</v>
      </c>
      <c r="G284">
        <f>RTD("tos.rtd", , "OPEN_INT", ".INDA201120P36.5")</f>
        <v>0</v>
      </c>
      <c r="H284">
        <f>RTD("tos.rtd", , "BID", ".INDA201120P36.5")</f>
        <v>0.68</v>
      </c>
      <c r="I284">
        <f>RTD("tos.rtd", , "ASK", ".INDA201120P36.5")</f>
        <v>1.35</v>
      </c>
      <c r="J284">
        <f>RTD("tos.rtd", , "HIGH", ".INDA201120P36.5")</f>
        <v>0</v>
      </c>
      <c r="K284">
        <f>RTD("tos.rtd", , "LOW", ".INDA201120P36.5")</f>
        <v>0</v>
      </c>
      <c r="L284">
        <f>RTD("tos.rtd", , "OPEN", ".INDA201120P36.5")</f>
        <v>0</v>
      </c>
      <c r="M284" t="str">
        <f>RTD("tos.rtd", , "DELTA", ".INDA201120P36.5")</f>
        <v>N/A</v>
      </c>
      <c r="N284" t="str">
        <f>RTD("tos.rtd", , "GAMMA", ".INDA201120P36.5")</f>
        <v>N/A</v>
      </c>
      <c r="O284" t="str">
        <f>RTD("tos.rtd", , "THETA", ".INDA201120P36.5")</f>
        <v>N/A</v>
      </c>
      <c r="P284" t="str">
        <f>RTD("tos.rtd", , "VEGA", ".INDA201120P36.5")</f>
        <v>N/A</v>
      </c>
      <c r="Q284" t="str">
        <f>RTD("tos.rtd", , "RHO", ".INDA201120P36.5")</f>
        <v>N/A</v>
      </c>
      <c r="R284" t="str">
        <f>RTD("tos.rtd", , "INTRINSIC", ".INDA201120P36.5")</f>
        <v>N/A</v>
      </c>
      <c r="S284" t="str">
        <f>RTD("tos.rtd", , "EXTRINSIC", ".INDA201120P36.5")</f>
        <v>N/A</v>
      </c>
      <c r="T284" t="str">
        <f>RTD("tos.rtd", , "PROB_OF_EXPIRING", ".INDA201120P36.5")</f>
        <v>N/A</v>
      </c>
      <c r="U284" t="str">
        <f>RTD("tos.rtd", , "PROB_OTM", ".INDA201120P36.5")</f>
        <v>N/A</v>
      </c>
      <c r="V284" t="str">
        <f>RTD("tos.rtd", , "PROB_OF_TOUCHING", ".INDA201120P36.5")</f>
        <v>N/A</v>
      </c>
      <c r="W284" t="str">
        <f>RTD("tos.rtd", , "STRIKE", ".INDA201120P36.5")</f>
        <v>N/A</v>
      </c>
    </row>
    <row r="285" spans="1:23" x14ac:dyDescent="0.45">
      <c r="A285" t="s">
        <v>306</v>
      </c>
      <c r="B285" t="str">
        <f>RTD("tos.rtd", , "DESCRIPTION", "INDY")</f>
        <v>N/A</v>
      </c>
      <c r="C285">
        <f>RTD("tos.rtd", , "PUT_CALL_RATIO", "INDY")</f>
        <v>0.75</v>
      </c>
      <c r="D285" t="str">
        <f>RTD("tos.rtd", , "IMPL_VOL", "INDY")</f>
        <v>21.91%</v>
      </c>
      <c r="E285">
        <f>RTD("tos.rtd", , "LAST", "INDY")</f>
        <v>37.83</v>
      </c>
      <c r="F285">
        <f>RTD("tos.rtd", , "VOLUME", "INDY")</f>
        <v>1733845</v>
      </c>
      <c r="G285">
        <f>RTD("tos.rtd", , "OPEN_INT", "INDY")</f>
        <v>0</v>
      </c>
      <c r="H285">
        <f>RTD("tos.rtd", , "BID", "INDY")</f>
        <v>35.9</v>
      </c>
      <c r="I285">
        <f>RTD("tos.rtd", , "ASK", "INDY")</f>
        <v>4294.67</v>
      </c>
      <c r="J285">
        <f>RTD("tos.rtd", , "HIGH", "INDY")</f>
        <v>38.130000000000003</v>
      </c>
      <c r="K285">
        <f>RTD("tos.rtd", , "LOW", "INDY")</f>
        <v>37.799999999999997</v>
      </c>
      <c r="L285">
        <f>RTD("tos.rtd", , "OPEN", "INDY")</f>
        <v>38.08</v>
      </c>
      <c r="M285">
        <f>RTD("tos.rtd", , "DELTA", "INDY")</f>
        <v>1</v>
      </c>
      <c r="N285">
        <f>RTD("tos.rtd", , "GAMMA", "INDY")</f>
        <v>0</v>
      </c>
      <c r="O285">
        <f>RTD("tos.rtd", , "THETA", "INDY")</f>
        <v>0</v>
      </c>
      <c r="P285">
        <f>RTD("tos.rtd", , "VEGA", "INDY")</f>
        <v>0</v>
      </c>
      <c r="Q285">
        <f>RTD("tos.rtd", , "RHO", "INDY")</f>
        <v>0</v>
      </c>
      <c r="R285" t="str">
        <f>RTD("tos.rtd", , "INTRINSIC", "INDY")</f>
        <v>N/A</v>
      </c>
      <c r="S285" t="str">
        <f>RTD("tos.rtd", , "EXTRINSIC", "INDY")</f>
        <v>N/A</v>
      </c>
      <c r="T285" t="str">
        <f>RTD("tos.rtd", , "PROB_OF_EXPIRING", "INDY")</f>
        <v>N/A</v>
      </c>
      <c r="U285" t="str">
        <f>RTD("tos.rtd", , "PROB_OTM", "INDY")</f>
        <v>N/A</v>
      </c>
      <c r="V285" t="str">
        <f>RTD("tos.rtd", , "PROB_OF_TOUCHING", "INDY")</f>
        <v>N/A</v>
      </c>
      <c r="W285" t="str">
        <f>RTD("tos.rtd", , "STRIKE", "INDY")</f>
        <v>N/A</v>
      </c>
    </row>
    <row r="286" spans="1:23" x14ac:dyDescent="0.45">
      <c r="A286" t="s">
        <v>307</v>
      </c>
      <c r="B286" t="str">
        <f>RTD("tos.rtd", , "DESCRIPTION", ".INDY201120C38")</f>
        <v>N/A</v>
      </c>
      <c r="C286" t="str">
        <f>RTD("tos.rtd", , "PUT_CALL_RATIO", ".INDY201120C38")</f>
        <v>N/A</v>
      </c>
      <c r="D286" t="str">
        <f>RTD("tos.rtd", , "IMPL_VOL", ".INDY201120C38")</f>
        <v>N/A</v>
      </c>
      <c r="E286">
        <f>RTD("tos.rtd", , "LAST", ".INDY201120C38")</f>
        <v>0.59</v>
      </c>
      <c r="F286">
        <f>RTD("tos.rtd", , "VOLUME", ".INDY201120C38")</f>
        <v>0</v>
      </c>
      <c r="G286">
        <f>RTD("tos.rtd", , "OPEN_INT", ".INDY201120C38")</f>
        <v>11</v>
      </c>
      <c r="H286">
        <f>RTD("tos.rtd", , "BID", ".INDY201120C38")</f>
        <v>0.1</v>
      </c>
      <c r="I286">
        <f>RTD("tos.rtd", , "ASK", ".INDY201120C38")</f>
        <v>1.1000000000000001</v>
      </c>
      <c r="J286">
        <f>RTD("tos.rtd", , "HIGH", ".INDY201120C38")</f>
        <v>0</v>
      </c>
      <c r="K286">
        <f>RTD("tos.rtd", , "LOW", ".INDY201120C38")</f>
        <v>0</v>
      </c>
      <c r="L286">
        <f>RTD("tos.rtd", , "OPEN", ".INDY201120C38")</f>
        <v>0</v>
      </c>
      <c r="M286" t="str">
        <f>RTD("tos.rtd", , "DELTA", ".INDY201120C38")</f>
        <v>N/A</v>
      </c>
      <c r="N286" t="str">
        <f>RTD("tos.rtd", , "GAMMA", ".INDY201120C38")</f>
        <v>N/A</v>
      </c>
      <c r="O286" t="str">
        <f>RTD("tos.rtd", , "THETA", ".INDY201120C38")</f>
        <v>N/A</v>
      </c>
      <c r="P286" t="str">
        <f>RTD("tos.rtd", , "VEGA", ".INDY201120C38")</f>
        <v>N/A</v>
      </c>
      <c r="Q286" t="str">
        <f>RTD("tos.rtd", , "RHO", ".INDY201120C38")</f>
        <v>N/A</v>
      </c>
      <c r="R286" t="str">
        <f>RTD("tos.rtd", , "INTRINSIC", ".INDY201120C38")</f>
        <v>N/A</v>
      </c>
      <c r="S286" t="str">
        <f>RTD("tos.rtd", , "EXTRINSIC", ".INDY201120C38")</f>
        <v>N/A</v>
      </c>
      <c r="T286" t="str">
        <f>RTD("tos.rtd", , "PROB_OF_EXPIRING", ".INDY201120C38")</f>
        <v>N/A</v>
      </c>
      <c r="U286" t="str">
        <f>RTD("tos.rtd", , "PROB_OTM", ".INDY201120C38")</f>
        <v>N/A</v>
      </c>
      <c r="V286" t="str">
        <f>RTD("tos.rtd", , "PROB_OF_TOUCHING", ".INDY201120C38")</f>
        <v>N/A</v>
      </c>
      <c r="W286" t="str">
        <f>RTD("tos.rtd", , "STRIKE", ".INDY201120C38")</f>
        <v>N/A</v>
      </c>
    </row>
    <row r="287" spans="1:23" x14ac:dyDescent="0.45">
      <c r="A287" t="s">
        <v>308</v>
      </c>
      <c r="B287" t="str">
        <f>RTD("tos.rtd", , "DESCRIPTION", ".INDY201120P38")</f>
        <v>N/A</v>
      </c>
      <c r="C287" t="str">
        <f>RTD("tos.rtd", , "PUT_CALL_RATIO", ".INDY201120P38")</f>
        <v>N/A</v>
      </c>
      <c r="D287" t="str">
        <f>RTD("tos.rtd", , "IMPL_VOL", ".INDY201120P38")</f>
        <v>N/A</v>
      </c>
      <c r="E287" t="str">
        <f>RTD("tos.rtd", , "LAST", ".INDY201120P38")</f>
        <v>N/A</v>
      </c>
      <c r="F287" t="str">
        <f>RTD("tos.rtd", , "VOLUME", ".INDY201120P38")</f>
        <v>N/A</v>
      </c>
      <c r="G287" t="str">
        <f>RTD("tos.rtd", , "OPEN_INT", ".INDY201120P38")</f>
        <v>N/A</v>
      </c>
      <c r="H287" t="str">
        <f>RTD("tos.rtd", , "BID", ".INDY201120P38")</f>
        <v>N/A</v>
      </c>
      <c r="I287" t="str">
        <f>RTD("tos.rtd", , "ASK", ".INDY201120P38")</f>
        <v>N/A</v>
      </c>
      <c r="J287" t="str">
        <f>RTD("tos.rtd", , "HIGH", ".INDY201120P38")</f>
        <v>N/A</v>
      </c>
      <c r="K287" t="str">
        <f>RTD("tos.rtd", , "LOW", ".INDY201120P38")</f>
        <v>N/A</v>
      </c>
      <c r="L287" t="str">
        <f>RTD("tos.rtd", , "OPEN", ".INDY201120P38")</f>
        <v>N/A</v>
      </c>
      <c r="M287" t="str">
        <f>RTD("tos.rtd", , "DELTA", ".INDY201120P38")</f>
        <v>N/A</v>
      </c>
      <c r="N287" t="str">
        <f>RTD("tos.rtd", , "GAMMA", ".INDY201120P38")</f>
        <v>N/A</v>
      </c>
      <c r="O287" t="str">
        <f>RTD("tos.rtd", , "THETA", ".INDY201120P38")</f>
        <v>N/A</v>
      </c>
      <c r="P287" t="str">
        <f>RTD("tos.rtd", , "VEGA", ".INDY201120P38")</f>
        <v>N/A</v>
      </c>
      <c r="Q287" t="str">
        <f>RTD("tos.rtd", , "RHO", ".INDY201120P38")</f>
        <v>N/A</v>
      </c>
      <c r="R287" t="str">
        <f>RTD("tos.rtd", , "INTRINSIC", ".INDY201120P38")</f>
        <v>N/A</v>
      </c>
      <c r="S287" t="str">
        <f>RTD("tos.rtd", , "EXTRINSIC", ".INDY201120P38")</f>
        <v>N/A</v>
      </c>
      <c r="T287" t="str">
        <f>RTD("tos.rtd", , "PROB_OF_EXPIRING", ".INDY201120P38")</f>
        <v>N/A</v>
      </c>
      <c r="U287" t="str">
        <f>RTD("tos.rtd", , "PROB_OTM", ".INDY201120P38")</f>
        <v>N/A</v>
      </c>
      <c r="V287" t="str">
        <f>RTD("tos.rtd", , "PROB_OF_TOUCHING", ".INDY201120P38")</f>
        <v>N/A</v>
      </c>
      <c r="W287" t="str">
        <f>RTD("tos.rtd", , "STRIKE", ".INDY201120P38")</f>
        <v>N/A</v>
      </c>
    </row>
    <row r="288" spans="1:23" x14ac:dyDescent="0.45">
      <c r="A288" t="s">
        <v>309</v>
      </c>
      <c r="B288" t="str">
        <f>RTD("tos.rtd", , "DESCRIPTION", "ITB")</f>
        <v>N/A</v>
      </c>
      <c r="C288">
        <f>RTD("tos.rtd", , "PUT_CALL_RATIO", "ITB")</f>
        <v>0.42</v>
      </c>
      <c r="D288" t="str">
        <f>RTD("tos.rtd", , "IMPL_VOL", "ITB")</f>
        <v>35.22%</v>
      </c>
      <c r="E288">
        <f>RTD("tos.rtd", , "LAST", "ITB")</f>
        <v>54.41</v>
      </c>
      <c r="F288">
        <f>RTD("tos.rtd", , "VOLUME", "ITB")</f>
        <v>4736074</v>
      </c>
      <c r="G288">
        <f>RTD("tos.rtd", , "OPEN_INT", "ITB")</f>
        <v>0</v>
      </c>
      <c r="H288">
        <f>RTD("tos.rtd", , "BID", "ITB")</f>
        <v>53.78</v>
      </c>
      <c r="I288">
        <f>RTD("tos.rtd", , "ASK", "ITB")</f>
        <v>55.16</v>
      </c>
      <c r="J288">
        <f>RTD("tos.rtd", , "HIGH", "ITB")</f>
        <v>55.8</v>
      </c>
      <c r="K288">
        <f>RTD("tos.rtd", , "LOW", "ITB")</f>
        <v>53.86</v>
      </c>
      <c r="L288">
        <f>RTD("tos.rtd", , "OPEN", "ITB")</f>
        <v>55.37</v>
      </c>
      <c r="M288">
        <f>RTD("tos.rtd", , "DELTA", "ITB")</f>
        <v>1</v>
      </c>
      <c r="N288">
        <f>RTD("tos.rtd", , "GAMMA", "ITB")</f>
        <v>0</v>
      </c>
      <c r="O288">
        <f>RTD("tos.rtd", , "THETA", "ITB")</f>
        <v>0</v>
      </c>
      <c r="P288">
        <f>RTD("tos.rtd", , "VEGA", "ITB")</f>
        <v>0</v>
      </c>
      <c r="Q288">
        <f>RTD("tos.rtd", , "RHO", "ITB")</f>
        <v>0</v>
      </c>
      <c r="R288" t="str">
        <f>RTD("tos.rtd", , "INTRINSIC", "ITB")</f>
        <v>N/A</v>
      </c>
      <c r="S288" t="str">
        <f>RTD("tos.rtd", , "EXTRINSIC", "ITB")</f>
        <v>N/A</v>
      </c>
      <c r="T288" t="str">
        <f>RTD("tos.rtd", , "PROB_OF_EXPIRING", "ITB")</f>
        <v>N/A</v>
      </c>
      <c r="U288" t="str">
        <f>RTD("tos.rtd", , "PROB_OTM", "ITB")</f>
        <v>N/A</v>
      </c>
      <c r="V288" t="str">
        <f>RTD("tos.rtd", , "PROB_OF_TOUCHING", "ITB")</f>
        <v>N/A</v>
      </c>
      <c r="W288" t="str">
        <f>RTD("tos.rtd", , "STRIKE", "ITB")</f>
        <v>N/A</v>
      </c>
    </row>
    <row r="289" spans="1:23" x14ac:dyDescent="0.45">
      <c r="A289" t="s">
        <v>310</v>
      </c>
      <c r="B289" t="str">
        <f>RTD("tos.rtd", , "DESCRIPTION", ".ITB201120C54.5")</f>
        <v>N/A</v>
      </c>
      <c r="C289" t="str">
        <f>RTD("tos.rtd", , "PUT_CALL_RATIO", ".ITB201120C54.5")</f>
        <v>N/A</v>
      </c>
      <c r="D289" t="str">
        <f>RTD("tos.rtd", , "IMPL_VOL", ".ITB201120C54.5")</f>
        <v>N/A</v>
      </c>
      <c r="E289" t="str">
        <f>RTD("tos.rtd", , "LAST", ".ITB201120C54.5")</f>
        <v>N/A</v>
      </c>
      <c r="F289" t="str">
        <f>RTD("tos.rtd", , "VOLUME", ".ITB201120C54.5")</f>
        <v>N/A</v>
      </c>
      <c r="G289" t="str">
        <f>RTD("tos.rtd", , "OPEN_INT", ".ITB201120C54.5")</f>
        <v>N/A</v>
      </c>
      <c r="H289" t="str">
        <f>RTD("tos.rtd", , "BID", ".ITB201120C54.5")</f>
        <v>N/A</v>
      </c>
      <c r="I289" t="str">
        <f>RTD("tos.rtd", , "ASK", ".ITB201120C54.5")</f>
        <v>N/A</v>
      </c>
      <c r="J289" t="str">
        <f>RTD("tos.rtd", , "HIGH", ".ITB201120C54.5")</f>
        <v>N/A</v>
      </c>
      <c r="K289" t="str">
        <f>RTD("tos.rtd", , "LOW", ".ITB201120C54.5")</f>
        <v>N/A</v>
      </c>
      <c r="L289" t="str">
        <f>RTD("tos.rtd", , "OPEN", ".ITB201120C54.5")</f>
        <v>N/A</v>
      </c>
      <c r="M289" t="str">
        <f>RTD("tos.rtd", , "DELTA", ".ITB201120C54.5")</f>
        <v>N/A</v>
      </c>
      <c r="N289" t="str">
        <f>RTD("tos.rtd", , "GAMMA", ".ITB201120C54.5")</f>
        <v>N/A</v>
      </c>
      <c r="O289" t="str">
        <f>RTD("tos.rtd", , "THETA", ".ITB201120C54.5")</f>
        <v>N/A</v>
      </c>
      <c r="P289" t="str">
        <f>RTD("tos.rtd", , "VEGA", ".ITB201120C54.5")</f>
        <v>N/A</v>
      </c>
      <c r="Q289" t="str">
        <f>RTD("tos.rtd", , "RHO", ".ITB201120C54.5")</f>
        <v>N/A</v>
      </c>
      <c r="R289" t="str">
        <f>RTD("tos.rtd", , "INTRINSIC", ".ITB201120C54.5")</f>
        <v>N/A</v>
      </c>
      <c r="S289" t="str">
        <f>RTD("tos.rtd", , "EXTRINSIC", ".ITB201120C54.5")</f>
        <v>N/A</v>
      </c>
      <c r="T289" t="str">
        <f>RTD("tos.rtd", , "PROB_OF_EXPIRING", ".ITB201120C54.5")</f>
        <v>N/A</v>
      </c>
      <c r="U289" t="str">
        <f>RTD("tos.rtd", , "PROB_OTM", ".ITB201120C54.5")</f>
        <v>N/A</v>
      </c>
      <c r="V289" t="str">
        <f>RTD("tos.rtd", , "PROB_OF_TOUCHING", ".ITB201120C54.5")</f>
        <v>N/A</v>
      </c>
      <c r="W289" t="str">
        <f>RTD("tos.rtd", , "STRIKE", ".ITB201120C54.5")</f>
        <v>N/A</v>
      </c>
    </row>
    <row r="290" spans="1:23" x14ac:dyDescent="0.45">
      <c r="A290" t="s">
        <v>311</v>
      </c>
      <c r="B290" t="str">
        <f>RTD("tos.rtd", , "DESCRIPTION", ".ITB201120P54.5")</f>
        <v>N/A</v>
      </c>
      <c r="C290" t="str">
        <f>RTD("tos.rtd", , "PUT_CALL_RATIO", ".ITB201120P54.5")</f>
        <v>N/A</v>
      </c>
      <c r="D290" t="str">
        <f>RTD("tos.rtd", , "IMPL_VOL", ".ITB201120P54.5")</f>
        <v>N/A</v>
      </c>
      <c r="E290" t="str">
        <f>RTD("tos.rtd", , "LAST", ".ITB201120P54.5")</f>
        <v>N/A</v>
      </c>
      <c r="F290" t="str">
        <f>RTD("tos.rtd", , "VOLUME", ".ITB201120P54.5")</f>
        <v>N/A</v>
      </c>
      <c r="G290" t="str">
        <f>RTD("tos.rtd", , "OPEN_INT", ".ITB201120P54.5")</f>
        <v>N/A</v>
      </c>
      <c r="H290" t="str">
        <f>RTD("tos.rtd", , "BID", ".ITB201120P54.5")</f>
        <v>N/A</v>
      </c>
      <c r="I290" t="str">
        <f>RTD("tos.rtd", , "ASK", ".ITB201120P54.5")</f>
        <v>N/A</v>
      </c>
      <c r="J290" t="str">
        <f>RTD("tos.rtd", , "HIGH", ".ITB201120P54.5")</f>
        <v>N/A</v>
      </c>
      <c r="K290" t="str">
        <f>RTD("tos.rtd", , "LOW", ".ITB201120P54.5")</f>
        <v>N/A</v>
      </c>
      <c r="L290" t="str">
        <f>RTD("tos.rtd", , "OPEN", ".ITB201120P54.5")</f>
        <v>N/A</v>
      </c>
      <c r="M290" t="str">
        <f>RTD("tos.rtd", , "DELTA", ".ITB201120P54.5")</f>
        <v>N/A</v>
      </c>
      <c r="N290" t="str">
        <f>RTD("tos.rtd", , "GAMMA", ".ITB201120P54.5")</f>
        <v>N/A</v>
      </c>
      <c r="O290" t="str">
        <f>RTD("tos.rtd", , "THETA", ".ITB201120P54.5")</f>
        <v>N/A</v>
      </c>
      <c r="P290" t="str">
        <f>RTD("tos.rtd", , "VEGA", ".ITB201120P54.5")</f>
        <v>N/A</v>
      </c>
      <c r="Q290" t="str">
        <f>RTD("tos.rtd", , "RHO", ".ITB201120P54.5")</f>
        <v>N/A</v>
      </c>
      <c r="R290" t="str">
        <f>RTD("tos.rtd", , "INTRINSIC", ".ITB201120P54.5")</f>
        <v>N/A</v>
      </c>
      <c r="S290" t="str">
        <f>RTD("tos.rtd", , "EXTRINSIC", ".ITB201120P54.5")</f>
        <v>N/A</v>
      </c>
      <c r="T290" t="str">
        <f>RTD("tos.rtd", , "PROB_OF_EXPIRING", ".ITB201120P54.5")</f>
        <v>N/A</v>
      </c>
      <c r="U290" t="str">
        <f>RTD("tos.rtd", , "PROB_OTM", ".ITB201120P54.5")</f>
        <v>N/A</v>
      </c>
      <c r="V290" t="str">
        <f>RTD("tos.rtd", , "PROB_OF_TOUCHING", ".ITB201120P54.5")</f>
        <v>N/A</v>
      </c>
      <c r="W290" t="str">
        <f>RTD("tos.rtd", , "STRIKE", ".ITB201120P54.5")</f>
        <v>N/A</v>
      </c>
    </row>
    <row r="291" spans="1:23" x14ac:dyDescent="0.45">
      <c r="A291" t="s">
        <v>312</v>
      </c>
      <c r="B291" t="str">
        <f>RTD("tos.rtd", , "DESCRIPTION", ".ITB201120C55")</f>
        <v>N/A</v>
      </c>
      <c r="C291" t="str">
        <f>RTD("tos.rtd", , "PUT_CALL_RATIO", ".ITB201120C55")</f>
        <v>N/A</v>
      </c>
      <c r="D291" t="str">
        <f>RTD("tos.rtd", , "IMPL_VOL", ".ITB201120C55")</f>
        <v>N/A</v>
      </c>
      <c r="E291" t="str">
        <f>RTD("tos.rtd", , "LAST", ".ITB201120C55")</f>
        <v>N/A</v>
      </c>
      <c r="F291" t="str">
        <f>RTD("tos.rtd", , "VOLUME", ".ITB201120C55")</f>
        <v>N/A</v>
      </c>
      <c r="G291" t="str">
        <f>RTD("tos.rtd", , "OPEN_INT", ".ITB201120C55")</f>
        <v>N/A</v>
      </c>
      <c r="H291" t="str">
        <f>RTD("tos.rtd", , "BID", ".ITB201120C55")</f>
        <v>N/A</v>
      </c>
      <c r="I291" t="str">
        <f>RTD("tos.rtd", , "ASK", ".ITB201120C55")</f>
        <v>N/A</v>
      </c>
      <c r="J291" t="str">
        <f>RTD("tos.rtd", , "HIGH", ".ITB201120C55")</f>
        <v>N/A</v>
      </c>
      <c r="K291" t="str">
        <f>RTD("tos.rtd", , "LOW", ".ITB201120C55")</f>
        <v>N/A</v>
      </c>
      <c r="L291" t="str">
        <f>RTD("tos.rtd", , "OPEN", ".ITB201120C55")</f>
        <v>N/A</v>
      </c>
      <c r="M291" t="str">
        <f>RTD("tos.rtd", , "DELTA", ".ITB201120C55")</f>
        <v>N/A</v>
      </c>
      <c r="N291" t="str">
        <f>RTD("tos.rtd", , "GAMMA", ".ITB201120C55")</f>
        <v>N/A</v>
      </c>
      <c r="O291" t="str">
        <f>RTD("tos.rtd", , "THETA", ".ITB201120C55")</f>
        <v>N/A</v>
      </c>
      <c r="P291" t="str">
        <f>RTD("tos.rtd", , "VEGA", ".ITB201120C55")</f>
        <v>N/A</v>
      </c>
      <c r="Q291" t="str">
        <f>RTD("tos.rtd", , "RHO", ".ITB201120C55")</f>
        <v>N/A</v>
      </c>
      <c r="R291" t="str">
        <f>RTD("tos.rtd", , "INTRINSIC", ".ITB201120C55")</f>
        <v>N/A</v>
      </c>
      <c r="S291" t="str">
        <f>RTD("tos.rtd", , "EXTRINSIC", ".ITB201120C55")</f>
        <v>N/A</v>
      </c>
      <c r="T291" t="str">
        <f>RTD("tos.rtd", , "PROB_OF_EXPIRING", ".ITB201120C55")</f>
        <v>N/A</v>
      </c>
      <c r="U291" t="str">
        <f>RTD("tos.rtd", , "PROB_OTM", ".ITB201120C55")</f>
        <v>N/A</v>
      </c>
      <c r="V291" t="str">
        <f>RTD("tos.rtd", , "PROB_OF_TOUCHING", ".ITB201120C55")</f>
        <v>N/A</v>
      </c>
      <c r="W291" t="str">
        <f>RTD("tos.rtd", , "STRIKE", ".ITB201120C55")</f>
        <v>N/A</v>
      </c>
    </row>
    <row r="292" spans="1:23" x14ac:dyDescent="0.45">
      <c r="A292" t="s">
        <v>313</v>
      </c>
      <c r="B292" t="str">
        <f>RTD("tos.rtd", , "DESCRIPTION", ".ITB201120P55")</f>
        <v>N/A</v>
      </c>
      <c r="C292" t="str">
        <f>RTD("tos.rtd", , "PUT_CALL_RATIO", ".ITB201120P55")</f>
        <v>N/A</v>
      </c>
      <c r="D292" t="str">
        <f>RTD("tos.rtd", , "IMPL_VOL", ".ITB201120P55")</f>
        <v>N/A</v>
      </c>
      <c r="E292" t="str">
        <f>RTD("tos.rtd", , "LAST", ".ITB201120P55")</f>
        <v>N/A</v>
      </c>
      <c r="F292" t="str">
        <f>RTD("tos.rtd", , "VOLUME", ".ITB201120P55")</f>
        <v>N/A</v>
      </c>
      <c r="G292" t="str">
        <f>RTD("tos.rtd", , "OPEN_INT", ".ITB201120P55")</f>
        <v>N/A</v>
      </c>
      <c r="H292" t="str">
        <f>RTD("tos.rtd", , "BID", ".ITB201120P55")</f>
        <v>N/A</v>
      </c>
      <c r="I292" t="str">
        <f>RTD("tos.rtd", , "ASK", ".ITB201120P55")</f>
        <v>N/A</v>
      </c>
      <c r="J292" t="str">
        <f>RTD("tos.rtd", , "HIGH", ".ITB201120P55")</f>
        <v>N/A</v>
      </c>
      <c r="K292" t="str">
        <f>RTD("tos.rtd", , "LOW", ".ITB201120P55")</f>
        <v>N/A</v>
      </c>
      <c r="L292" t="str">
        <f>RTD("tos.rtd", , "OPEN", ".ITB201120P55")</f>
        <v>N/A</v>
      </c>
      <c r="M292" t="str">
        <f>RTD("tos.rtd", , "DELTA", ".ITB201120P55")</f>
        <v>N/A</v>
      </c>
      <c r="N292" t="str">
        <f>RTD("tos.rtd", , "GAMMA", ".ITB201120P55")</f>
        <v>N/A</v>
      </c>
      <c r="O292" t="str">
        <f>RTD("tos.rtd", , "THETA", ".ITB201120P55")</f>
        <v>N/A</v>
      </c>
      <c r="P292" t="str">
        <f>RTD("tos.rtd", , "VEGA", ".ITB201120P55")</f>
        <v>N/A</v>
      </c>
      <c r="Q292" t="str">
        <f>RTD("tos.rtd", , "RHO", ".ITB201120P55")</f>
        <v>N/A</v>
      </c>
      <c r="R292" t="str">
        <f>RTD("tos.rtd", , "INTRINSIC", ".ITB201120P55")</f>
        <v>N/A</v>
      </c>
      <c r="S292" t="str">
        <f>RTD("tos.rtd", , "EXTRINSIC", ".ITB201120P55")</f>
        <v>N/A</v>
      </c>
      <c r="T292" t="str">
        <f>RTD("tos.rtd", , "PROB_OF_EXPIRING", ".ITB201120P55")</f>
        <v>N/A</v>
      </c>
      <c r="U292" t="str">
        <f>RTD("tos.rtd", , "PROB_OTM", ".ITB201120P55")</f>
        <v>N/A</v>
      </c>
      <c r="V292" t="str">
        <f>RTD("tos.rtd", , "PROB_OF_TOUCHING", ".ITB201120P55")</f>
        <v>N/A</v>
      </c>
      <c r="W292" t="str">
        <f>RTD("tos.rtd", , "STRIKE", ".ITB201120P55")</f>
        <v>N/A</v>
      </c>
    </row>
    <row r="293" spans="1:23" x14ac:dyDescent="0.45">
      <c r="A293" t="s">
        <v>314</v>
      </c>
      <c r="B293" t="str">
        <f>RTD("tos.rtd", , "DESCRIPTION", ".ITB201120C55.5")</f>
        <v>N/A</v>
      </c>
      <c r="C293" t="str">
        <f>RTD("tos.rtd", , "PUT_CALL_RATIO", ".ITB201120C55.5")</f>
        <v>N/A</v>
      </c>
      <c r="D293" t="str">
        <f>RTD("tos.rtd", , "IMPL_VOL", ".ITB201120C55.5")</f>
        <v>N/A</v>
      </c>
      <c r="E293">
        <f>RTD("tos.rtd", , "LAST", ".ITB201120C55.5")</f>
        <v>1.19</v>
      </c>
      <c r="F293">
        <f>RTD("tos.rtd", , "VOLUME", ".ITB201120C55.5")</f>
        <v>2</v>
      </c>
      <c r="G293">
        <f>RTD("tos.rtd", , "OPEN_INT", ".ITB201120C55.5")</f>
        <v>48</v>
      </c>
      <c r="H293">
        <f>RTD("tos.rtd", , "BID", ".ITB201120C55.5")</f>
        <v>0.65</v>
      </c>
      <c r="I293">
        <f>RTD("tos.rtd", , "ASK", ".ITB201120C55.5")</f>
        <v>0.8</v>
      </c>
      <c r="J293">
        <f>RTD("tos.rtd", , "HIGH", ".ITB201120C55.5")</f>
        <v>1.19</v>
      </c>
      <c r="K293">
        <f>RTD("tos.rtd", , "LOW", ".ITB201120C55.5")</f>
        <v>1.19</v>
      </c>
      <c r="L293">
        <f>RTD("tos.rtd", , "OPEN", ".ITB201120C55.5")</f>
        <v>1.19</v>
      </c>
      <c r="M293" t="str">
        <f>RTD("tos.rtd", , "DELTA", ".ITB201120C55.5")</f>
        <v>N/A</v>
      </c>
      <c r="N293" t="str">
        <f>RTD("tos.rtd", , "GAMMA", ".ITB201120C55.5")</f>
        <v>N/A</v>
      </c>
      <c r="O293" t="str">
        <f>RTD("tos.rtd", , "THETA", ".ITB201120C55.5")</f>
        <v>N/A</v>
      </c>
      <c r="P293" t="str">
        <f>RTD("tos.rtd", , "VEGA", ".ITB201120C55.5")</f>
        <v>N/A</v>
      </c>
      <c r="Q293" t="str">
        <f>RTD("tos.rtd", , "RHO", ".ITB201120C55.5")</f>
        <v>N/A</v>
      </c>
      <c r="R293" t="str">
        <f>RTD("tos.rtd", , "INTRINSIC", ".ITB201120C55.5")</f>
        <v>N/A</v>
      </c>
      <c r="S293" t="str">
        <f>RTD("tos.rtd", , "EXTRINSIC", ".ITB201120C55.5")</f>
        <v>N/A</v>
      </c>
      <c r="T293" t="str">
        <f>RTD("tos.rtd", , "PROB_OF_EXPIRING", ".ITB201120C55.5")</f>
        <v>N/A</v>
      </c>
      <c r="U293" t="str">
        <f>RTD("tos.rtd", , "PROB_OTM", ".ITB201120C55.5")</f>
        <v>N/A</v>
      </c>
      <c r="V293" t="str">
        <f>RTD("tos.rtd", , "PROB_OF_TOUCHING", ".ITB201120C55.5")</f>
        <v>N/A</v>
      </c>
      <c r="W293" t="str">
        <f>RTD("tos.rtd", , "STRIKE", ".ITB201120C55.5")</f>
        <v>N/A</v>
      </c>
    </row>
    <row r="294" spans="1:23" x14ac:dyDescent="0.45">
      <c r="A294" t="s">
        <v>315</v>
      </c>
      <c r="B294" t="str">
        <f>RTD("tos.rtd", , "DESCRIPTION", ".ITB201120P55.5")</f>
        <v>N/A</v>
      </c>
      <c r="C294" t="str">
        <f>RTD("tos.rtd", , "PUT_CALL_RATIO", ".ITB201120P55.5")</f>
        <v>N/A</v>
      </c>
      <c r="D294" t="str">
        <f>RTD("tos.rtd", , "IMPL_VOL", ".ITB201120P55.5")</f>
        <v>N/A</v>
      </c>
      <c r="E294" t="str">
        <f>RTD("tos.rtd", , "LAST", ".ITB201120P55.5")</f>
        <v>N/A</v>
      </c>
      <c r="F294" t="str">
        <f>RTD("tos.rtd", , "VOLUME", ".ITB201120P55.5")</f>
        <v>N/A</v>
      </c>
      <c r="G294" t="str">
        <f>RTD("tos.rtd", , "OPEN_INT", ".ITB201120P55.5")</f>
        <v>N/A</v>
      </c>
      <c r="H294" t="str">
        <f>RTD("tos.rtd", , "BID", ".ITB201120P55.5")</f>
        <v>N/A</v>
      </c>
      <c r="I294" t="str">
        <f>RTD("tos.rtd", , "ASK", ".ITB201120P55.5")</f>
        <v>N/A</v>
      </c>
      <c r="J294" t="str">
        <f>RTD("tos.rtd", , "HIGH", ".ITB201120P55.5")</f>
        <v>N/A</v>
      </c>
      <c r="K294" t="str">
        <f>RTD("tos.rtd", , "LOW", ".ITB201120P55.5")</f>
        <v>N/A</v>
      </c>
      <c r="L294" t="str">
        <f>RTD("tos.rtd", , "OPEN", ".ITB201120P55.5")</f>
        <v>N/A</v>
      </c>
      <c r="M294" t="str">
        <f>RTD("tos.rtd", , "DELTA", ".ITB201120P55.5")</f>
        <v>N/A</v>
      </c>
      <c r="N294" t="str">
        <f>RTD("tos.rtd", , "GAMMA", ".ITB201120P55.5")</f>
        <v>N/A</v>
      </c>
      <c r="O294" t="str">
        <f>RTD("tos.rtd", , "THETA", ".ITB201120P55.5")</f>
        <v>N/A</v>
      </c>
      <c r="P294" t="str">
        <f>RTD("tos.rtd", , "VEGA", ".ITB201120P55.5")</f>
        <v>N/A</v>
      </c>
      <c r="Q294" t="str">
        <f>RTD("tos.rtd", , "RHO", ".ITB201120P55.5")</f>
        <v>N/A</v>
      </c>
      <c r="R294" t="str">
        <f>RTD("tos.rtd", , "INTRINSIC", ".ITB201120P55.5")</f>
        <v>N/A</v>
      </c>
      <c r="S294" t="str">
        <f>RTD("tos.rtd", , "EXTRINSIC", ".ITB201120P55.5")</f>
        <v>N/A</v>
      </c>
      <c r="T294" t="str">
        <f>RTD("tos.rtd", , "PROB_OF_EXPIRING", ".ITB201120P55.5")</f>
        <v>N/A</v>
      </c>
      <c r="U294" t="str">
        <f>RTD("tos.rtd", , "PROB_OTM", ".ITB201120P55.5")</f>
        <v>N/A</v>
      </c>
      <c r="V294" t="str">
        <f>RTD("tos.rtd", , "PROB_OF_TOUCHING", ".ITB201120P55.5")</f>
        <v>N/A</v>
      </c>
      <c r="W294" t="str">
        <f>RTD("tos.rtd", , "STRIKE", ".ITB201120P55.5")</f>
        <v>N/A</v>
      </c>
    </row>
    <row r="295" spans="1:23" x14ac:dyDescent="0.45">
      <c r="A295" t="s">
        <v>316</v>
      </c>
      <c r="B295" t="str">
        <f>RTD("tos.rtd", , "DESCRIPTION", ".ITB201120C56")</f>
        <v>N/A</v>
      </c>
      <c r="C295" t="str">
        <f>RTD("tos.rtd", , "PUT_CALL_RATIO", ".ITB201120C56")</f>
        <v>N/A</v>
      </c>
      <c r="D295" t="str">
        <f>RTD("tos.rtd", , "IMPL_VOL", ".ITB201120C56")</f>
        <v>N/A</v>
      </c>
      <c r="E295" t="str">
        <f>RTD("tos.rtd", , "LAST", ".ITB201120C56")</f>
        <v>N/A</v>
      </c>
      <c r="F295" t="str">
        <f>RTD("tos.rtd", , "VOLUME", ".ITB201120C56")</f>
        <v>N/A</v>
      </c>
      <c r="G295" t="str">
        <f>RTD("tos.rtd", , "OPEN_INT", ".ITB201120C56")</f>
        <v>N/A</v>
      </c>
      <c r="H295" t="str">
        <f>RTD("tos.rtd", , "BID", ".ITB201120C56")</f>
        <v>N/A</v>
      </c>
      <c r="I295" t="str">
        <f>RTD("tos.rtd", , "ASK", ".ITB201120C56")</f>
        <v>N/A</v>
      </c>
      <c r="J295" t="str">
        <f>RTD("tos.rtd", , "HIGH", ".ITB201120C56")</f>
        <v>N/A</v>
      </c>
      <c r="K295" t="str">
        <f>RTD("tos.rtd", , "LOW", ".ITB201120C56")</f>
        <v>N/A</v>
      </c>
      <c r="L295" t="str">
        <f>RTD("tos.rtd", , "OPEN", ".ITB201120C56")</f>
        <v>N/A</v>
      </c>
      <c r="M295" t="str">
        <f>RTD("tos.rtd", , "DELTA", ".ITB201120C56")</f>
        <v>N/A</v>
      </c>
      <c r="N295" t="str">
        <f>RTD("tos.rtd", , "GAMMA", ".ITB201120C56")</f>
        <v>N/A</v>
      </c>
      <c r="O295" t="str">
        <f>RTD("tos.rtd", , "THETA", ".ITB201120C56")</f>
        <v>N/A</v>
      </c>
      <c r="P295" t="str">
        <f>RTD("tos.rtd", , "VEGA", ".ITB201120C56")</f>
        <v>N/A</v>
      </c>
      <c r="Q295" t="str">
        <f>RTD("tos.rtd", , "RHO", ".ITB201120C56")</f>
        <v>N/A</v>
      </c>
      <c r="R295" t="str">
        <f>RTD("tos.rtd", , "INTRINSIC", ".ITB201120C56")</f>
        <v>N/A</v>
      </c>
      <c r="S295" t="str">
        <f>RTD("tos.rtd", , "EXTRINSIC", ".ITB201120C56")</f>
        <v>N/A</v>
      </c>
      <c r="T295" t="str">
        <f>RTD("tos.rtd", , "PROB_OF_EXPIRING", ".ITB201120C56")</f>
        <v>N/A</v>
      </c>
      <c r="U295" t="str">
        <f>RTD("tos.rtd", , "PROB_OTM", ".ITB201120C56")</f>
        <v>N/A</v>
      </c>
      <c r="V295" t="str">
        <f>RTD("tos.rtd", , "PROB_OF_TOUCHING", ".ITB201120C56")</f>
        <v>N/A</v>
      </c>
      <c r="W295" t="str">
        <f>RTD("tos.rtd", , "STRIKE", ".ITB201120C56")</f>
        <v>N/A</v>
      </c>
    </row>
    <row r="296" spans="1:23" x14ac:dyDescent="0.45">
      <c r="A296" t="s">
        <v>317</v>
      </c>
      <c r="B296" t="str">
        <f>RTD("tos.rtd", , "DESCRIPTION", ".ITB201120P56")</f>
        <v>N/A</v>
      </c>
      <c r="C296" t="str">
        <f>RTD("tos.rtd", , "PUT_CALL_RATIO", ".ITB201120P56")</f>
        <v>N/A</v>
      </c>
      <c r="D296" t="str">
        <f>RTD("tos.rtd", , "IMPL_VOL", ".ITB201120P56")</f>
        <v>N/A</v>
      </c>
      <c r="E296" t="str">
        <f>RTD("tos.rtd", , "LAST", ".ITB201120P56")</f>
        <v>N/A</v>
      </c>
      <c r="F296" t="str">
        <f>RTD("tos.rtd", , "VOLUME", ".ITB201120P56")</f>
        <v>N/A</v>
      </c>
      <c r="G296" t="str">
        <f>RTD("tos.rtd", , "OPEN_INT", ".ITB201120P56")</f>
        <v>N/A</v>
      </c>
      <c r="H296" t="str">
        <f>RTD("tos.rtd", , "BID", ".ITB201120P56")</f>
        <v>N/A</v>
      </c>
      <c r="I296" t="str">
        <f>RTD("tos.rtd", , "ASK", ".ITB201120P56")</f>
        <v>N/A</v>
      </c>
      <c r="J296" t="str">
        <f>RTD("tos.rtd", , "HIGH", ".ITB201120P56")</f>
        <v>N/A</v>
      </c>
      <c r="K296" t="str">
        <f>RTD("tos.rtd", , "LOW", ".ITB201120P56")</f>
        <v>N/A</v>
      </c>
      <c r="L296" t="str">
        <f>RTD("tos.rtd", , "OPEN", ".ITB201120P56")</f>
        <v>N/A</v>
      </c>
      <c r="M296" t="str">
        <f>RTD("tos.rtd", , "DELTA", ".ITB201120P56")</f>
        <v>N/A</v>
      </c>
      <c r="N296" t="str">
        <f>RTD("tos.rtd", , "GAMMA", ".ITB201120P56")</f>
        <v>N/A</v>
      </c>
      <c r="O296" t="str">
        <f>RTD("tos.rtd", , "THETA", ".ITB201120P56")</f>
        <v>N/A</v>
      </c>
      <c r="P296" t="str">
        <f>RTD("tos.rtd", , "VEGA", ".ITB201120P56")</f>
        <v>N/A</v>
      </c>
      <c r="Q296" t="str">
        <f>RTD("tos.rtd", , "RHO", ".ITB201120P56")</f>
        <v>N/A</v>
      </c>
      <c r="R296" t="str">
        <f>RTD("tos.rtd", , "INTRINSIC", ".ITB201120P56")</f>
        <v>N/A</v>
      </c>
      <c r="S296" t="str">
        <f>RTD("tos.rtd", , "EXTRINSIC", ".ITB201120P56")</f>
        <v>N/A</v>
      </c>
      <c r="T296" t="str">
        <f>RTD("tos.rtd", , "PROB_OF_EXPIRING", ".ITB201120P56")</f>
        <v>N/A</v>
      </c>
      <c r="U296" t="str">
        <f>RTD("tos.rtd", , "PROB_OTM", ".ITB201120P56")</f>
        <v>N/A</v>
      </c>
      <c r="V296" t="str">
        <f>RTD("tos.rtd", , "PROB_OF_TOUCHING", ".ITB201120P56")</f>
        <v>N/A</v>
      </c>
      <c r="W296" t="str">
        <f>RTD("tos.rtd", , "STRIKE", ".ITB201120P56")</f>
        <v>N/A</v>
      </c>
    </row>
    <row r="297" spans="1:23" x14ac:dyDescent="0.45">
      <c r="A297" t="s">
        <v>318</v>
      </c>
      <c r="B297" t="str">
        <f>RTD("tos.rtd", , "DESCRIPTION", "ITOT")</f>
        <v>N/A</v>
      </c>
      <c r="C297">
        <f>RTD("tos.rtd", , "PUT_CALL_RATIO", "ITOT")</f>
        <v>0.54500000000000004</v>
      </c>
      <c r="D297" t="str">
        <f>RTD("tos.rtd", , "IMPL_VOL", "ITOT")</f>
        <v>23.40%</v>
      </c>
      <c r="E297">
        <f>RTD("tos.rtd", , "LAST", "ITOT")</f>
        <v>80.150000000000006</v>
      </c>
      <c r="F297">
        <f>RTD("tos.rtd", , "VOLUME", "ITOT")</f>
        <v>1210661</v>
      </c>
      <c r="G297">
        <f>RTD("tos.rtd", , "OPEN_INT", "ITOT")</f>
        <v>0</v>
      </c>
      <c r="H297">
        <f>RTD("tos.rtd", , "BID", "ITOT")</f>
        <v>78.650000000000006</v>
      </c>
      <c r="I297">
        <f>RTD("tos.rtd", , "ASK", "ITOT")</f>
        <v>80.31</v>
      </c>
      <c r="J297">
        <f>RTD("tos.rtd", , "HIGH", "ITOT")</f>
        <v>80.86</v>
      </c>
      <c r="K297">
        <f>RTD("tos.rtd", , "LOW", "ITOT")</f>
        <v>79.688999999999993</v>
      </c>
      <c r="L297">
        <f>RTD("tos.rtd", , "OPEN", "ITOT")</f>
        <v>80.58</v>
      </c>
      <c r="M297">
        <f>RTD("tos.rtd", , "DELTA", "ITOT")</f>
        <v>1</v>
      </c>
      <c r="N297">
        <f>RTD("tos.rtd", , "GAMMA", "ITOT")</f>
        <v>0</v>
      </c>
      <c r="O297">
        <f>RTD("tos.rtd", , "THETA", "ITOT")</f>
        <v>0</v>
      </c>
      <c r="P297">
        <f>RTD("tos.rtd", , "VEGA", "ITOT")</f>
        <v>0</v>
      </c>
      <c r="Q297">
        <f>RTD("tos.rtd", , "RHO", "ITOT")</f>
        <v>0</v>
      </c>
      <c r="R297" t="str">
        <f>RTD("tos.rtd", , "INTRINSIC", "ITOT")</f>
        <v>N/A</v>
      </c>
      <c r="S297" t="str">
        <f>RTD("tos.rtd", , "EXTRINSIC", "ITOT")</f>
        <v>N/A</v>
      </c>
      <c r="T297" t="str">
        <f>RTD("tos.rtd", , "PROB_OF_EXPIRING", "ITOT")</f>
        <v>N/A</v>
      </c>
      <c r="U297" t="str">
        <f>RTD("tos.rtd", , "PROB_OTM", "ITOT")</f>
        <v>N/A</v>
      </c>
      <c r="V297" t="str">
        <f>RTD("tos.rtd", , "PROB_OF_TOUCHING", "ITOT")</f>
        <v>N/A</v>
      </c>
      <c r="W297" t="str">
        <f>RTD("tos.rtd", , "STRIKE", "ITOT")</f>
        <v>N/A</v>
      </c>
    </row>
    <row r="298" spans="1:23" x14ac:dyDescent="0.45">
      <c r="A298" t="s">
        <v>319</v>
      </c>
      <c r="B298" t="str">
        <f>RTD("tos.rtd", , "DESCRIPTION", ".ITOT201120C80")</f>
        <v>N/A</v>
      </c>
      <c r="C298" t="str">
        <f>RTD("tos.rtd", , "PUT_CALL_RATIO", ".ITOT201120C80")</f>
        <v>N/A</v>
      </c>
      <c r="D298" t="str">
        <f>RTD("tos.rtd", , "IMPL_VOL", ".ITOT201120C80")</f>
        <v>N/A</v>
      </c>
      <c r="E298" t="str">
        <f>RTD("tos.rtd", , "LAST", ".ITOT201120C80")</f>
        <v>N/A</v>
      </c>
      <c r="F298" t="str">
        <f>RTD("tos.rtd", , "VOLUME", ".ITOT201120C80")</f>
        <v>N/A</v>
      </c>
      <c r="G298" t="str">
        <f>RTD("tos.rtd", , "OPEN_INT", ".ITOT201120C80")</f>
        <v>N/A</v>
      </c>
      <c r="H298" t="str">
        <f>RTD("tos.rtd", , "BID", ".ITOT201120C80")</f>
        <v>N/A</v>
      </c>
      <c r="I298" t="str">
        <f>RTD("tos.rtd", , "ASK", ".ITOT201120C80")</f>
        <v>N/A</v>
      </c>
      <c r="J298" t="str">
        <f>RTD("tos.rtd", , "HIGH", ".ITOT201120C80")</f>
        <v>N/A</v>
      </c>
      <c r="K298" t="str">
        <f>RTD("tos.rtd", , "LOW", ".ITOT201120C80")</f>
        <v>N/A</v>
      </c>
      <c r="L298" t="str">
        <f>RTD("tos.rtd", , "OPEN", ".ITOT201120C80")</f>
        <v>N/A</v>
      </c>
      <c r="M298" t="str">
        <f>RTD("tos.rtd", , "DELTA", ".ITOT201120C80")</f>
        <v>N/A</v>
      </c>
      <c r="N298" t="str">
        <f>RTD("tos.rtd", , "GAMMA", ".ITOT201120C80")</f>
        <v>N/A</v>
      </c>
      <c r="O298" t="str">
        <f>RTD("tos.rtd", , "THETA", ".ITOT201120C80")</f>
        <v>N/A</v>
      </c>
      <c r="P298" t="str">
        <f>RTD("tos.rtd", , "VEGA", ".ITOT201120C80")</f>
        <v>N/A</v>
      </c>
      <c r="Q298" t="str">
        <f>RTD("tos.rtd", , "RHO", ".ITOT201120C80")</f>
        <v>N/A</v>
      </c>
      <c r="R298" t="str">
        <f>RTD("tos.rtd", , "INTRINSIC", ".ITOT201120C80")</f>
        <v>N/A</v>
      </c>
      <c r="S298" t="str">
        <f>RTD("tos.rtd", , "EXTRINSIC", ".ITOT201120C80")</f>
        <v>N/A</v>
      </c>
      <c r="T298" t="str">
        <f>RTD("tos.rtd", , "PROB_OF_EXPIRING", ".ITOT201120C80")</f>
        <v>N/A</v>
      </c>
      <c r="U298" t="str">
        <f>RTD("tos.rtd", , "PROB_OTM", ".ITOT201120C80")</f>
        <v>N/A</v>
      </c>
      <c r="V298" t="str">
        <f>RTD("tos.rtd", , "PROB_OF_TOUCHING", ".ITOT201120C80")</f>
        <v>N/A</v>
      </c>
      <c r="W298" t="str">
        <f>RTD("tos.rtd", , "STRIKE", ".ITOT201120C80")</f>
        <v>N/A</v>
      </c>
    </row>
    <row r="299" spans="1:23" x14ac:dyDescent="0.45">
      <c r="A299" t="s">
        <v>320</v>
      </c>
      <c r="B299" t="str">
        <f>RTD("tos.rtd", , "DESCRIPTION", ".ITOT201120P80")</f>
        <v>N/A</v>
      </c>
      <c r="C299" t="str">
        <f>RTD("tos.rtd", , "PUT_CALL_RATIO", ".ITOT201120P80")</f>
        <v>N/A</v>
      </c>
      <c r="D299" t="str">
        <f>RTD("tos.rtd", , "IMPL_VOL", ".ITOT201120P80")</f>
        <v>N/A</v>
      </c>
      <c r="E299" t="str">
        <f>RTD("tos.rtd", , "LAST", ".ITOT201120P80")</f>
        <v>N/A</v>
      </c>
      <c r="F299" t="str">
        <f>RTD("tos.rtd", , "VOLUME", ".ITOT201120P80")</f>
        <v>N/A</v>
      </c>
      <c r="G299" t="str">
        <f>RTD("tos.rtd", , "OPEN_INT", ".ITOT201120P80")</f>
        <v>N/A</v>
      </c>
      <c r="H299" t="str">
        <f>RTD("tos.rtd", , "BID", ".ITOT201120P80")</f>
        <v>N/A</v>
      </c>
      <c r="I299" t="str">
        <f>RTD("tos.rtd", , "ASK", ".ITOT201120P80")</f>
        <v>N/A</v>
      </c>
      <c r="J299" t="str">
        <f>RTD("tos.rtd", , "HIGH", ".ITOT201120P80")</f>
        <v>N/A</v>
      </c>
      <c r="K299" t="str">
        <f>RTD("tos.rtd", , "LOW", ".ITOT201120P80")</f>
        <v>N/A</v>
      </c>
      <c r="L299" t="str">
        <f>RTD("tos.rtd", , "OPEN", ".ITOT201120P80")</f>
        <v>N/A</v>
      </c>
      <c r="M299" t="str">
        <f>RTD("tos.rtd", , "DELTA", ".ITOT201120P80")</f>
        <v>N/A</v>
      </c>
      <c r="N299" t="str">
        <f>RTD("tos.rtd", , "GAMMA", ".ITOT201120P80")</f>
        <v>N/A</v>
      </c>
      <c r="O299" t="str">
        <f>RTD("tos.rtd", , "THETA", ".ITOT201120P80")</f>
        <v>N/A</v>
      </c>
      <c r="P299" t="str">
        <f>RTD("tos.rtd", , "VEGA", ".ITOT201120P80")</f>
        <v>N/A</v>
      </c>
      <c r="Q299" t="str">
        <f>RTD("tos.rtd", , "RHO", ".ITOT201120P80")</f>
        <v>N/A</v>
      </c>
      <c r="R299" t="str">
        <f>RTD("tos.rtd", , "INTRINSIC", ".ITOT201120P80")</f>
        <v>N/A</v>
      </c>
      <c r="S299" t="str">
        <f>RTD("tos.rtd", , "EXTRINSIC", ".ITOT201120P80")</f>
        <v>N/A</v>
      </c>
      <c r="T299" t="str">
        <f>RTD("tos.rtd", , "PROB_OF_EXPIRING", ".ITOT201120P80")</f>
        <v>N/A</v>
      </c>
      <c r="U299" t="str">
        <f>RTD("tos.rtd", , "PROB_OTM", ".ITOT201120P80")</f>
        <v>N/A</v>
      </c>
      <c r="V299" t="str">
        <f>RTD("tos.rtd", , "PROB_OF_TOUCHING", ".ITOT201120P80")</f>
        <v>N/A</v>
      </c>
      <c r="W299" t="str">
        <f>RTD("tos.rtd", , "STRIKE", ".ITOT201120P80")</f>
        <v>N/A</v>
      </c>
    </row>
    <row r="300" spans="1:23" x14ac:dyDescent="0.45">
      <c r="A300" t="s">
        <v>321</v>
      </c>
      <c r="B300" t="str">
        <f>RTD("tos.rtd", , "DESCRIPTION", ".ITOT201120C81")</f>
        <v>N/A</v>
      </c>
      <c r="C300" t="str">
        <f>RTD("tos.rtd", , "PUT_CALL_RATIO", ".ITOT201120C81")</f>
        <v>N/A</v>
      </c>
      <c r="D300" t="str">
        <f>RTD("tos.rtd", , "IMPL_VOL", ".ITOT201120C81")</f>
        <v>N/A</v>
      </c>
      <c r="E300" t="str">
        <f>RTD("tos.rtd", , "LAST", ".ITOT201120C81")</f>
        <v>N/A</v>
      </c>
      <c r="F300" t="str">
        <f>RTD("tos.rtd", , "VOLUME", ".ITOT201120C81")</f>
        <v>N/A</v>
      </c>
      <c r="G300" t="str">
        <f>RTD("tos.rtd", , "OPEN_INT", ".ITOT201120C81")</f>
        <v>N/A</v>
      </c>
      <c r="H300" t="str">
        <f>RTD("tos.rtd", , "BID", ".ITOT201120C81")</f>
        <v>N/A</v>
      </c>
      <c r="I300" t="str">
        <f>RTD("tos.rtd", , "ASK", ".ITOT201120C81")</f>
        <v>N/A</v>
      </c>
      <c r="J300" t="str">
        <f>RTD("tos.rtd", , "HIGH", ".ITOT201120C81")</f>
        <v>N/A</v>
      </c>
      <c r="K300" t="str">
        <f>RTD("tos.rtd", , "LOW", ".ITOT201120C81")</f>
        <v>N/A</v>
      </c>
      <c r="L300" t="str">
        <f>RTD("tos.rtd", , "OPEN", ".ITOT201120C81")</f>
        <v>N/A</v>
      </c>
      <c r="M300" t="str">
        <f>RTD("tos.rtd", , "DELTA", ".ITOT201120C81")</f>
        <v>N/A</v>
      </c>
      <c r="N300" t="str">
        <f>RTD("tos.rtd", , "GAMMA", ".ITOT201120C81")</f>
        <v>N/A</v>
      </c>
      <c r="O300" t="str">
        <f>RTD("tos.rtd", , "THETA", ".ITOT201120C81")</f>
        <v>N/A</v>
      </c>
      <c r="P300" t="str">
        <f>RTD("tos.rtd", , "VEGA", ".ITOT201120C81")</f>
        <v>N/A</v>
      </c>
      <c r="Q300" t="str">
        <f>RTD("tos.rtd", , "RHO", ".ITOT201120C81")</f>
        <v>N/A</v>
      </c>
      <c r="R300" t="str">
        <f>RTD("tos.rtd", , "INTRINSIC", ".ITOT201120C81")</f>
        <v>N/A</v>
      </c>
      <c r="S300" t="str">
        <f>RTD("tos.rtd", , "EXTRINSIC", ".ITOT201120C81")</f>
        <v>N/A</v>
      </c>
      <c r="T300" t="str">
        <f>RTD("tos.rtd", , "PROB_OF_EXPIRING", ".ITOT201120C81")</f>
        <v>N/A</v>
      </c>
      <c r="U300" t="str">
        <f>RTD("tos.rtd", , "PROB_OTM", ".ITOT201120C81")</f>
        <v>N/A</v>
      </c>
      <c r="V300" t="str">
        <f>RTD("tos.rtd", , "PROB_OF_TOUCHING", ".ITOT201120C81")</f>
        <v>N/A</v>
      </c>
      <c r="W300" t="str">
        <f>RTD("tos.rtd", , "STRIKE", ".ITOT201120C81")</f>
        <v>N/A</v>
      </c>
    </row>
    <row r="301" spans="1:23" x14ac:dyDescent="0.45">
      <c r="A301" t="s">
        <v>322</v>
      </c>
      <c r="B301" t="str">
        <f>RTD("tos.rtd", , "DESCRIPTION", ".ITOT201120P81")</f>
        <v>N/A</v>
      </c>
      <c r="C301" t="str">
        <f>RTD("tos.rtd", , "PUT_CALL_RATIO", ".ITOT201120P81")</f>
        <v>N/A</v>
      </c>
      <c r="D301" t="str">
        <f>RTD("tos.rtd", , "IMPL_VOL", ".ITOT201120P81")</f>
        <v>N/A</v>
      </c>
      <c r="E301">
        <f>RTD("tos.rtd", , "LAST", ".ITOT201120P81")</f>
        <v>2.4</v>
      </c>
      <c r="F301">
        <f>RTD("tos.rtd", , "VOLUME", ".ITOT201120P81")</f>
        <v>0</v>
      </c>
      <c r="G301">
        <f>RTD("tos.rtd", , "OPEN_INT", ".ITOT201120P81")</f>
        <v>5</v>
      </c>
      <c r="H301">
        <f>RTD("tos.rtd", , "BID", ".ITOT201120P81")</f>
        <v>1.2</v>
      </c>
      <c r="I301">
        <f>RTD("tos.rtd", , "ASK", ".ITOT201120P81")</f>
        <v>1.8</v>
      </c>
      <c r="J301">
        <f>RTD("tos.rtd", , "HIGH", ".ITOT201120P81")</f>
        <v>0</v>
      </c>
      <c r="K301">
        <f>RTD("tos.rtd", , "LOW", ".ITOT201120P81")</f>
        <v>0</v>
      </c>
      <c r="L301">
        <f>RTD("tos.rtd", , "OPEN", ".ITOT201120P81")</f>
        <v>0</v>
      </c>
      <c r="M301" t="str">
        <f>RTD("tos.rtd", , "DELTA", ".ITOT201120P81")</f>
        <v>N/A</v>
      </c>
      <c r="N301" t="str">
        <f>RTD("tos.rtd", , "GAMMA", ".ITOT201120P81")</f>
        <v>N/A</v>
      </c>
      <c r="O301" t="str">
        <f>RTD("tos.rtd", , "THETA", ".ITOT201120P81")</f>
        <v>N/A</v>
      </c>
      <c r="P301" t="str">
        <f>RTD("tos.rtd", , "VEGA", ".ITOT201120P81")</f>
        <v>N/A</v>
      </c>
      <c r="Q301" t="str">
        <f>RTD("tos.rtd", , "RHO", ".ITOT201120P81")</f>
        <v>N/A</v>
      </c>
      <c r="R301" t="str">
        <f>RTD("tos.rtd", , "INTRINSIC", ".ITOT201120P81")</f>
        <v>N/A</v>
      </c>
      <c r="S301" t="str">
        <f>RTD("tos.rtd", , "EXTRINSIC", ".ITOT201120P81")</f>
        <v>N/A</v>
      </c>
      <c r="T301" t="str">
        <f>RTD("tos.rtd", , "PROB_OF_EXPIRING", ".ITOT201120P81")</f>
        <v>N/A</v>
      </c>
      <c r="U301" t="str">
        <f>RTD("tos.rtd", , "PROB_OTM", ".ITOT201120P81")</f>
        <v>N/A</v>
      </c>
      <c r="V301" t="str">
        <f>RTD("tos.rtd", , "PROB_OF_TOUCHING", ".ITOT201120P81")</f>
        <v>N/A</v>
      </c>
      <c r="W301" t="str">
        <f>RTD("tos.rtd", , "STRIKE", ".ITOT201120P81")</f>
        <v>N/A</v>
      </c>
    </row>
    <row r="302" spans="1:23" x14ac:dyDescent="0.45">
      <c r="A302" t="s">
        <v>323</v>
      </c>
      <c r="B302" t="str">
        <f>RTD("tos.rtd", , "DESCRIPTION", "IVE")</f>
        <v>N/A</v>
      </c>
      <c r="C302">
        <f>RTD("tos.rtd", , "PUT_CALL_RATIO", "IVE")</f>
        <v>0.109</v>
      </c>
      <c r="D302" t="str">
        <f>RTD("tos.rtd", , "IMPL_VOL", "IVE")</f>
        <v>23.03%</v>
      </c>
      <c r="E302">
        <f>RTD("tos.rtd", , "LAST", "IVE")</f>
        <v>120.61</v>
      </c>
      <c r="F302">
        <f>RTD("tos.rtd", , "VOLUME", "IVE")</f>
        <v>1069587</v>
      </c>
      <c r="G302">
        <f>RTD("tos.rtd", , "OPEN_INT", "IVE")</f>
        <v>0</v>
      </c>
      <c r="H302">
        <f>RTD("tos.rtd", , "BID", "IVE")</f>
        <v>118.13</v>
      </c>
      <c r="I302">
        <f>RTD("tos.rtd", , "ASK", "IVE")</f>
        <v>121.29</v>
      </c>
      <c r="J302">
        <f>RTD("tos.rtd", , "HIGH", "IVE")</f>
        <v>121.62</v>
      </c>
      <c r="K302">
        <f>RTD("tos.rtd", , "LOW", "IVE")</f>
        <v>119.74</v>
      </c>
      <c r="L302">
        <f>RTD("tos.rtd", , "OPEN", "IVE")</f>
        <v>121.4</v>
      </c>
      <c r="M302">
        <f>RTD("tos.rtd", , "DELTA", "IVE")</f>
        <v>1</v>
      </c>
      <c r="N302">
        <f>RTD("tos.rtd", , "GAMMA", "IVE")</f>
        <v>0</v>
      </c>
      <c r="O302">
        <f>RTD("tos.rtd", , "THETA", "IVE")</f>
        <v>0</v>
      </c>
      <c r="P302">
        <f>RTD("tos.rtd", , "VEGA", "IVE")</f>
        <v>0</v>
      </c>
      <c r="Q302">
        <f>RTD("tos.rtd", , "RHO", "IVE")</f>
        <v>0</v>
      </c>
      <c r="R302" t="str">
        <f>RTD("tos.rtd", , "INTRINSIC", "IVE")</f>
        <v>N/A</v>
      </c>
      <c r="S302" t="str">
        <f>RTD("tos.rtd", , "EXTRINSIC", "IVE")</f>
        <v>N/A</v>
      </c>
      <c r="T302" t="str">
        <f>RTD("tos.rtd", , "PROB_OF_EXPIRING", "IVE")</f>
        <v>N/A</v>
      </c>
      <c r="U302" t="str">
        <f>RTD("tos.rtd", , "PROB_OTM", "IVE")</f>
        <v>N/A</v>
      </c>
      <c r="V302" t="str">
        <f>RTD("tos.rtd", , "PROB_OF_TOUCHING", "IVE")</f>
        <v>N/A</v>
      </c>
      <c r="W302" t="str">
        <f>RTD("tos.rtd", , "STRIKE", "IVE")</f>
        <v>N/A</v>
      </c>
    </row>
    <row r="303" spans="1:23" x14ac:dyDescent="0.45">
      <c r="A303" t="s">
        <v>324</v>
      </c>
      <c r="B303" t="str">
        <f>RTD("tos.rtd", , "DESCRIPTION", ".IVE201120C121")</f>
        <v>N/A</v>
      </c>
      <c r="C303" t="str">
        <f>RTD("tos.rtd", , "PUT_CALL_RATIO", ".IVE201120C121")</f>
        <v>N/A</v>
      </c>
      <c r="D303" t="str">
        <f>RTD("tos.rtd", , "IMPL_VOL", ".IVE201120C121")</f>
        <v>N/A</v>
      </c>
      <c r="E303" t="str">
        <f>RTD("tos.rtd", , "LAST", ".IVE201120C121")</f>
        <v>N/A</v>
      </c>
      <c r="F303" t="str">
        <f>RTD("tos.rtd", , "VOLUME", ".IVE201120C121")</f>
        <v>N/A</v>
      </c>
      <c r="G303" t="str">
        <f>RTD("tos.rtd", , "OPEN_INT", ".IVE201120C121")</f>
        <v>N/A</v>
      </c>
      <c r="H303" t="str">
        <f>RTD("tos.rtd", , "BID", ".IVE201120C121")</f>
        <v>N/A</v>
      </c>
      <c r="I303" t="str">
        <f>RTD("tos.rtd", , "ASK", ".IVE201120C121")</f>
        <v>N/A</v>
      </c>
      <c r="J303" t="str">
        <f>RTD("tos.rtd", , "HIGH", ".IVE201120C121")</f>
        <v>N/A</v>
      </c>
      <c r="K303" t="str">
        <f>RTD("tos.rtd", , "LOW", ".IVE201120C121")</f>
        <v>N/A</v>
      </c>
      <c r="L303" t="str">
        <f>RTD("tos.rtd", , "OPEN", ".IVE201120C121")</f>
        <v>N/A</v>
      </c>
      <c r="M303" t="str">
        <f>RTD("tos.rtd", , "DELTA", ".IVE201120C121")</f>
        <v>N/A</v>
      </c>
      <c r="N303" t="str">
        <f>RTD("tos.rtd", , "GAMMA", ".IVE201120C121")</f>
        <v>N/A</v>
      </c>
      <c r="O303" t="str">
        <f>RTD("tos.rtd", , "THETA", ".IVE201120C121")</f>
        <v>N/A</v>
      </c>
      <c r="P303" t="str">
        <f>RTD("tos.rtd", , "VEGA", ".IVE201120C121")</f>
        <v>N/A</v>
      </c>
      <c r="Q303" t="str">
        <f>RTD("tos.rtd", , "RHO", ".IVE201120C121")</f>
        <v>N/A</v>
      </c>
      <c r="R303" t="str">
        <f>RTD("tos.rtd", , "INTRINSIC", ".IVE201120C121")</f>
        <v>N/A</v>
      </c>
      <c r="S303" t="str">
        <f>RTD("tos.rtd", , "EXTRINSIC", ".IVE201120C121")</f>
        <v>N/A</v>
      </c>
      <c r="T303" t="str">
        <f>RTD("tos.rtd", , "PROB_OF_EXPIRING", ".IVE201120C121")</f>
        <v>N/A</v>
      </c>
      <c r="U303" t="str">
        <f>RTD("tos.rtd", , "PROB_OTM", ".IVE201120C121")</f>
        <v>N/A</v>
      </c>
      <c r="V303" t="str">
        <f>RTD("tos.rtd", , "PROB_OF_TOUCHING", ".IVE201120C121")</f>
        <v>N/A</v>
      </c>
      <c r="W303" t="str">
        <f>RTD("tos.rtd", , "STRIKE", ".IVE201120C121")</f>
        <v>N/A</v>
      </c>
    </row>
    <row r="304" spans="1:23" x14ac:dyDescent="0.45">
      <c r="A304" t="s">
        <v>325</v>
      </c>
      <c r="B304" t="str">
        <f>RTD("tos.rtd", , "DESCRIPTION", ".IVE201120P121")</f>
        <v>N/A</v>
      </c>
      <c r="C304" t="str">
        <f>RTD("tos.rtd", , "PUT_CALL_RATIO", ".IVE201120P121")</f>
        <v>N/A</v>
      </c>
      <c r="D304" t="str">
        <f>RTD("tos.rtd", , "IMPL_VOL", ".IVE201120P121")</f>
        <v>N/A</v>
      </c>
      <c r="E304" t="str">
        <f>RTD("tos.rtd", , "LAST", ".IVE201120P121")</f>
        <v>N/A</v>
      </c>
      <c r="F304" t="str">
        <f>RTD("tos.rtd", , "VOLUME", ".IVE201120P121")</f>
        <v>N/A</v>
      </c>
      <c r="G304" t="str">
        <f>RTD("tos.rtd", , "OPEN_INT", ".IVE201120P121")</f>
        <v>N/A</v>
      </c>
      <c r="H304" t="str">
        <f>RTD("tos.rtd", , "BID", ".IVE201120P121")</f>
        <v>N/A</v>
      </c>
      <c r="I304" t="str">
        <f>RTD("tos.rtd", , "ASK", ".IVE201120P121")</f>
        <v>N/A</v>
      </c>
      <c r="J304" t="str">
        <f>RTD("tos.rtd", , "HIGH", ".IVE201120P121")</f>
        <v>N/A</v>
      </c>
      <c r="K304" t="str">
        <f>RTD("tos.rtd", , "LOW", ".IVE201120P121")</f>
        <v>N/A</v>
      </c>
      <c r="L304" t="str">
        <f>RTD("tos.rtd", , "OPEN", ".IVE201120P121")</f>
        <v>N/A</v>
      </c>
      <c r="M304" t="str">
        <f>RTD("tos.rtd", , "DELTA", ".IVE201120P121")</f>
        <v>N/A</v>
      </c>
      <c r="N304" t="str">
        <f>RTD("tos.rtd", , "GAMMA", ".IVE201120P121")</f>
        <v>N/A</v>
      </c>
      <c r="O304" t="str">
        <f>RTD("tos.rtd", , "THETA", ".IVE201120P121")</f>
        <v>N/A</v>
      </c>
      <c r="P304" t="str">
        <f>RTD("tos.rtd", , "VEGA", ".IVE201120P121")</f>
        <v>N/A</v>
      </c>
      <c r="Q304" t="str">
        <f>RTD("tos.rtd", , "RHO", ".IVE201120P121")</f>
        <v>N/A</v>
      </c>
      <c r="R304" t="str">
        <f>RTD("tos.rtd", , "INTRINSIC", ".IVE201120P121")</f>
        <v>N/A</v>
      </c>
      <c r="S304" t="str">
        <f>RTD("tos.rtd", , "EXTRINSIC", ".IVE201120P121")</f>
        <v>N/A</v>
      </c>
      <c r="T304" t="str">
        <f>RTD("tos.rtd", , "PROB_OF_EXPIRING", ".IVE201120P121")</f>
        <v>N/A</v>
      </c>
      <c r="U304" t="str">
        <f>RTD("tos.rtd", , "PROB_OTM", ".IVE201120P121")</f>
        <v>N/A</v>
      </c>
      <c r="V304" t="str">
        <f>RTD("tos.rtd", , "PROB_OF_TOUCHING", ".IVE201120P121")</f>
        <v>N/A</v>
      </c>
      <c r="W304" t="str">
        <f>RTD("tos.rtd", , "STRIKE", ".IVE201120P121")</f>
        <v>N/A</v>
      </c>
    </row>
    <row r="305" spans="1:23" x14ac:dyDescent="0.45">
      <c r="A305" t="s">
        <v>326</v>
      </c>
      <c r="B305" t="str">
        <f>RTD("tos.rtd", , "DESCRIPTION", ".IVE201120C122")</f>
        <v>N/A</v>
      </c>
      <c r="C305" t="str">
        <f>RTD("tos.rtd", , "PUT_CALL_RATIO", ".IVE201120C122")</f>
        <v>N/A</v>
      </c>
      <c r="D305" t="str">
        <f>RTD("tos.rtd", , "IMPL_VOL", ".IVE201120C122")</f>
        <v>N/A</v>
      </c>
      <c r="E305" t="str">
        <f>RTD("tos.rtd", , "LAST", ".IVE201120C122")</f>
        <v>N/A</v>
      </c>
      <c r="F305" t="str">
        <f>RTD("tos.rtd", , "VOLUME", ".IVE201120C122")</f>
        <v>N/A</v>
      </c>
      <c r="G305" t="str">
        <f>RTD("tos.rtd", , "OPEN_INT", ".IVE201120C122")</f>
        <v>N/A</v>
      </c>
      <c r="H305" t="str">
        <f>RTD("tos.rtd", , "BID", ".IVE201120C122")</f>
        <v>N/A</v>
      </c>
      <c r="I305" t="str">
        <f>RTD("tos.rtd", , "ASK", ".IVE201120C122")</f>
        <v>N/A</v>
      </c>
      <c r="J305" t="str">
        <f>RTD("tos.rtd", , "HIGH", ".IVE201120C122")</f>
        <v>N/A</v>
      </c>
      <c r="K305" t="str">
        <f>RTD("tos.rtd", , "LOW", ".IVE201120C122")</f>
        <v>N/A</v>
      </c>
      <c r="L305" t="str">
        <f>RTD("tos.rtd", , "OPEN", ".IVE201120C122")</f>
        <v>N/A</v>
      </c>
      <c r="M305" t="str">
        <f>RTD("tos.rtd", , "DELTA", ".IVE201120C122")</f>
        <v>N/A</v>
      </c>
      <c r="N305" t="str">
        <f>RTD("tos.rtd", , "GAMMA", ".IVE201120C122")</f>
        <v>N/A</v>
      </c>
      <c r="O305" t="str">
        <f>RTD("tos.rtd", , "THETA", ".IVE201120C122")</f>
        <v>N/A</v>
      </c>
      <c r="P305" t="str">
        <f>RTD("tos.rtd", , "VEGA", ".IVE201120C122")</f>
        <v>N/A</v>
      </c>
      <c r="Q305" t="str">
        <f>RTD("tos.rtd", , "RHO", ".IVE201120C122")</f>
        <v>N/A</v>
      </c>
      <c r="R305" t="str">
        <f>RTD("tos.rtd", , "INTRINSIC", ".IVE201120C122")</f>
        <v>N/A</v>
      </c>
      <c r="S305" t="str">
        <f>RTD("tos.rtd", , "EXTRINSIC", ".IVE201120C122")</f>
        <v>N/A</v>
      </c>
      <c r="T305" t="str">
        <f>RTD("tos.rtd", , "PROB_OF_EXPIRING", ".IVE201120C122")</f>
        <v>N/A</v>
      </c>
      <c r="U305" t="str">
        <f>RTD("tos.rtd", , "PROB_OTM", ".IVE201120C122")</f>
        <v>N/A</v>
      </c>
      <c r="V305" t="str">
        <f>RTD("tos.rtd", , "PROB_OF_TOUCHING", ".IVE201120C122")</f>
        <v>N/A</v>
      </c>
      <c r="W305" t="str">
        <f>RTD("tos.rtd", , "STRIKE", ".IVE201120C122")</f>
        <v>N/A</v>
      </c>
    </row>
    <row r="306" spans="1:23" x14ac:dyDescent="0.45">
      <c r="A306" t="s">
        <v>327</v>
      </c>
      <c r="B306" t="str">
        <f>RTD("tos.rtd", , "DESCRIPTION", ".IVE201120P122")</f>
        <v>N/A</v>
      </c>
      <c r="C306" t="str">
        <f>RTD("tos.rtd", , "PUT_CALL_RATIO", ".IVE201120P122")</f>
        <v>N/A</v>
      </c>
      <c r="D306" t="str">
        <f>RTD("tos.rtd", , "IMPL_VOL", ".IVE201120P122")</f>
        <v>N/A</v>
      </c>
      <c r="E306">
        <f>RTD("tos.rtd", , "LAST", ".IVE201120P122")</f>
        <v>0</v>
      </c>
      <c r="F306">
        <f>RTD("tos.rtd", , "VOLUME", ".IVE201120P122")</f>
        <v>0</v>
      </c>
      <c r="G306">
        <f>RTD("tos.rtd", , "OPEN_INT", ".IVE201120P122")</f>
        <v>0</v>
      </c>
      <c r="H306">
        <f>RTD("tos.rtd", , "BID", ".IVE201120P122")</f>
        <v>2.0499999999999998</v>
      </c>
      <c r="I306">
        <f>RTD("tos.rtd", , "ASK", ".IVE201120P122")</f>
        <v>2.6</v>
      </c>
      <c r="J306">
        <f>RTD("tos.rtd", , "HIGH", ".IVE201120P122")</f>
        <v>0</v>
      </c>
      <c r="K306">
        <f>RTD("tos.rtd", , "LOW", ".IVE201120P122")</f>
        <v>0</v>
      </c>
      <c r="L306">
        <f>RTD("tos.rtd", , "OPEN", ".IVE201120P122")</f>
        <v>0</v>
      </c>
      <c r="M306" t="str">
        <f>RTD("tos.rtd", , "DELTA", ".IVE201120P122")</f>
        <v>N/A</v>
      </c>
      <c r="N306" t="str">
        <f>RTD("tos.rtd", , "GAMMA", ".IVE201120P122")</f>
        <v>N/A</v>
      </c>
      <c r="O306" t="str">
        <f>RTD("tos.rtd", , "THETA", ".IVE201120P122")</f>
        <v>N/A</v>
      </c>
      <c r="P306" t="str">
        <f>RTD("tos.rtd", , "VEGA", ".IVE201120P122")</f>
        <v>N/A</v>
      </c>
      <c r="Q306" t="str">
        <f>RTD("tos.rtd", , "RHO", ".IVE201120P122")</f>
        <v>N/A</v>
      </c>
      <c r="R306" t="str">
        <f>RTD("tos.rtd", , "INTRINSIC", ".IVE201120P122")</f>
        <v>N/A</v>
      </c>
      <c r="S306" t="str">
        <f>RTD("tos.rtd", , "EXTRINSIC", ".IVE201120P122")</f>
        <v>N/A</v>
      </c>
      <c r="T306" t="str">
        <f>RTD("tos.rtd", , "PROB_OF_EXPIRING", ".IVE201120P122")</f>
        <v>N/A</v>
      </c>
      <c r="U306" t="str">
        <f>RTD("tos.rtd", , "PROB_OTM", ".IVE201120P122")</f>
        <v>N/A</v>
      </c>
      <c r="V306" t="str">
        <f>RTD("tos.rtd", , "PROB_OF_TOUCHING", ".IVE201120P122")</f>
        <v>N/A</v>
      </c>
      <c r="W306" t="str">
        <f>RTD("tos.rtd", , "STRIKE", ".IVE201120P122")</f>
        <v>N/A</v>
      </c>
    </row>
    <row r="307" spans="1:23" x14ac:dyDescent="0.45">
      <c r="A307" t="s">
        <v>328</v>
      </c>
      <c r="B307" t="str">
        <f>RTD("tos.rtd", , "DESCRIPTION", ".IVE201120C123")</f>
        <v>N/A</v>
      </c>
      <c r="C307" t="str">
        <f>RTD("tos.rtd", , "PUT_CALL_RATIO", ".IVE201120C123")</f>
        <v>N/A</v>
      </c>
      <c r="D307" t="str">
        <f>RTD("tos.rtd", , "IMPL_VOL", ".IVE201120C123")</f>
        <v>N/A</v>
      </c>
      <c r="E307" t="str">
        <f>RTD("tos.rtd", , "LAST", ".IVE201120C123")</f>
        <v>N/A</v>
      </c>
      <c r="F307" t="str">
        <f>RTD("tos.rtd", , "VOLUME", ".IVE201120C123")</f>
        <v>N/A</v>
      </c>
      <c r="G307" t="str">
        <f>RTD("tos.rtd", , "OPEN_INT", ".IVE201120C123")</f>
        <v>N/A</v>
      </c>
      <c r="H307" t="str">
        <f>RTD("tos.rtd", , "BID", ".IVE201120C123")</f>
        <v>N/A</v>
      </c>
      <c r="I307" t="str">
        <f>RTD("tos.rtd", , "ASK", ".IVE201120C123")</f>
        <v>N/A</v>
      </c>
      <c r="J307" t="str">
        <f>RTD("tos.rtd", , "HIGH", ".IVE201120C123")</f>
        <v>N/A</v>
      </c>
      <c r="K307" t="str">
        <f>RTD("tos.rtd", , "LOW", ".IVE201120C123")</f>
        <v>N/A</v>
      </c>
      <c r="L307" t="str">
        <f>RTD("tos.rtd", , "OPEN", ".IVE201120C123")</f>
        <v>N/A</v>
      </c>
      <c r="M307" t="str">
        <f>RTD("tos.rtd", , "DELTA", ".IVE201120C123")</f>
        <v>N/A</v>
      </c>
      <c r="N307" t="str">
        <f>RTD("tos.rtd", , "GAMMA", ".IVE201120C123")</f>
        <v>N/A</v>
      </c>
      <c r="O307" t="str">
        <f>RTD("tos.rtd", , "THETA", ".IVE201120C123")</f>
        <v>N/A</v>
      </c>
      <c r="P307" t="str">
        <f>RTD("tos.rtd", , "VEGA", ".IVE201120C123")</f>
        <v>N/A</v>
      </c>
      <c r="Q307" t="str">
        <f>RTD("tos.rtd", , "RHO", ".IVE201120C123")</f>
        <v>N/A</v>
      </c>
      <c r="R307" t="str">
        <f>RTD("tos.rtd", , "INTRINSIC", ".IVE201120C123")</f>
        <v>N/A</v>
      </c>
      <c r="S307" t="str">
        <f>RTD("tos.rtd", , "EXTRINSIC", ".IVE201120C123")</f>
        <v>N/A</v>
      </c>
      <c r="T307" t="str">
        <f>RTD("tos.rtd", , "PROB_OF_EXPIRING", ".IVE201120C123")</f>
        <v>N/A</v>
      </c>
      <c r="U307" t="str">
        <f>RTD("tos.rtd", , "PROB_OTM", ".IVE201120C123")</f>
        <v>N/A</v>
      </c>
      <c r="V307" t="str">
        <f>RTD("tos.rtd", , "PROB_OF_TOUCHING", ".IVE201120C123")</f>
        <v>N/A</v>
      </c>
      <c r="W307" t="str">
        <f>RTD("tos.rtd", , "STRIKE", ".IVE201120C123")</f>
        <v>N/A</v>
      </c>
    </row>
    <row r="308" spans="1:23" x14ac:dyDescent="0.45">
      <c r="A308" t="s">
        <v>329</v>
      </c>
      <c r="B308" t="str">
        <f>RTD("tos.rtd", , "DESCRIPTION", ".IVE201120P123")</f>
        <v>N/A</v>
      </c>
      <c r="C308" t="str">
        <f>RTD("tos.rtd", , "PUT_CALL_RATIO", ".IVE201120P123")</f>
        <v>N/A</v>
      </c>
      <c r="D308" t="str">
        <f>RTD("tos.rtd", , "IMPL_VOL", ".IVE201120P123")</f>
        <v>N/A</v>
      </c>
      <c r="E308" t="str">
        <f>RTD("tos.rtd", , "LAST", ".IVE201120P123")</f>
        <v>N/A</v>
      </c>
      <c r="F308" t="str">
        <f>RTD("tos.rtd", , "VOLUME", ".IVE201120P123")</f>
        <v>N/A</v>
      </c>
      <c r="G308" t="str">
        <f>RTD("tos.rtd", , "OPEN_INT", ".IVE201120P123")</f>
        <v>N/A</v>
      </c>
      <c r="H308" t="str">
        <f>RTD("tos.rtd", , "BID", ".IVE201120P123")</f>
        <v>N/A</v>
      </c>
      <c r="I308" t="str">
        <f>RTD("tos.rtd", , "ASK", ".IVE201120P123")</f>
        <v>N/A</v>
      </c>
      <c r="J308" t="str">
        <f>RTD("tos.rtd", , "HIGH", ".IVE201120P123")</f>
        <v>N/A</v>
      </c>
      <c r="K308" t="str">
        <f>RTD("tos.rtd", , "LOW", ".IVE201120P123")</f>
        <v>N/A</v>
      </c>
      <c r="L308" t="str">
        <f>RTD("tos.rtd", , "OPEN", ".IVE201120P123")</f>
        <v>N/A</v>
      </c>
      <c r="M308" t="str">
        <f>RTD("tos.rtd", , "DELTA", ".IVE201120P123")</f>
        <v>N/A</v>
      </c>
      <c r="N308" t="str">
        <f>RTD("tos.rtd", , "GAMMA", ".IVE201120P123")</f>
        <v>N/A</v>
      </c>
      <c r="O308" t="str">
        <f>RTD("tos.rtd", , "THETA", ".IVE201120P123")</f>
        <v>N/A</v>
      </c>
      <c r="P308" t="str">
        <f>RTD("tos.rtd", , "VEGA", ".IVE201120P123")</f>
        <v>N/A</v>
      </c>
      <c r="Q308" t="str">
        <f>RTD("tos.rtd", , "RHO", ".IVE201120P123")</f>
        <v>N/A</v>
      </c>
      <c r="R308" t="str">
        <f>RTD("tos.rtd", , "INTRINSIC", ".IVE201120P123")</f>
        <v>N/A</v>
      </c>
      <c r="S308" t="str">
        <f>RTD("tos.rtd", , "EXTRINSIC", ".IVE201120P123")</f>
        <v>N/A</v>
      </c>
      <c r="T308" t="str">
        <f>RTD("tos.rtd", , "PROB_OF_EXPIRING", ".IVE201120P123")</f>
        <v>N/A</v>
      </c>
      <c r="U308" t="str">
        <f>RTD("tos.rtd", , "PROB_OTM", ".IVE201120P123")</f>
        <v>N/A</v>
      </c>
      <c r="V308" t="str">
        <f>RTD("tos.rtd", , "PROB_OF_TOUCHING", ".IVE201120P123")</f>
        <v>N/A</v>
      </c>
      <c r="W308" t="str">
        <f>RTD("tos.rtd", , "STRIKE", ".IVE201120P123")</f>
        <v>N/A</v>
      </c>
    </row>
    <row r="309" spans="1:23" x14ac:dyDescent="0.45">
      <c r="A309" t="s">
        <v>330</v>
      </c>
      <c r="B309" t="str">
        <f>RTD("tos.rtd", , "DESCRIPTION", "IVV")</f>
        <v>N/A</v>
      </c>
      <c r="C309">
        <f>RTD("tos.rtd", , "PUT_CALL_RATIO", "IVV")</f>
        <v>1.7310000000000001</v>
      </c>
      <c r="D309" t="str">
        <f>RTD("tos.rtd", , "IMPL_VOL", "IVV")</f>
        <v>24.13%</v>
      </c>
      <c r="E309">
        <f>RTD("tos.rtd", , "LAST", "IVV")</f>
        <v>354.52</v>
      </c>
      <c r="F309">
        <f>RTD("tos.rtd", , "VOLUME", "IVV")</f>
        <v>3794928</v>
      </c>
      <c r="G309">
        <f>RTD("tos.rtd", , "OPEN_INT", "IVV")</f>
        <v>0</v>
      </c>
      <c r="H309">
        <f>RTD("tos.rtd", , "BID", "IVV")</f>
        <v>353.91</v>
      </c>
      <c r="I309">
        <f>RTD("tos.rtd", , "ASK", "IVV")</f>
        <v>353.96</v>
      </c>
      <c r="J309">
        <f>RTD("tos.rtd", , "HIGH", "IVV")</f>
        <v>357.69</v>
      </c>
      <c r="K309">
        <f>RTD("tos.rtd", , "LOW", "IVV")</f>
        <v>352.54</v>
      </c>
      <c r="L309">
        <f>RTD("tos.rtd", , "OPEN", "IVV")</f>
        <v>356.85</v>
      </c>
      <c r="M309">
        <f>RTD("tos.rtd", , "DELTA", "IVV")</f>
        <v>1</v>
      </c>
      <c r="N309">
        <f>RTD("tos.rtd", , "GAMMA", "IVV")</f>
        <v>0</v>
      </c>
      <c r="O309">
        <f>RTD("tos.rtd", , "THETA", "IVV")</f>
        <v>0</v>
      </c>
      <c r="P309">
        <f>RTD("tos.rtd", , "VEGA", "IVV")</f>
        <v>0</v>
      </c>
      <c r="Q309">
        <f>RTD("tos.rtd", , "RHO", "IVV")</f>
        <v>0</v>
      </c>
      <c r="R309" t="str">
        <f>RTD("tos.rtd", , "INTRINSIC", "IVV")</f>
        <v>N/A</v>
      </c>
      <c r="S309" t="str">
        <f>RTD("tos.rtd", , "EXTRINSIC", "IVV")</f>
        <v>N/A</v>
      </c>
      <c r="T309" t="str">
        <f>RTD("tos.rtd", , "PROB_OF_EXPIRING", "IVV")</f>
        <v>N/A</v>
      </c>
      <c r="U309" t="str">
        <f>RTD("tos.rtd", , "PROB_OTM", "IVV")</f>
        <v>N/A</v>
      </c>
      <c r="V309" t="str">
        <f>RTD("tos.rtd", , "PROB_OF_TOUCHING", "IVV")</f>
        <v>N/A</v>
      </c>
      <c r="W309" t="str">
        <f>RTD("tos.rtd", , "STRIKE", "IVV")</f>
        <v>N/A</v>
      </c>
    </row>
    <row r="310" spans="1:23" x14ac:dyDescent="0.45">
      <c r="A310" t="s">
        <v>331</v>
      </c>
      <c r="B310" t="str">
        <f>RTD("tos.rtd", , "DESCRIPTION", ".IVV201120C354")</f>
        <v>N/A</v>
      </c>
      <c r="C310" t="str">
        <f>RTD("tos.rtd", , "PUT_CALL_RATIO", ".IVV201120C354")</f>
        <v>N/A</v>
      </c>
      <c r="D310" t="str">
        <f>RTD("tos.rtd", , "IMPL_VOL", ".IVV201120C354")</f>
        <v>N/A</v>
      </c>
      <c r="E310">
        <f>RTD("tos.rtd", , "LAST", ".IVV201120C354")</f>
        <v>1.1499999999999999</v>
      </c>
      <c r="F310">
        <f>RTD("tos.rtd", , "VOLUME", ".IVV201120C354")</f>
        <v>0</v>
      </c>
      <c r="G310">
        <f>RTD("tos.rtd", , "OPEN_INT", ".IVV201120C354")</f>
        <v>3</v>
      </c>
      <c r="H310">
        <f>RTD("tos.rtd", , "BID", ".IVV201120C354")</f>
        <v>4.2</v>
      </c>
      <c r="I310">
        <f>RTD("tos.rtd", , "ASK", ".IVV201120C354")</f>
        <v>5.0999999999999996</v>
      </c>
      <c r="J310">
        <f>RTD("tos.rtd", , "HIGH", ".IVV201120C354")</f>
        <v>0</v>
      </c>
      <c r="K310">
        <f>RTD("tos.rtd", , "LOW", ".IVV201120C354")</f>
        <v>0</v>
      </c>
      <c r="L310">
        <f>RTD("tos.rtd", , "OPEN", ".IVV201120C354")</f>
        <v>0</v>
      </c>
      <c r="M310" t="str">
        <f>RTD("tos.rtd", , "DELTA", ".IVV201120C354")</f>
        <v>N/A</v>
      </c>
      <c r="N310" t="str">
        <f>RTD("tos.rtd", , "GAMMA", ".IVV201120C354")</f>
        <v>N/A</v>
      </c>
      <c r="O310" t="str">
        <f>RTD("tos.rtd", , "THETA", ".IVV201120C354")</f>
        <v>N/A</v>
      </c>
      <c r="P310" t="str">
        <f>RTD("tos.rtd", , "VEGA", ".IVV201120C354")</f>
        <v>N/A</v>
      </c>
      <c r="Q310" t="str">
        <f>RTD("tos.rtd", , "RHO", ".IVV201120C354")</f>
        <v>N/A</v>
      </c>
      <c r="R310" t="str">
        <f>RTD("tos.rtd", , "INTRINSIC", ".IVV201120C354")</f>
        <v>N/A</v>
      </c>
      <c r="S310" t="str">
        <f>RTD("tos.rtd", , "EXTRINSIC", ".IVV201120C354")</f>
        <v>N/A</v>
      </c>
      <c r="T310" t="str">
        <f>RTD("tos.rtd", , "PROB_OF_EXPIRING", ".IVV201120C354")</f>
        <v>N/A</v>
      </c>
      <c r="U310" t="str">
        <f>RTD("tos.rtd", , "PROB_OTM", ".IVV201120C354")</f>
        <v>N/A</v>
      </c>
      <c r="V310" t="str">
        <f>RTD("tos.rtd", , "PROB_OF_TOUCHING", ".IVV201120C354")</f>
        <v>N/A</v>
      </c>
      <c r="W310" t="str">
        <f>RTD("tos.rtd", , "STRIKE", ".IVV201120C354")</f>
        <v>N/A</v>
      </c>
    </row>
    <row r="311" spans="1:23" x14ac:dyDescent="0.45">
      <c r="A311" t="s">
        <v>332</v>
      </c>
      <c r="B311" t="str">
        <f>RTD("tos.rtd", , "DESCRIPTION", ".IVV201120P354")</f>
        <v>N/A</v>
      </c>
      <c r="C311" t="str">
        <f>RTD("tos.rtd", , "PUT_CALL_RATIO", ".IVV201120P354")</f>
        <v>N/A</v>
      </c>
      <c r="D311" t="str">
        <f>RTD("tos.rtd", , "IMPL_VOL", ".IVV201120P354")</f>
        <v>N/A</v>
      </c>
      <c r="E311">
        <f>RTD("tos.rtd", , "LAST", ".IVV201120P354")</f>
        <v>0</v>
      </c>
      <c r="F311">
        <f>RTD("tos.rtd", , "VOLUME", ".IVV201120P354")</f>
        <v>0</v>
      </c>
      <c r="G311">
        <f>RTD("tos.rtd", , "OPEN_INT", ".IVV201120P354")</f>
        <v>0</v>
      </c>
      <c r="H311">
        <f>RTD("tos.rtd", , "BID", ".IVV201120P354")</f>
        <v>4.0999999999999996</v>
      </c>
      <c r="I311">
        <f>RTD("tos.rtd", , "ASK", ".IVV201120P354")</f>
        <v>4.9000000000000004</v>
      </c>
      <c r="J311">
        <f>RTD("tos.rtd", , "HIGH", ".IVV201120P354")</f>
        <v>0</v>
      </c>
      <c r="K311">
        <f>RTD("tos.rtd", , "LOW", ".IVV201120P354")</f>
        <v>0</v>
      </c>
      <c r="L311">
        <f>RTD("tos.rtd", , "OPEN", ".IVV201120P354")</f>
        <v>0</v>
      </c>
      <c r="M311" t="str">
        <f>RTD("tos.rtd", , "DELTA", ".IVV201120P354")</f>
        <v>N/A</v>
      </c>
      <c r="N311" t="str">
        <f>RTD("tos.rtd", , "GAMMA", ".IVV201120P354")</f>
        <v>N/A</v>
      </c>
      <c r="O311" t="str">
        <f>RTD("tos.rtd", , "THETA", ".IVV201120P354")</f>
        <v>N/A</v>
      </c>
      <c r="P311" t="str">
        <f>RTD("tos.rtd", , "VEGA", ".IVV201120P354")</f>
        <v>N/A</v>
      </c>
      <c r="Q311" t="str">
        <f>RTD("tos.rtd", , "RHO", ".IVV201120P354")</f>
        <v>N/A</v>
      </c>
      <c r="R311" t="str">
        <f>RTD("tos.rtd", , "INTRINSIC", ".IVV201120P354")</f>
        <v>N/A</v>
      </c>
      <c r="S311" t="str">
        <f>RTD("tos.rtd", , "EXTRINSIC", ".IVV201120P354")</f>
        <v>N/A</v>
      </c>
      <c r="T311" t="str">
        <f>RTD("tos.rtd", , "PROB_OF_EXPIRING", ".IVV201120P354")</f>
        <v>N/A</v>
      </c>
      <c r="U311" t="str">
        <f>RTD("tos.rtd", , "PROB_OTM", ".IVV201120P354")</f>
        <v>N/A</v>
      </c>
      <c r="V311" t="str">
        <f>RTD("tos.rtd", , "PROB_OF_TOUCHING", ".IVV201120P354")</f>
        <v>N/A</v>
      </c>
      <c r="W311" t="str">
        <f>RTD("tos.rtd", , "STRIKE", ".IVV201120P354")</f>
        <v>N/A</v>
      </c>
    </row>
    <row r="312" spans="1:23" x14ac:dyDescent="0.45">
      <c r="A312" t="s">
        <v>333</v>
      </c>
      <c r="B312" t="str">
        <f>RTD("tos.rtd", , "DESCRIPTION", ".IVV201120C355")</f>
        <v>N/A</v>
      </c>
      <c r="C312" t="str">
        <f>RTD("tos.rtd", , "PUT_CALL_RATIO", ".IVV201120C355")</f>
        <v>N/A</v>
      </c>
      <c r="D312" t="str">
        <f>RTD("tos.rtd", , "IMPL_VOL", ".IVV201120C355")</f>
        <v>N/A</v>
      </c>
      <c r="E312">
        <f>RTD("tos.rtd", , "LAST", ".IVV201120C355")</f>
        <v>4</v>
      </c>
      <c r="F312">
        <f>RTD("tos.rtd", , "VOLUME", ".IVV201120C355")</f>
        <v>3</v>
      </c>
      <c r="G312">
        <f>RTD("tos.rtd", , "OPEN_INT", ".IVV201120C355")</f>
        <v>24</v>
      </c>
      <c r="H312">
        <f>RTD("tos.rtd", , "BID", ".IVV201120C355")</f>
        <v>3.9</v>
      </c>
      <c r="I312">
        <f>RTD("tos.rtd", , "ASK", ".IVV201120C355")</f>
        <v>4.5</v>
      </c>
      <c r="J312">
        <f>RTD("tos.rtd", , "HIGH", ".IVV201120C355")</f>
        <v>4.2</v>
      </c>
      <c r="K312">
        <f>RTD("tos.rtd", , "LOW", ".IVV201120C355")</f>
        <v>4</v>
      </c>
      <c r="L312">
        <f>RTD("tos.rtd", , "OPEN", ".IVV201120C355")</f>
        <v>4.2</v>
      </c>
      <c r="M312" t="str">
        <f>RTD("tos.rtd", , "DELTA", ".IVV201120C355")</f>
        <v>N/A</v>
      </c>
      <c r="N312" t="str">
        <f>RTD("tos.rtd", , "GAMMA", ".IVV201120C355")</f>
        <v>N/A</v>
      </c>
      <c r="O312" t="str">
        <f>RTD("tos.rtd", , "THETA", ".IVV201120C355")</f>
        <v>N/A</v>
      </c>
      <c r="P312" t="str">
        <f>RTD("tos.rtd", , "VEGA", ".IVV201120C355")</f>
        <v>N/A</v>
      </c>
      <c r="Q312" t="str">
        <f>RTD("tos.rtd", , "RHO", ".IVV201120C355")</f>
        <v>N/A</v>
      </c>
      <c r="R312" t="str">
        <f>RTD("tos.rtd", , "INTRINSIC", ".IVV201120C355")</f>
        <v>N/A</v>
      </c>
      <c r="S312" t="str">
        <f>RTD("tos.rtd", , "EXTRINSIC", ".IVV201120C355")</f>
        <v>N/A</v>
      </c>
      <c r="T312" t="str">
        <f>RTD("tos.rtd", , "PROB_OF_EXPIRING", ".IVV201120C355")</f>
        <v>N/A</v>
      </c>
      <c r="U312" t="str">
        <f>RTD("tos.rtd", , "PROB_OTM", ".IVV201120C355")</f>
        <v>N/A</v>
      </c>
      <c r="V312" t="str">
        <f>RTD("tos.rtd", , "PROB_OF_TOUCHING", ".IVV201120C355")</f>
        <v>N/A</v>
      </c>
      <c r="W312" t="str">
        <f>RTD("tos.rtd", , "STRIKE", ".IVV201120C355")</f>
        <v>N/A</v>
      </c>
    </row>
    <row r="313" spans="1:23" x14ac:dyDescent="0.45">
      <c r="A313" t="s">
        <v>334</v>
      </c>
      <c r="B313" t="str">
        <f>RTD("tos.rtd", , "DESCRIPTION", ".IVV201120P355")</f>
        <v>N/A</v>
      </c>
      <c r="C313" t="str">
        <f>RTD("tos.rtd", , "PUT_CALL_RATIO", ".IVV201120P355")</f>
        <v>N/A</v>
      </c>
      <c r="D313" t="str">
        <f>RTD("tos.rtd", , "IMPL_VOL", ".IVV201120P355")</f>
        <v>N/A</v>
      </c>
      <c r="E313">
        <f>RTD("tos.rtd", , "LAST", ".IVV201120P355")</f>
        <v>5.3</v>
      </c>
      <c r="F313">
        <f>RTD("tos.rtd", , "VOLUME", ".IVV201120P355")</f>
        <v>5</v>
      </c>
      <c r="G313">
        <f>RTD("tos.rtd", , "OPEN_INT", ".IVV201120P355")</f>
        <v>5</v>
      </c>
      <c r="H313">
        <f>RTD("tos.rtd", , "BID", ".IVV201120P355")</f>
        <v>4.0999999999999996</v>
      </c>
      <c r="I313">
        <f>RTD("tos.rtd", , "ASK", ".IVV201120P355")</f>
        <v>5.7</v>
      </c>
      <c r="J313">
        <f>RTD("tos.rtd", , "HIGH", ".IVV201120P355")</f>
        <v>5.3</v>
      </c>
      <c r="K313">
        <f>RTD("tos.rtd", , "LOW", ".IVV201120P355")</f>
        <v>4.5</v>
      </c>
      <c r="L313">
        <f>RTD("tos.rtd", , "OPEN", ".IVV201120P355")</f>
        <v>4.5</v>
      </c>
      <c r="M313" t="str">
        <f>RTD("tos.rtd", , "DELTA", ".IVV201120P355")</f>
        <v>N/A</v>
      </c>
      <c r="N313" t="str">
        <f>RTD("tos.rtd", , "GAMMA", ".IVV201120P355")</f>
        <v>N/A</v>
      </c>
      <c r="O313" t="str">
        <f>RTD("tos.rtd", , "THETA", ".IVV201120P355")</f>
        <v>N/A</v>
      </c>
      <c r="P313" t="str">
        <f>RTD("tos.rtd", , "VEGA", ".IVV201120P355")</f>
        <v>N/A</v>
      </c>
      <c r="Q313" t="str">
        <f>RTD("tos.rtd", , "RHO", ".IVV201120P355")</f>
        <v>N/A</v>
      </c>
      <c r="R313" t="str">
        <f>RTD("tos.rtd", , "INTRINSIC", ".IVV201120P355")</f>
        <v>N/A</v>
      </c>
      <c r="S313" t="str">
        <f>RTD("tos.rtd", , "EXTRINSIC", ".IVV201120P355")</f>
        <v>N/A</v>
      </c>
      <c r="T313" t="str">
        <f>RTD("tos.rtd", , "PROB_OF_EXPIRING", ".IVV201120P355")</f>
        <v>N/A</v>
      </c>
      <c r="U313" t="str">
        <f>RTD("tos.rtd", , "PROB_OTM", ".IVV201120P355")</f>
        <v>N/A</v>
      </c>
      <c r="V313" t="str">
        <f>RTD("tos.rtd", , "PROB_OF_TOUCHING", ".IVV201120P355")</f>
        <v>N/A</v>
      </c>
      <c r="W313" t="str">
        <f>RTD("tos.rtd", , "STRIKE", ".IVV201120P355")</f>
        <v>N/A</v>
      </c>
    </row>
    <row r="314" spans="1:23" x14ac:dyDescent="0.45">
      <c r="A314" t="s">
        <v>335</v>
      </c>
      <c r="B314" t="str">
        <f>RTD("tos.rtd", , "DESCRIPTION", ".IVV201120C356")</f>
        <v>N/A</v>
      </c>
      <c r="C314" t="str">
        <f>RTD("tos.rtd", , "PUT_CALL_RATIO", ".IVV201120C356")</f>
        <v>N/A</v>
      </c>
      <c r="D314" t="str">
        <f>RTD("tos.rtd", , "IMPL_VOL", ".IVV201120C356")</f>
        <v>N/A</v>
      </c>
      <c r="E314">
        <f>RTD("tos.rtd", , "LAST", ".IVV201120C356")</f>
        <v>2.4500000000000002</v>
      </c>
      <c r="F314">
        <f>RTD("tos.rtd", , "VOLUME", ".IVV201120C356")</f>
        <v>0</v>
      </c>
      <c r="G314">
        <f>RTD("tos.rtd", , "OPEN_INT", ".IVV201120C356")</f>
        <v>153</v>
      </c>
      <c r="H314">
        <f>RTD("tos.rtd", , "BID", ".IVV201120C356")</f>
        <v>2.95</v>
      </c>
      <c r="I314">
        <f>RTD("tos.rtd", , "ASK", ".IVV201120C356")</f>
        <v>3.9</v>
      </c>
      <c r="J314">
        <f>RTD("tos.rtd", , "HIGH", ".IVV201120C356")</f>
        <v>0</v>
      </c>
      <c r="K314">
        <f>RTD("tos.rtd", , "LOW", ".IVV201120C356")</f>
        <v>0</v>
      </c>
      <c r="L314">
        <f>RTD("tos.rtd", , "OPEN", ".IVV201120C356")</f>
        <v>0</v>
      </c>
      <c r="M314" t="str">
        <f>RTD("tos.rtd", , "DELTA", ".IVV201120C356")</f>
        <v>N/A</v>
      </c>
      <c r="N314" t="str">
        <f>RTD("tos.rtd", , "GAMMA", ".IVV201120C356")</f>
        <v>N/A</v>
      </c>
      <c r="O314" t="str">
        <f>RTD("tos.rtd", , "THETA", ".IVV201120C356")</f>
        <v>N/A</v>
      </c>
      <c r="P314" t="str">
        <f>RTD("tos.rtd", , "VEGA", ".IVV201120C356")</f>
        <v>N/A</v>
      </c>
      <c r="Q314" t="str">
        <f>RTD("tos.rtd", , "RHO", ".IVV201120C356")</f>
        <v>N/A</v>
      </c>
      <c r="R314" t="str">
        <f>RTD("tos.rtd", , "INTRINSIC", ".IVV201120C356")</f>
        <v>N/A</v>
      </c>
      <c r="S314" t="str">
        <f>RTD("tos.rtd", , "EXTRINSIC", ".IVV201120C356")</f>
        <v>N/A</v>
      </c>
      <c r="T314" t="str">
        <f>RTD("tos.rtd", , "PROB_OF_EXPIRING", ".IVV201120C356")</f>
        <v>N/A</v>
      </c>
      <c r="U314" t="str">
        <f>RTD("tos.rtd", , "PROB_OTM", ".IVV201120C356")</f>
        <v>N/A</v>
      </c>
      <c r="V314" t="str">
        <f>RTD("tos.rtd", , "PROB_OF_TOUCHING", ".IVV201120C356")</f>
        <v>N/A</v>
      </c>
      <c r="W314" t="str">
        <f>RTD("tos.rtd", , "STRIKE", ".IVV201120C356")</f>
        <v>N/A</v>
      </c>
    </row>
    <row r="315" spans="1:23" x14ac:dyDescent="0.45">
      <c r="A315" t="s">
        <v>336</v>
      </c>
      <c r="B315" t="str">
        <f>RTD("tos.rtd", , "DESCRIPTION", ".IVV201120P356")</f>
        <v>N/A</v>
      </c>
      <c r="C315" t="str">
        <f>RTD("tos.rtd", , "PUT_CALL_RATIO", ".IVV201120P356")</f>
        <v>N/A</v>
      </c>
      <c r="D315" t="str">
        <f>RTD("tos.rtd", , "IMPL_VOL", ".IVV201120P356")</f>
        <v>N/A</v>
      </c>
      <c r="E315">
        <f>RTD("tos.rtd", , "LAST", ".IVV201120P356")</f>
        <v>5.85</v>
      </c>
      <c r="F315">
        <f>RTD("tos.rtd", , "VOLUME", ".IVV201120P356")</f>
        <v>0</v>
      </c>
      <c r="G315">
        <f>RTD("tos.rtd", , "OPEN_INT", ".IVV201120P356")</f>
        <v>1</v>
      </c>
      <c r="H315">
        <f>RTD("tos.rtd", , "BID", ".IVV201120P356")</f>
        <v>4.9000000000000004</v>
      </c>
      <c r="I315">
        <f>RTD("tos.rtd", , "ASK", ".IVV201120P356")</f>
        <v>5.9</v>
      </c>
      <c r="J315">
        <f>RTD("tos.rtd", , "HIGH", ".IVV201120P356")</f>
        <v>0</v>
      </c>
      <c r="K315">
        <f>RTD("tos.rtd", , "LOW", ".IVV201120P356")</f>
        <v>0</v>
      </c>
      <c r="L315">
        <f>RTD("tos.rtd", , "OPEN", ".IVV201120P356")</f>
        <v>0</v>
      </c>
      <c r="M315" t="str">
        <f>RTD("tos.rtd", , "DELTA", ".IVV201120P356")</f>
        <v>N/A</v>
      </c>
      <c r="N315" t="str">
        <f>RTD("tos.rtd", , "GAMMA", ".IVV201120P356")</f>
        <v>N/A</v>
      </c>
      <c r="O315" t="str">
        <f>RTD("tos.rtd", , "THETA", ".IVV201120P356")</f>
        <v>N/A</v>
      </c>
      <c r="P315" t="str">
        <f>RTD("tos.rtd", , "VEGA", ".IVV201120P356")</f>
        <v>N/A</v>
      </c>
      <c r="Q315" t="str">
        <f>RTD("tos.rtd", , "RHO", ".IVV201120P356")</f>
        <v>N/A</v>
      </c>
      <c r="R315" t="str">
        <f>RTD("tos.rtd", , "INTRINSIC", ".IVV201120P356")</f>
        <v>N/A</v>
      </c>
      <c r="S315" t="str">
        <f>RTD("tos.rtd", , "EXTRINSIC", ".IVV201120P356")</f>
        <v>N/A</v>
      </c>
      <c r="T315" t="str">
        <f>RTD("tos.rtd", , "PROB_OF_EXPIRING", ".IVV201120P356")</f>
        <v>N/A</v>
      </c>
      <c r="U315" t="str">
        <f>RTD("tos.rtd", , "PROB_OTM", ".IVV201120P356")</f>
        <v>N/A</v>
      </c>
      <c r="V315" t="str">
        <f>RTD("tos.rtd", , "PROB_OF_TOUCHING", ".IVV201120P356")</f>
        <v>N/A</v>
      </c>
      <c r="W315" t="str">
        <f>RTD("tos.rtd", , "STRIKE", ".IVV201120P356")</f>
        <v>N/A</v>
      </c>
    </row>
    <row r="316" spans="1:23" x14ac:dyDescent="0.45">
      <c r="A316" t="s">
        <v>337</v>
      </c>
      <c r="B316" t="str">
        <f>RTD("tos.rtd", , "DESCRIPTION", ".IVV201120C357")</f>
        <v>N/A</v>
      </c>
      <c r="C316" t="str">
        <f>RTD("tos.rtd", , "PUT_CALL_RATIO", ".IVV201120C357")</f>
        <v>N/A</v>
      </c>
      <c r="D316" t="str">
        <f>RTD("tos.rtd", , "IMPL_VOL", ".IVV201120C357")</f>
        <v>N/A</v>
      </c>
      <c r="E316">
        <f>RTD("tos.rtd", , "LAST", ".IVV201120C357")</f>
        <v>0</v>
      </c>
      <c r="F316">
        <f>RTD("tos.rtd", , "VOLUME", ".IVV201120C357")</f>
        <v>0</v>
      </c>
      <c r="G316">
        <f>RTD("tos.rtd", , "OPEN_INT", ".IVV201120C357")</f>
        <v>0</v>
      </c>
      <c r="H316">
        <f>RTD("tos.rtd", , "BID", ".IVV201120C357")</f>
        <v>2.65</v>
      </c>
      <c r="I316">
        <f>RTD("tos.rtd", , "ASK", ".IVV201120C357")</f>
        <v>3.4</v>
      </c>
      <c r="J316">
        <f>RTD("tos.rtd", , "HIGH", ".IVV201120C357")</f>
        <v>0</v>
      </c>
      <c r="K316">
        <f>RTD("tos.rtd", , "LOW", ".IVV201120C357")</f>
        <v>0</v>
      </c>
      <c r="L316">
        <f>RTD("tos.rtd", , "OPEN", ".IVV201120C357")</f>
        <v>0</v>
      </c>
      <c r="M316" t="str">
        <f>RTD("tos.rtd", , "DELTA", ".IVV201120C357")</f>
        <v>N/A</v>
      </c>
      <c r="N316" t="str">
        <f>RTD("tos.rtd", , "GAMMA", ".IVV201120C357")</f>
        <v>N/A</v>
      </c>
      <c r="O316" t="str">
        <f>RTD("tos.rtd", , "THETA", ".IVV201120C357")</f>
        <v>N/A</v>
      </c>
      <c r="P316" t="str">
        <f>RTD("tos.rtd", , "VEGA", ".IVV201120C357")</f>
        <v>N/A</v>
      </c>
      <c r="Q316" t="str">
        <f>RTD("tos.rtd", , "RHO", ".IVV201120C357")</f>
        <v>N/A</v>
      </c>
      <c r="R316" t="str">
        <f>RTD("tos.rtd", , "INTRINSIC", ".IVV201120C357")</f>
        <v>N/A</v>
      </c>
      <c r="S316" t="str">
        <f>RTD("tos.rtd", , "EXTRINSIC", ".IVV201120C357")</f>
        <v>N/A</v>
      </c>
      <c r="T316" t="str">
        <f>RTD("tos.rtd", , "PROB_OF_EXPIRING", ".IVV201120C357")</f>
        <v>N/A</v>
      </c>
      <c r="U316" t="str">
        <f>RTD("tos.rtd", , "PROB_OTM", ".IVV201120C357")</f>
        <v>N/A</v>
      </c>
      <c r="V316" t="str">
        <f>RTD("tos.rtd", , "PROB_OF_TOUCHING", ".IVV201120C357")</f>
        <v>N/A</v>
      </c>
      <c r="W316" t="str">
        <f>RTD("tos.rtd", , "STRIKE", ".IVV201120C357")</f>
        <v>N/A</v>
      </c>
    </row>
    <row r="317" spans="1:23" x14ac:dyDescent="0.45">
      <c r="A317" t="s">
        <v>338</v>
      </c>
      <c r="B317" t="str">
        <f>RTD("tos.rtd", , "DESCRIPTION", ".IVV201120P357")</f>
        <v>N/A</v>
      </c>
      <c r="C317" t="str">
        <f>RTD("tos.rtd", , "PUT_CALL_RATIO", ".IVV201120P357")</f>
        <v>N/A</v>
      </c>
      <c r="D317" t="str">
        <f>RTD("tos.rtd", , "IMPL_VOL", ".IVV201120P357")</f>
        <v>N/A</v>
      </c>
      <c r="E317">
        <f>RTD("tos.rtd", , "LAST", ".IVV201120P357")</f>
        <v>0</v>
      </c>
      <c r="F317">
        <f>RTD("tos.rtd", , "VOLUME", ".IVV201120P357")</f>
        <v>0</v>
      </c>
      <c r="G317">
        <f>RTD("tos.rtd", , "OPEN_INT", ".IVV201120P357")</f>
        <v>0</v>
      </c>
      <c r="H317">
        <f>RTD("tos.rtd", , "BID", ".IVV201120P357")</f>
        <v>5.3</v>
      </c>
      <c r="I317">
        <f>RTD("tos.rtd", , "ASK", ".IVV201120P357")</f>
        <v>6.8</v>
      </c>
      <c r="J317">
        <f>RTD("tos.rtd", , "HIGH", ".IVV201120P357")</f>
        <v>0</v>
      </c>
      <c r="K317">
        <f>RTD("tos.rtd", , "LOW", ".IVV201120P357")</f>
        <v>0</v>
      </c>
      <c r="L317">
        <f>RTD("tos.rtd", , "OPEN", ".IVV201120P357")</f>
        <v>0</v>
      </c>
      <c r="M317" t="str">
        <f>RTD("tos.rtd", , "DELTA", ".IVV201120P357")</f>
        <v>N/A</v>
      </c>
      <c r="N317" t="str">
        <f>RTD("tos.rtd", , "GAMMA", ".IVV201120P357")</f>
        <v>N/A</v>
      </c>
      <c r="O317" t="str">
        <f>RTD("tos.rtd", , "THETA", ".IVV201120P357")</f>
        <v>N/A</v>
      </c>
      <c r="P317" t="str">
        <f>RTD("tos.rtd", , "VEGA", ".IVV201120P357")</f>
        <v>N/A</v>
      </c>
      <c r="Q317" t="str">
        <f>RTD("tos.rtd", , "RHO", ".IVV201120P357")</f>
        <v>N/A</v>
      </c>
      <c r="R317" t="str">
        <f>RTD("tos.rtd", , "INTRINSIC", ".IVV201120P357")</f>
        <v>N/A</v>
      </c>
      <c r="S317" t="str">
        <f>RTD("tos.rtd", , "EXTRINSIC", ".IVV201120P357")</f>
        <v>N/A</v>
      </c>
      <c r="T317" t="str">
        <f>RTD("tos.rtd", , "PROB_OF_EXPIRING", ".IVV201120P357")</f>
        <v>N/A</v>
      </c>
      <c r="U317" t="str">
        <f>RTD("tos.rtd", , "PROB_OTM", ".IVV201120P357")</f>
        <v>N/A</v>
      </c>
      <c r="V317" t="str">
        <f>RTD("tos.rtd", , "PROB_OF_TOUCHING", ".IVV201120P357")</f>
        <v>N/A</v>
      </c>
      <c r="W317" t="str">
        <f>RTD("tos.rtd", , "STRIKE", ".IVV201120P357")</f>
        <v>N/A</v>
      </c>
    </row>
    <row r="318" spans="1:23" x14ac:dyDescent="0.45">
      <c r="A318" t="s">
        <v>339</v>
      </c>
      <c r="B318" t="str">
        <f>RTD("tos.rtd", , "DESCRIPTION", ".IVV201120C357.5")</f>
        <v>N/A</v>
      </c>
      <c r="C318" t="str">
        <f>RTD("tos.rtd", , "PUT_CALL_RATIO", ".IVV201120C357.5")</f>
        <v>N/A</v>
      </c>
      <c r="D318" t="str">
        <f>RTD("tos.rtd", , "IMPL_VOL", ".IVV201120C357.5")</f>
        <v>N/A</v>
      </c>
      <c r="E318">
        <f>RTD("tos.rtd", , "LAST", ".IVV201120C357.5")</f>
        <v>4.5</v>
      </c>
      <c r="F318">
        <f>RTD("tos.rtd", , "VOLUME", ".IVV201120C357.5")</f>
        <v>0</v>
      </c>
      <c r="G318">
        <f>RTD("tos.rtd", , "OPEN_INT", ".IVV201120C357.5")</f>
        <v>1</v>
      </c>
      <c r="H318">
        <f>RTD("tos.rtd", , "BID", ".IVV201120C357.5")</f>
        <v>2.5499999999999998</v>
      </c>
      <c r="I318">
        <f>RTD("tos.rtd", , "ASK", ".IVV201120C357.5")</f>
        <v>3.1</v>
      </c>
      <c r="J318">
        <f>RTD("tos.rtd", , "HIGH", ".IVV201120C357.5")</f>
        <v>0</v>
      </c>
      <c r="K318">
        <f>RTD("tos.rtd", , "LOW", ".IVV201120C357.5")</f>
        <v>0</v>
      </c>
      <c r="L318">
        <f>RTD("tos.rtd", , "OPEN", ".IVV201120C357.5")</f>
        <v>0</v>
      </c>
      <c r="M318" t="str">
        <f>RTD("tos.rtd", , "DELTA", ".IVV201120C357.5")</f>
        <v>N/A</v>
      </c>
      <c r="N318" t="str">
        <f>RTD("tos.rtd", , "GAMMA", ".IVV201120C357.5")</f>
        <v>N/A</v>
      </c>
      <c r="O318" t="str">
        <f>RTD("tos.rtd", , "THETA", ".IVV201120C357.5")</f>
        <v>N/A</v>
      </c>
      <c r="P318" t="str">
        <f>RTD("tos.rtd", , "VEGA", ".IVV201120C357.5")</f>
        <v>N/A</v>
      </c>
      <c r="Q318" t="str">
        <f>RTD("tos.rtd", , "RHO", ".IVV201120C357.5")</f>
        <v>N/A</v>
      </c>
      <c r="R318" t="str">
        <f>RTD("tos.rtd", , "INTRINSIC", ".IVV201120C357.5")</f>
        <v>N/A</v>
      </c>
      <c r="S318" t="str">
        <f>RTD("tos.rtd", , "EXTRINSIC", ".IVV201120C357.5")</f>
        <v>N/A</v>
      </c>
      <c r="T318" t="str">
        <f>RTD("tos.rtd", , "PROB_OF_EXPIRING", ".IVV201120C357.5")</f>
        <v>N/A</v>
      </c>
      <c r="U318" t="str">
        <f>RTD("tos.rtd", , "PROB_OTM", ".IVV201120C357.5")</f>
        <v>N/A</v>
      </c>
      <c r="V318" t="str">
        <f>RTD("tos.rtd", , "PROB_OF_TOUCHING", ".IVV201120C357.5")</f>
        <v>N/A</v>
      </c>
      <c r="W318" t="str">
        <f>RTD("tos.rtd", , "STRIKE", ".IVV201120C357.5")</f>
        <v>N/A</v>
      </c>
    </row>
    <row r="319" spans="1:23" x14ac:dyDescent="0.45">
      <c r="A319" t="s">
        <v>340</v>
      </c>
      <c r="B319" t="str">
        <f>RTD("tos.rtd", , "DESCRIPTION", ".IVV201120P357.5")</f>
        <v>N/A</v>
      </c>
      <c r="C319" t="str">
        <f>RTD("tos.rtd", , "PUT_CALL_RATIO", ".IVV201120P357.5")</f>
        <v>N/A</v>
      </c>
      <c r="D319" t="str">
        <f>RTD("tos.rtd", , "IMPL_VOL", ".IVV201120P357.5")</f>
        <v>N/A</v>
      </c>
      <c r="E319">
        <f>RTD("tos.rtd", , "LAST", ".IVV201120P357.5")</f>
        <v>3.55</v>
      </c>
      <c r="F319">
        <f>RTD("tos.rtd", , "VOLUME", ".IVV201120P357.5")</f>
        <v>0</v>
      </c>
      <c r="G319">
        <f>RTD("tos.rtd", , "OPEN_INT", ".IVV201120P357.5")</f>
        <v>2</v>
      </c>
      <c r="H319">
        <f>RTD("tos.rtd", , "BID", ".IVV201120P357.5")</f>
        <v>5.6</v>
      </c>
      <c r="I319">
        <f>RTD("tos.rtd", , "ASK", ".IVV201120P357.5")</f>
        <v>6.5</v>
      </c>
      <c r="J319">
        <f>RTD("tos.rtd", , "HIGH", ".IVV201120P357.5")</f>
        <v>0</v>
      </c>
      <c r="K319">
        <f>RTD("tos.rtd", , "LOW", ".IVV201120P357.5")</f>
        <v>0</v>
      </c>
      <c r="L319">
        <f>RTD("tos.rtd", , "OPEN", ".IVV201120P357.5")</f>
        <v>0</v>
      </c>
      <c r="M319" t="str">
        <f>RTD("tos.rtd", , "DELTA", ".IVV201120P357.5")</f>
        <v>N/A</v>
      </c>
      <c r="N319" t="str">
        <f>RTD("tos.rtd", , "GAMMA", ".IVV201120P357.5")</f>
        <v>N/A</v>
      </c>
      <c r="O319" t="str">
        <f>RTD("tos.rtd", , "THETA", ".IVV201120P357.5")</f>
        <v>N/A</v>
      </c>
      <c r="P319" t="str">
        <f>RTD("tos.rtd", , "VEGA", ".IVV201120P357.5")</f>
        <v>N/A</v>
      </c>
      <c r="Q319" t="str">
        <f>RTD("tos.rtd", , "RHO", ".IVV201120P357.5")</f>
        <v>N/A</v>
      </c>
      <c r="R319" t="str">
        <f>RTD("tos.rtd", , "INTRINSIC", ".IVV201120P357.5")</f>
        <v>N/A</v>
      </c>
      <c r="S319" t="str">
        <f>RTD("tos.rtd", , "EXTRINSIC", ".IVV201120P357.5")</f>
        <v>N/A</v>
      </c>
      <c r="T319" t="str">
        <f>RTD("tos.rtd", , "PROB_OF_EXPIRING", ".IVV201120P357.5")</f>
        <v>N/A</v>
      </c>
      <c r="U319" t="str">
        <f>RTD("tos.rtd", , "PROB_OTM", ".IVV201120P357.5")</f>
        <v>N/A</v>
      </c>
      <c r="V319" t="str">
        <f>RTD("tos.rtd", , "PROB_OF_TOUCHING", ".IVV201120P357.5")</f>
        <v>N/A</v>
      </c>
      <c r="W319" t="str">
        <f>RTD("tos.rtd", , "STRIKE", ".IVV201120P357.5")</f>
        <v>N/A</v>
      </c>
    </row>
    <row r="320" spans="1:23" x14ac:dyDescent="0.45">
      <c r="A320" t="s">
        <v>341</v>
      </c>
      <c r="B320" t="str">
        <f>RTD("tos.rtd", , "DESCRIPTION", ".IVV201120C358")</f>
        <v>N/A</v>
      </c>
      <c r="C320" t="str">
        <f>RTD("tos.rtd", , "PUT_CALL_RATIO", ".IVV201120C358")</f>
        <v>N/A</v>
      </c>
      <c r="D320" t="str">
        <f>RTD("tos.rtd", , "IMPL_VOL", ".IVV201120C358")</f>
        <v>N/A</v>
      </c>
      <c r="E320">
        <f>RTD("tos.rtd", , "LAST", ".IVV201120C358")</f>
        <v>0</v>
      </c>
      <c r="F320">
        <f>RTD("tos.rtd", , "VOLUME", ".IVV201120C358")</f>
        <v>0</v>
      </c>
      <c r="G320">
        <f>RTD("tos.rtd", , "OPEN_INT", ".IVV201120C358")</f>
        <v>0</v>
      </c>
      <c r="H320">
        <f>RTD("tos.rtd", , "BID", ".IVV201120C358")</f>
        <v>2.1</v>
      </c>
      <c r="I320">
        <f>RTD("tos.rtd", , "ASK", ".IVV201120C358")</f>
        <v>2.9</v>
      </c>
      <c r="J320">
        <f>RTD("tos.rtd", , "HIGH", ".IVV201120C358")</f>
        <v>0</v>
      </c>
      <c r="K320">
        <f>RTD("tos.rtd", , "LOW", ".IVV201120C358")</f>
        <v>0</v>
      </c>
      <c r="L320">
        <f>RTD("tos.rtd", , "OPEN", ".IVV201120C358")</f>
        <v>0</v>
      </c>
      <c r="M320" t="str">
        <f>RTD("tos.rtd", , "DELTA", ".IVV201120C358")</f>
        <v>N/A</v>
      </c>
      <c r="N320" t="str">
        <f>RTD("tos.rtd", , "GAMMA", ".IVV201120C358")</f>
        <v>N/A</v>
      </c>
      <c r="O320" t="str">
        <f>RTD("tos.rtd", , "THETA", ".IVV201120C358")</f>
        <v>N/A</v>
      </c>
      <c r="P320" t="str">
        <f>RTD("tos.rtd", , "VEGA", ".IVV201120C358")</f>
        <v>N/A</v>
      </c>
      <c r="Q320" t="str">
        <f>RTD("tos.rtd", , "RHO", ".IVV201120C358")</f>
        <v>N/A</v>
      </c>
      <c r="R320" t="str">
        <f>RTD("tos.rtd", , "INTRINSIC", ".IVV201120C358")</f>
        <v>N/A</v>
      </c>
      <c r="S320" t="str">
        <f>RTD("tos.rtd", , "EXTRINSIC", ".IVV201120C358")</f>
        <v>N/A</v>
      </c>
      <c r="T320" t="str">
        <f>RTD("tos.rtd", , "PROB_OF_EXPIRING", ".IVV201120C358")</f>
        <v>N/A</v>
      </c>
      <c r="U320" t="str">
        <f>RTD("tos.rtd", , "PROB_OTM", ".IVV201120C358")</f>
        <v>N/A</v>
      </c>
      <c r="V320" t="str">
        <f>RTD("tos.rtd", , "PROB_OF_TOUCHING", ".IVV201120C358")</f>
        <v>N/A</v>
      </c>
      <c r="W320" t="str">
        <f>RTD("tos.rtd", , "STRIKE", ".IVV201120C358")</f>
        <v>N/A</v>
      </c>
    </row>
    <row r="321" spans="1:23" x14ac:dyDescent="0.45">
      <c r="A321" t="s">
        <v>342</v>
      </c>
      <c r="B321" t="str">
        <f>RTD("tos.rtd", , "DESCRIPTION", ".IVV201120P358")</f>
        <v>N/A</v>
      </c>
      <c r="C321" t="str">
        <f>RTD("tos.rtd", , "PUT_CALL_RATIO", ".IVV201120P358")</f>
        <v>N/A</v>
      </c>
      <c r="D321" t="str">
        <f>RTD("tos.rtd", , "IMPL_VOL", ".IVV201120P358")</f>
        <v>N/A</v>
      </c>
      <c r="E321">
        <f>RTD("tos.rtd", , "LAST", ".IVV201120P358")</f>
        <v>0</v>
      </c>
      <c r="F321">
        <f>RTD("tos.rtd", , "VOLUME", ".IVV201120P358")</f>
        <v>0</v>
      </c>
      <c r="G321">
        <f>RTD("tos.rtd", , "OPEN_INT", ".IVV201120P358")</f>
        <v>0</v>
      </c>
      <c r="H321">
        <f>RTD("tos.rtd", , "BID", ".IVV201120P358")</f>
        <v>5.6</v>
      </c>
      <c r="I321">
        <f>RTD("tos.rtd", , "ASK", ".IVV201120P358")</f>
        <v>7.1</v>
      </c>
      <c r="J321">
        <f>RTD("tos.rtd", , "HIGH", ".IVV201120P358")</f>
        <v>0</v>
      </c>
      <c r="K321">
        <f>RTD("tos.rtd", , "LOW", ".IVV201120P358")</f>
        <v>0</v>
      </c>
      <c r="L321">
        <f>RTD("tos.rtd", , "OPEN", ".IVV201120P358")</f>
        <v>0</v>
      </c>
      <c r="M321" t="str">
        <f>RTD("tos.rtd", , "DELTA", ".IVV201120P358")</f>
        <v>N/A</v>
      </c>
      <c r="N321" t="str">
        <f>RTD("tos.rtd", , "GAMMA", ".IVV201120P358")</f>
        <v>N/A</v>
      </c>
      <c r="O321" t="str">
        <f>RTD("tos.rtd", , "THETA", ".IVV201120P358")</f>
        <v>N/A</v>
      </c>
      <c r="P321" t="str">
        <f>RTD("tos.rtd", , "VEGA", ".IVV201120P358")</f>
        <v>N/A</v>
      </c>
      <c r="Q321" t="str">
        <f>RTD("tos.rtd", , "RHO", ".IVV201120P358")</f>
        <v>N/A</v>
      </c>
      <c r="R321" t="str">
        <f>RTD("tos.rtd", , "INTRINSIC", ".IVV201120P358")</f>
        <v>N/A</v>
      </c>
      <c r="S321" t="str">
        <f>RTD("tos.rtd", , "EXTRINSIC", ".IVV201120P358")</f>
        <v>N/A</v>
      </c>
      <c r="T321" t="str">
        <f>RTD("tos.rtd", , "PROB_OF_EXPIRING", ".IVV201120P358")</f>
        <v>N/A</v>
      </c>
      <c r="U321" t="str">
        <f>RTD("tos.rtd", , "PROB_OTM", ".IVV201120P358")</f>
        <v>N/A</v>
      </c>
      <c r="V321" t="str">
        <f>RTD("tos.rtd", , "PROB_OF_TOUCHING", ".IVV201120P358")</f>
        <v>N/A</v>
      </c>
      <c r="W321" t="str">
        <f>RTD("tos.rtd", , "STRIKE", ".IVV201120P358")</f>
        <v>N/A</v>
      </c>
    </row>
    <row r="322" spans="1:23" x14ac:dyDescent="0.45">
      <c r="A322" t="s">
        <v>343</v>
      </c>
      <c r="B322" t="str">
        <f>RTD("tos.rtd", , "DESCRIPTION", ".IVV201120C359")</f>
        <v>N/A</v>
      </c>
      <c r="C322" t="str">
        <f>RTD("tos.rtd", , "PUT_CALL_RATIO", ".IVV201120C359")</f>
        <v>N/A</v>
      </c>
      <c r="D322" t="str">
        <f>RTD("tos.rtd", , "IMPL_VOL", ".IVV201120C359")</f>
        <v>N/A</v>
      </c>
      <c r="E322">
        <f>RTD("tos.rtd", , "LAST", ".IVV201120C359")</f>
        <v>2.91</v>
      </c>
      <c r="F322">
        <f>RTD("tos.rtd", , "VOLUME", ".IVV201120C359")</f>
        <v>1</v>
      </c>
      <c r="G322">
        <f>RTD("tos.rtd", , "OPEN_INT", ".IVV201120C359")</f>
        <v>4</v>
      </c>
      <c r="H322">
        <f>RTD("tos.rtd", , "BID", ".IVV201120C359")</f>
        <v>1.65</v>
      </c>
      <c r="I322">
        <f>RTD("tos.rtd", , "ASK", ".IVV201120C359")</f>
        <v>2.5</v>
      </c>
      <c r="J322">
        <f>RTD("tos.rtd", , "HIGH", ".IVV201120C359")</f>
        <v>2.91</v>
      </c>
      <c r="K322">
        <f>RTD("tos.rtd", , "LOW", ".IVV201120C359")</f>
        <v>2.91</v>
      </c>
      <c r="L322">
        <f>RTD("tos.rtd", , "OPEN", ".IVV201120C359")</f>
        <v>2.91</v>
      </c>
      <c r="M322" t="str">
        <f>RTD("tos.rtd", , "DELTA", ".IVV201120C359")</f>
        <v>N/A</v>
      </c>
      <c r="N322" t="str">
        <f>RTD("tos.rtd", , "GAMMA", ".IVV201120C359")</f>
        <v>N/A</v>
      </c>
      <c r="O322" t="str">
        <f>RTD("tos.rtd", , "THETA", ".IVV201120C359")</f>
        <v>N/A</v>
      </c>
      <c r="P322" t="str">
        <f>RTD("tos.rtd", , "VEGA", ".IVV201120C359")</f>
        <v>N/A</v>
      </c>
      <c r="Q322" t="str">
        <f>RTD("tos.rtd", , "RHO", ".IVV201120C359")</f>
        <v>N/A</v>
      </c>
      <c r="R322" t="str">
        <f>RTD("tos.rtd", , "INTRINSIC", ".IVV201120C359")</f>
        <v>N/A</v>
      </c>
      <c r="S322" t="str">
        <f>RTD("tos.rtd", , "EXTRINSIC", ".IVV201120C359")</f>
        <v>N/A</v>
      </c>
      <c r="T322" t="str">
        <f>RTD("tos.rtd", , "PROB_OF_EXPIRING", ".IVV201120C359")</f>
        <v>N/A</v>
      </c>
      <c r="U322" t="str">
        <f>RTD("tos.rtd", , "PROB_OTM", ".IVV201120C359")</f>
        <v>N/A</v>
      </c>
      <c r="V322" t="str">
        <f>RTD("tos.rtd", , "PROB_OF_TOUCHING", ".IVV201120C359")</f>
        <v>N/A</v>
      </c>
      <c r="W322" t="str">
        <f>RTD("tos.rtd", , "STRIKE", ".IVV201120C359")</f>
        <v>N/A</v>
      </c>
    </row>
    <row r="323" spans="1:23" x14ac:dyDescent="0.45">
      <c r="A323" t="s">
        <v>344</v>
      </c>
      <c r="B323" t="str">
        <f>RTD("tos.rtd", , "DESCRIPTION", ".IVV201120P359")</f>
        <v>N/A</v>
      </c>
      <c r="C323" t="str">
        <f>RTD("tos.rtd", , "PUT_CALL_RATIO", ".IVV201120P359")</f>
        <v>N/A</v>
      </c>
      <c r="D323" t="str">
        <f>RTD("tos.rtd", , "IMPL_VOL", ".IVV201120P359")</f>
        <v>N/A</v>
      </c>
      <c r="E323">
        <f>RTD("tos.rtd", , "LAST", ".IVV201120P359")</f>
        <v>0</v>
      </c>
      <c r="F323">
        <f>RTD("tos.rtd", , "VOLUME", ".IVV201120P359")</f>
        <v>0</v>
      </c>
      <c r="G323">
        <f>RTD("tos.rtd", , "OPEN_INT", ".IVV201120P359")</f>
        <v>0</v>
      </c>
      <c r="H323">
        <f>RTD("tos.rtd", , "BID", ".IVV201120P359")</f>
        <v>6</v>
      </c>
      <c r="I323">
        <f>RTD("tos.rtd", , "ASK", ".IVV201120P359")</f>
        <v>7.9</v>
      </c>
      <c r="J323">
        <f>RTD("tos.rtd", , "HIGH", ".IVV201120P359")</f>
        <v>0</v>
      </c>
      <c r="K323">
        <f>RTD("tos.rtd", , "LOW", ".IVV201120P359")</f>
        <v>0</v>
      </c>
      <c r="L323">
        <f>RTD("tos.rtd", , "OPEN", ".IVV201120P359")</f>
        <v>0</v>
      </c>
      <c r="M323" t="str">
        <f>RTD("tos.rtd", , "DELTA", ".IVV201120P359")</f>
        <v>N/A</v>
      </c>
      <c r="N323" t="str">
        <f>RTD("tos.rtd", , "GAMMA", ".IVV201120P359")</f>
        <v>N/A</v>
      </c>
      <c r="O323" t="str">
        <f>RTD("tos.rtd", , "THETA", ".IVV201120P359")</f>
        <v>N/A</v>
      </c>
      <c r="P323" t="str">
        <f>RTD("tos.rtd", , "VEGA", ".IVV201120P359")</f>
        <v>N/A</v>
      </c>
      <c r="Q323" t="str">
        <f>RTD("tos.rtd", , "RHO", ".IVV201120P359")</f>
        <v>N/A</v>
      </c>
      <c r="R323" t="str">
        <f>RTD("tos.rtd", , "INTRINSIC", ".IVV201120P359")</f>
        <v>N/A</v>
      </c>
      <c r="S323" t="str">
        <f>RTD("tos.rtd", , "EXTRINSIC", ".IVV201120P359")</f>
        <v>N/A</v>
      </c>
      <c r="T323" t="str">
        <f>RTD("tos.rtd", , "PROB_OF_EXPIRING", ".IVV201120P359")</f>
        <v>N/A</v>
      </c>
      <c r="U323" t="str">
        <f>RTD("tos.rtd", , "PROB_OTM", ".IVV201120P359")</f>
        <v>N/A</v>
      </c>
      <c r="V323" t="str">
        <f>RTD("tos.rtd", , "PROB_OF_TOUCHING", ".IVV201120P359")</f>
        <v>N/A</v>
      </c>
      <c r="W323" t="str">
        <f>RTD("tos.rtd", , "STRIKE", ".IVV201120P359")</f>
        <v>N/A</v>
      </c>
    </row>
    <row r="324" spans="1:23" x14ac:dyDescent="0.45">
      <c r="A324" t="s">
        <v>345</v>
      </c>
      <c r="B324" t="str">
        <f>RTD("tos.rtd", , "DESCRIPTION", ".IVV201120C360")</f>
        <v>N/A</v>
      </c>
      <c r="C324" t="str">
        <f>RTD("tos.rtd", , "PUT_CALL_RATIO", ".IVV201120C360")</f>
        <v>N/A</v>
      </c>
      <c r="D324" t="str">
        <f>RTD("tos.rtd", , "IMPL_VOL", ".IVV201120C360")</f>
        <v>N/A</v>
      </c>
      <c r="E324">
        <f>RTD("tos.rtd", , "LAST", ".IVV201120C360")</f>
        <v>3.44</v>
      </c>
      <c r="F324">
        <f>RTD("tos.rtd", , "VOLUME", ".IVV201120C360")</f>
        <v>0</v>
      </c>
      <c r="G324">
        <f>RTD("tos.rtd", , "OPEN_INT", ".IVV201120C360")</f>
        <v>56</v>
      </c>
      <c r="H324">
        <f>RTD("tos.rtd", , "BID", ".IVV201120C360")</f>
        <v>1.5</v>
      </c>
      <c r="I324">
        <f>RTD("tos.rtd", , "ASK", ".IVV201120C360")</f>
        <v>2.0499999999999998</v>
      </c>
      <c r="J324">
        <f>RTD("tos.rtd", , "HIGH", ".IVV201120C360")</f>
        <v>0</v>
      </c>
      <c r="K324">
        <f>RTD("tos.rtd", , "LOW", ".IVV201120C360")</f>
        <v>0</v>
      </c>
      <c r="L324">
        <f>RTD("tos.rtd", , "OPEN", ".IVV201120C360")</f>
        <v>0</v>
      </c>
      <c r="M324" t="str">
        <f>RTD("tos.rtd", , "DELTA", ".IVV201120C360")</f>
        <v>N/A</v>
      </c>
      <c r="N324" t="str">
        <f>RTD("tos.rtd", , "GAMMA", ".IVV201120C360")</f>
        <v>N/A</v>
      </c>
      <c r="O324" t="str">
        <f>RTD("tos.rtd", , "THETA", ".IVV201120C360")</f>
        <v>N/A</v>
      </c>
      <c r="P324" t="str">
        <f>RTD("tos.rtd", , "VEGA", ".IVV201120C360")</f>
        <v>N/A</v>
      </c>
      <c r="Q324" t="str">
        <f>RTD("tos.rtd", , "RHO", ".IVV201120C360")</f>
        <v>N/A</v>
      </c>
      <c r="R324" t="str">
        <f>RTD("tos.rtd", , "INTRINSIC", ".IVV201120C360")</f>
        <v>N/A</v>
      </c>
      <c r="S324" t="str">
        <f>RTD("tos.rtd", , "EXTRINSIC", ".IVV201120C360")</f>
        <v>N/A</v>
      </c>
      <c r="T324" t="str">
        <f>RTD("tos.rtd", , "PROB_OF_EXPIRING", ".IVV201120C360")</f>
        <v>N/A</v>
      </c>
      <c r="U324" t="str">
        <f>RTD("tos.rtd", , "PROB_OTM", ".IVV201120C360")</f>
        <v>N/A</v>
      </c>
      <c r="V324" t="str">
        <f>RTD("tos.rtd", , "PROB_OF_TOUCHING", ".IVV201120C360")</f>
        <v>N/A</v>
      </c>
      <c r="W324" t="str">
        <f>RTD("tos.rtd", , "STRIKE", ".IVV201120C360")</f>
        <v>N/A</v>
      </c>
    </row>
    <row r="325" spans="1:23" x14ac:dyDescent="0.45">
      <c r="A325" t="s">
        <v>346</v>
      </c>
      <c r="B325" t="str">
        <f>RTD("tos.rtd", , "DESCRIPTION", ".IVV201120P360")</f>
        <v>N/A</v>
      </c>
      <c r="C325" t="str">
        <f>RTD("tos.rtd", , "PUT_CALL_RATIO", ".IVV201120P360")</f>
        <v>N/A</v>
      </c>
      <c r="D325" t="str">
        <f>RTD("tos.rtd", , "IMPL_VOL", ".IVV201120P360")</f>
        <v>N/A</v>
      </c>
      <c r="E325">
        <f>RTD("tos.rtd", , "LAST", ".IVV201120P360")</f>
        <v>13.9</v>
      </c>
      <c r="F325">
        <f>RTD("tos.rtd", , "VOLUME", ".IVV201120P360")</f>
        <v>0</v>
      </c>
      <c r="G325">
        <f>RTD("tos.rtd", , "OPEN_INT", ".IVV201120P360")</f>
        <v>1</v>
      </c>
      <c r="H325">
        <f>RTD("tos.rtd", , "BID", ".IVV201120P360")</f>
        <v>7</v>
      </c>
      <c r="I325">
        <f>RTD("tos.rtd", , "ASK", ".IVV201120P360")</f>
        <v>8.9</v>
      </c>
      <c r="J325">
        <f>RTD("tos.rtd", , "HIGH", ".IVV201120P360")</f>
        <v>0</v>
      </c>
      <c r="K325">
        <f>RTD("tos.rtd", , "LOW", ".IVV201120P360")</f>
        <v>0</v>
      </c>
      <c r="L325">
        <f>RTD("tos.rtd", , "OPEN", ".IVV201120P360")</f>
        <v>0</v>
      </c>
      <c r="M325" t="str">
        <f>RTD("tos.rtd", , "DELTA", ".IVV201120P360")</f>
        <v>N/A</v>
      </c>
      <c r="N325" t="str">
        <f>RTD("tos.rtd", , "GAMMA", ".IVV201120P360")</f>
        <v>N/A</v>
      </c>
      <c r="O325" t="str">
        <f>RTD("tos.rtd", , "THETA", ".IVV201120P360")</f>
        <v>N/A</v>
      </c>
      <c r="P325" t="str">
        <f>RTD("tos.rtd", , "VEGA", ".IVV201120P360")</f>
        <v>N/A</v>
      </c>
      <c r="Q325" t="str">
        <f>RTD("tos.rtd", , "RHO", ".IVV201120P360")</f>
        <v>N/A</v>
      </c>
      <c r="R325" t="str">
        <f>RTD("tos.rtd", , "INTRINSIC", ".IVV201120P360")</f>
        <v>N/A</v>
      </c>
      <c r="S325" t="str">
        <f>RTD("tos.rtd", , "EXTRINSIC", ".IVV201120P360")</f>
        <v>N/A</v>
      </c>
      <c r="T325" t="str">
        <f>RTD("tos.rtd", , "PROB_OF_EXPIRING", ".IVV201120P360")</f>
        <v>N/A</v>
      </c>
      <c r="U325" t="str">
        <f>RTD("tos.rtd", , "PROB_OTM", ".IVV201120P360")</f>
        <v>N/A</v>
      </c>
      <c r="V325" t="str">
        <f>RTD("tos.rtd", , "PROB_OF_TOUCHING", ".IVV201120P360")</f>
        <v>N/A</v>
      </c>
      <c r="W325" t="str">
        <f>RTD("tos.rtd", , "STRIKE", ".IVV201120P360")</f>
        <v>N/A</v>
      </c>
    </row>
    <row r="326" spans="1:23" x14ac:dyDescent="0.45">
      <c r="A326" t="s">
        <v>347</v>
      </c>
      <c r="B326" t="str">
        <f>RTD("tos.rtd", , "DESCRIPTION", ".IVV201120C361")</f>
        <v>N/A</v>
      </c>
      <c r="C326" t="str">
        <f>RTD("tos.rtd", , "PUT_CALL_RATIO", ".IVV201120C361")</f>
        <v>N/A</v>
      </c>
      <c r="D326" t="str">
        <f>RTD("tos.rtd", , "IMPL_VOL", ".IVV201120C361")</f>
        <v>N/A</v>
      </c>
      <c r="E326">
        <f>RTD("tos.rtd", , "LAST", ".IVV201120C361")</f>
        <v>5.7</v>
      </c>
      <c r="F326">
        <f>RTD("tos.rtd", , "VOLUME", ".IVV201120C361")</f>
        <v>0</v>
      </c>
      <c r="G326">
        <f>RTD("tos.rtd", , "OPEN_INT", ".IVV201120C361")</f>
        <v>1</v>
      </c>
      <c r="H326">
        <f>RTD("tos.rtd", , "BID", ".IVV201120C361")</f>
        <v>0.7</v>
      </c>
      <c r="I326">
        <f>RTD("tos.rtd", , "ASK", ".IVV201120C361")</f>
        <v>1.75</v>
      </c>
      <c r="J326">
        <f>RTD("tos.rtd", , "HIGH", ".IVV201120C361")</f>
        <v>0</v>
      </c>
      <c r="K326">
        <f>RTD("tos.rtd", , "LOW", ".IVV201120C361")</f>
        <v>0</v>
      </c>
      <c r="L326">
        <f>RTD("tos.rtd", , "OPEN", ".IVV201120C361")</f>
        <v>0</v>
      </c>
      <c r="M326" t="str">
        <f>RTD("tos.rtd", , "DELTA", ".IVV201120C361")</f>
        <v>N/A</v>
      </c>
      <c r="N326" t="str">
        <f>RTD("tos.rtd", , "GAMMA", ".IVV201120C361")</f>
        <v>N/A</v>
      </c>
      <c r="O326" t="str">
        <f>RTD("tos.rtd", , "THETA", ".IVV201120C361")</f>
        <v>N/A</v>
      </c>
      <c r="P326" t="str">
        <f>RTD("tos.rtd", , "VEGA", ".IVV201120C361")</f>
        <v>N/A</v>
      </c>
      <c r="Q326" t="str">
        <f>RTD("tos.rtd", , "RHO", ".IVV201120C361")</f>
        <v>N/A</v>
      </c>
      <c r="R326" t="str">
        <f>RTD("tos.rtd", , "INTRINSIC", ".IVV201120C361")</f>
        <v>N/A</v>
      </c>
      <c r="S326" t="str">
        <f>RTD("tos.rtd", , "EXTRINSIC", ".IVV201120C361")</f>
        <v>N/A</v>
      </c>
      <c r="T326" t="str">
        <f>RTD("tos.rtd", , "PROB_OF_EXPIRING", ".IVV201120C361")</f>
        <v>N/A</v>
      </c>
      <c r="U326" t="str">
        <f>RTD("tos.rtd", , "PROB_OTM", ".IVV201120C361")</f>
        <v>N/A</v>
      </c>
      <c r="V326" t="str">
        <f>RTD("tos.rtd", , "PROB_OF_TOUCHING", ".IVV201120C361")</f>
        <v>N/A</v>
      </c>
      <c r="W326" t="str">
        <f>RTD("tos.rtd", , "STRIKE", ".IVV201120C361")</f>
        <v>N/A</v>
      </c>
    </row>
    <row r="327" spans="1:23" x14ac:dyDescent="0.45">
      <c r="A327" t="s">
        <v>348</v>
      </c>
      <c r="B327" t="str">
        <f>RTD("tos.rtd", , "DESCRIPTION", ".IVV201120P361")</f>
        <v>N/A</v>
      </c>
      <c r="C327" t="str">
        <f>RTD("tos.rtd", , "PUT_CALL_RATIO", ".IVV201120P361")</f>
        <v>N/A</v>
      </c>
      <c r="D327" t="str">
        <f>RTD("tos.rtd", , "IMPL_VOL", ".IVV201120P361")</f>
        <v>N/A</v>
      </c>
      <c r="E327">
        <f>RTD("tos.rtd", , "LAST", ".IVV201120P361")</f>
        <v>5</v>
      </c>
      <c r="F327">
        <f>RTD("tos.rtd", , "VOLUME", ".IVV201120P361")</f>
        <v>0</v>
      </c>
      <c r="G327">
        <f>RTD("tos.rtd", , "OPEN_INT", ".IVV201120P361")</f>
        <v>1</v>
      </c>
      <c r="H327">
        <f>RTD("tos.rtd", , "BID", ".IVV201120P361")</f>
        <v>7.7</v>
      </c>
      <c r="I327">
        <f>RTD("tos.rtd", , "ASK", ".IVV201120P361")</f>
        <v>9.5</v>
      </c>
      <c r="J327">
        <f>RTD("tos.rtd", , "HIGH", ".IVV201120P361")</f>
        <v>0</v>
      </c>
      <c r="K327">
        <f>RTD("tos.rtd", , "LOW", ".IVV201120P361")</f>
        <v>0</v>
      </c>
      <c r="L327">
        <f>RTD("tos.rtd", , "OPEN", ".IVV201120P361")</f>
        <v>0</v>
      </c>
      <c r="M327" t="str">
        <f>RTD("tos.rtd", , "DELTA", ".IVV201120P361")</f>
        <v>N/A</v>
      </c>
      <c r="N327" t="str">
        <f>RTD("tos.rtd", , "GAMMA", ".IVV201120P361")</f>
        <v>N/A</v>
      </c>
      <c r="O327" t="str">
        <f>RTD("tos.rtd", , "THETA", ".IVV201120P361")</f>
        <v>N/A</v>
      </c>
      <c r="P327" t="str">
        <f>RTD("tos.rtd", , "VEGA", ".IVV201120P361")</f>
        <v>N/A</v>
      </c>
      <c r="Q327" t="str">
        <f>RTD("tos.rtd", , "RHO", ".IVV201120P361")</f>
        <v>N/A</v>
      </c>
      <c r="R327" t="str">
        <f>RTD("tos.rtd", , "INTRINSIC", ".IVV201120P361")</f>
        <v>N/A</v>
      </c>
      <c r="S327" t="str">
        <f>RTD("tos.rtd", , "EXTRINSIC", ".IVV201120P361")</f>
        <v>N/A</v>
      </c>
      <c r="T327" t="str">
        <f>RTD("tos.rtd", , "PROB_OF_EXPIRING", ".IVV201120P361")</f>
        <v>N/A</v>
      </c>
      <c r="U327" t="str">
        <f>RTD("tos.rtd", , "PROB_OTM", ".IVV201120P361")</f>
        <v>N/A</v>
      </c>
      <c r="V327" t="str">
        <f>RTD("tos.rtd", , "PROB_OF_TOUCHING", ".IVV201120P361")</f>
        <v>N/A</v>
      </c>
      <c r="W327" t="str">
        <f>RTD("tos.rtd", , "STRIKE", ".IVV201120P361")</f>
        <v>N/A</v>
      </c>
    </row>
    <row r="328" spans="1:23" x14ac:dyDescent="0.45">
      <c r="A328" t="s">
        <v>349</v>
      </c>
      <c r="B328" t="str">
        <f>RTD("tos.rtd", , "DESCRIPTION", ".IVV201120C362")</f>
        <v>N/A</v>
      </c>
      <c r="C328" t="str">
        <f>RTD("tos.rtd", , "PUT_CALL_RATIO", ".IVV201120C362")</f>
        <v>N/A</v>
      </c>
      <c r="D328" t="str">
        <f>RTD("tos.rtd", , "IMPL_VOL", ".IVV201120C362")</f>
        <v>N/A</v>
      </c>
      <c r="E328">
        <f>RTD("tos.rtd", , "LAST", ".IVV201120C362")</f>
        <v>0</v>
      </c>
      <c r="F328">
        <f>RTD("tos.rtd", , "VOLUME", ".IVV201120C362")</f>
        <v>0</v>
      </c>
      <c r="G328">
        <f>RTD("tos.rtd", , "OPEN_INT", ".IVV201120C362")</f>
        <v>0</v>
      </c>
      <c r="H328">
        <f>RTD("tos.rtd", , "BID", ".IVV201120C362")</f>
        <v>1</v>
      </c>
      <c r="I328">
        <f>RTD("tos.rtd", , "ASK", ".IVV201120C362")</f>
        <v>1.4</v>
      </c>
      <c r="J328">
        <f>RTD("tos.rtd", , "HIGH", ".IVV201120C362")</f>
        <v>0</v>
      </c>
      <c r="K328">
        <f>RTD("tos.rtd", , "LOW", ".IVV201120C362")</f>
        <v>0</v>
      </c>
      <c r="L328">
        <f>RTD("tos.rtd", , "OPEN", ".IVV201120C362")</f>
        <v>0</v>
      </c>
      <c r="M328" t="str">
        <f>RTD("tos.rtd", , "DELTA", ".IVV201120C362")</f>
        <v>N/A</v>
      </c>
      <c r="N328" t="str">
        <f>RTD("tos.rtd", , "GAMMA", ".IVV201120C362")</f>
        <v>N/A</v>
      </c>
      <c r="O328" t="str">
        <f>RTD("tos.rtd", , "THETA", ".IVV201120C362")</f>
        <v>N/A</v>
      </c>
      <c r="P328" t="str">
        <f>RTD("tos.rtd", , "VEGA", ".IVV201120C362")</f>
        <v>N/A</v>
      </c>
      <c r="Q328" t="str">
        <f>RTD("tos.rtd", , "RHO", ".IVV201120C362")</f>
        <v>N/A</v>
      </c>
      <c r="R328" t="str">
        <f>RTD("tos.rtd", , "INTRINSIC", ".IVV201120C362")</f>
        <v>N/A</v>
      </c>
      <c r="S328" t="str">
        <f>RTD("tos.rtd", , "EXTRINSIC", ".IVV201120C362")</f>
        <v>N/A</v>
      </c>
      <c r="T328" t="str">
        <f>RTD("tos.rtd", , "PROB_OF_EXPIRING", ".IVV201120C362")</f>
        <v>N/A</v>
      </c>
      <c r="U328" t="str">
        <f>RTD("tos.rtd", , "PROB_OTM", ".IVV201120C362")</f>
        <v>N/A</v>
      </c>
      <c r="V328" t="str">
        <f>RTD("tos.rtd", , "PROB_OF_TOUCHING", ".IVV201120C362")</f>
        <v>N/A</v>
      </c>
      <c r="W328" t="str">
        <f>RTD("tos.rtd", , "STRIKE", ".IVV201120C362")</f>
        <v>N/A</v>
      </c>
    </row>
    <row r="329" spans="1:23" x14ac:dyDescent="0.45">
      <c r="A329" t="s">
        <v>350</v>
      </c>
      <c r="B329" t="str">
        <f>RTD("tos.rtd", , "DESCRIPTION", ".IVV201120P362")</f>
        <v>N/A</v>
      </c>
      <c r="C329" t="str">
        <f>RTD("tos.rtd", , "PUT_CALL_RATIO", ".IVV201120P362")</f>
        <v>N/A</v>
      </c>
      <c r="D329" t="str">
        <f>RTD("tos.rtd", , "IMPL_VOL", ".IVV201120P362")</f>
        <v>N/A</v>
      </c>
      <c r="E329">
        <f>RTD("tos.rtd", , "LAST", ".IVV201120P362")</f>
        <v>0</v>
      </c>
      <c r="F329">
        <f>RTD("tos.rtd", , "VOLUME", ".IVV201120P362")</f>
        <v>0</v>
      </c>
      <c r="G329">
        <f>RTD("tos.rtd", , "OPEN_INT", ".IVV201120P362")</f>
        <v>0</v>
      </c>
      <c r="H329">
        <f>RTD("tos.rtd", , "BID", ".IVV201120P362")</f>
        <v>8</v>
      </c>
      <c r="I329">
        <f>RTD("tos.rtd", , "ASK", ".IVV201120P362")</f>
        <v>10.199999999999999</v>
      </c>
      <c r="J329">
        <f>RTD("tos.rtd", , "HIGH", ".IVV201120P362")</f>
        <v>0</v>
      </c>
      <c r="K329">
        <f>RTD("tos.rtd", , "LOW", ".IVV201120P362")</f>
        <v>0</v>
      </c>
      <c r="L329">
        <f>RTD("tos.rtd", , "OPEN", ".IVV201120P362")</f>
        <v>0</v>
      </c>
      <c r="M329" t="str">
        <f>RTD("tos.rtd", , "DELTA", ".IVV201120P362")</f>
        <v>N/A</v>
      </c>
      <c r="N329" t="str">
        <f>RTD("tos.rtd", , "GAMMA", ".IVV201120P362")</f>
        <v>N/A</v>
      </c>
      <c r="O329" t="str">
        <f>RTD("tos.rtd", , "THETA", ".IVV201120P362")</f>
        <v>N/A</v>
      </c>
      <c r="P329" t="str">
        <f>RTD("tos.rtd", , "VEGA", ".IVV201120P362")</f>
        <v>N/A</v>
      </c>
      <c r="Q329" t="str">
        <f>RTD("tos.rtd", , "RHO", ".IVV201120P362")</f>
        <v>N/A</v>
      </c>
      <c r="R329" t="str">
        <f>RTD("tos.rtd", , "INTRINSIC", ".IVV201120P362")</f>
        <v>N/A</v>
      </c>
      <c r="S329" t="str">
        <f>RTD("tos.rtd", , "EXTRINSIC", ".IVV201120P362")</f>
        <v>N/A</v>
      </c>
      <c r="T329" t="str">
        <f>RTD("tos.rtd", , "PROB_OF_EXPIRING", ".IVV201120P362")</f>
        <v>N/A</v>
      </c>
      <c r="U329" t="str">
        <f>RTD("tos.rtd", , "PROB_OTM", ".IVV201120P362")</f>
        <v>N/A</v>
      </c>
      <c r="V329" t="str">
        <f>RTD("tos.rtd", , "PROB_OF_TOUCHING", ".IVV201120P362")</f>
        <v>N/A</v>
      </c>
      <c r="W329" t="str">
        <f>RTD("tos.rtd", , "STRIKE", ".IVV201120P362")</f>
        <v>N/A</v>
      </c>
    </row>
    <row r="330" spans="1:23" x14ac:dyDescent="0.45">
      <c r="A330" t="s">
        <v>351</v>
      </c>
      <c r="B330" t="str">
        <f>RTD("tos.rtd", , "DESCRIPTION", "IVW")</f>
        <v>N/A</v>
      </c>
      <c r="C330">
        <f>RTD("tos.rtd", , "PUT_CALL_RATIO", "IVW")</f>
        <v>0.5</v>
      </c>
      <c r="D330" t="str">
        <f>RTD("tos.rtd", , "IMPL_VOL", "IVW")</f>
        <v>26.04%</v>
      </c>
      <c r="E330">
        <f>RTD("tos.rtd", , "LAST", "IVW")</f>
        <v>60.3</v>
      </c>
      <c r="F330">
        <f>RTD("tos.rtd", , "VOLUME", "IVW")</f>
        <v>1728727</v>
      </c>
      <c r="G330">
        <f>RTD("tos.rtd", , "OPEN_INT", "IVW")</f>
        <v>0</v>
      </c>
      <c r="H330">
        <f>RTD("tos.rtd", , "BID", "IVW")</f>
        <v>60.06</v>
      </c>
      <c r="I330">
        <f>RTD("tos.rtd", , "ASK", "IVW")</f>
        <v>61.2</v>
      </c>
      <c r="J330">
        <f>RTD("tos.rtd", , "HIGH", "IVW")</f>
        <v>60.965000000000003</v>
      </c>
      <c r="K330">
        <f>RTD("tos.rtd", , "LOW", "IVW")</f>
        <v>60.06</v>
      </c>
      <c r="L330">
        <f>RTD("tos.rtd", , "OPEN", "IVW")</f>
        <v>60.74</v>
      </c>
      <c r="M330">
        <f>RTD("tos.rtd", , "DELTA", "IVW")</f>
        <v>1</v>
      </c>
      <c r="N330">
        <f>RTD("tos.rtd", , "GAMMA", "IVW")</f>
        <v>0</v>
      </c>
      <c r="O330">
        <f>RTD("tos.rtd", , "THETA", "IVW")</f>
        <v>0</v>
      </c>
      <c r="P330">
        <f>RTD("tos.rtd", , "VEGA", "IVW")</f>
        <v>0</v>
      </c>
      <c r="Q330">
        <f>RTD("tos.rtd", , "RHO", "IVW")</f>
        <v>0</v>
      </c>
      <c r="R330" t="str">
        <f>RTD("tos.rtd", , "INTRINSIC", "IVW")</f>
        <v>N/A</v>
      </c>
      <c r="S330" t="str">
        <f>RTD("tos.rtd", , "EXTRINSIC", "IVW")</f>
        <v>N/A</v>
      </c>
      <c r="T330" t="str">
        <f>RTD("tos.rtd", , "PROB_OF_EXPIRING", "IVW")</f>
        <v>N/A</v>
      </c>
      <c r="U330" t="str">
        <f>RTD("tos.rtd", , "PROB_OTM", "IVW")</f>
        <v>N/A</v>
      </c>
      <c r="V330" t="str">
        <f>RTD("tos.rtd", , "PROB_OF_TOUCHING", "IVW")</f>
        <v>N/A</v>
      </c>
      <c r="W330" t="str">
        <f>RTD("tos.rtd", , "STRIKE", "IVW")</f>
        <v>N/A</v>
      </c>
    </row>
    <row r="331" spans="1:23" x14ac:dyDescent="0.45">
      <c r="A331" t="s">
        <v>352</v>
      </c>
      <c r="B331" t="str">
        <f>RTD("tos.rtd", , "DESCRIPTION", ".IVW201120C61.25")</f>
        <v>N/A</v>
      </c>
      <c r="C331" t="str">
        <f>RTD("tos.rtd", , "PUT_CALL_RATIO", ".IVW201120C61.25")</f>
        <v>N/A</v>
      </c>
      <c r="D331" t="str">
        <f>RTD("tos.rtd", , "IMPL_VOL", ".IVW201120C61.25")</f>
        <v>N/A</v>
      </c>
      <c r="E331">
        <f>RTD("tos.rtd", , "LAST", ".IVW201120C61.25")</f>
        <v>0.4</v>
      </c>
      <c r="F331">
        <f>RTD("tos.rtd", , "VOLUME", ".IVW201120C61.25")</f>
        <v>0</v>
      </c>
      <c r="G331">
        <f>RTD("tos.rtd", , "OPEN_INT", ".IVW201120C61.25")</f>
        <v>25</v>
      </c>
      <c r="H331">
        <f>RTD("tos.rtd", , "BID", ".IVW201120C61.25")</f>
        <v>0.25</v>
      </c>
      <c r="I331">
        <f>RTD("tos.rtd", , "ASK", ".IVW201120C61.25")</f>
        <v>0.55000000000000004</v>
      </c>
      <c r="J331">
        <f>RTD("tos.rtd", , "HIGH", ".IVW201120C61.25")</f>
        <v>0</v>
      </c>
      <c r="K331">
        <f>RTD("tos.rtd", , "LOW", ".IVW201120C61.25")</f>
        <v>0</v>
      </c>
      <c r="L331">
        <f>RTD("tos.rtd", , "OPEN", ".IVW201120C61.25")</f>
        <v>0</v>
      </c>
      <c r="M331" t="str">
        <f>RTD("tos.rtd", , "DELTA", ".IVW201120C61.25")</f>
        <v>N/A</v>
      </c>
      <c r="N331" t="str">
        <f>RTD("tos.rtd", , "GAMMA", ".IVW201120C61.25")</f>
        <v>N/A</v>
      </c>
      <c r="O331" t="str">
        <f>RTD("tos.rtd", , "THETA", ".IVW201120C61.25")</f>
        <v>N/A</v>
      </c>
      <c r="P331" t="str">
        <f>RTD("tos.rtd", , "VEGA", ".IVW201120C61.25")</f>
        <v>N/A</v>
      </c>
      <c r="Q331" t="str">
        <f>RTD("tos.rtd", , "RHO", ".IVW201120C61.25")</f>
        <v>N/A</v>
      </c>
      <c r="R331" t="str">
        <f>RTD("tos.rtd", , "INTRINSIC", ".IVW201120C61.25")</f>
        <v>N/A</v>
      </c>
      <c r="S331" t="str">
        <f>RTD("tos.rtd", , "EXTRINSIC", ".IVW201120C61.25")</f>
        <v>N/A</v>
      </c>
      <c r="T331" t="str">
        <f>RTD("tos.rtd", , "PROB_OF_EXPIRING", ".IVW201120C61.25")</f>
        <v>N/A</v>
      </c>
      <c r="U331" t="str">
        <f>RTD("tos.rtd", , "PROB_OTM", ".IVW201120C61.25")</f>
        <v>N/A</v>
      </c>
      <c r="V331" t="str">
        <f>RTD("tos.rtd", , "PROB_OF_TOUCHING", ".IVW201120C61.25")</f>
        <v>N/A</v>
      </c>
      <c r="W331" t="str">
        <f>RTD("tos.rtd", , "STRIKE", ".IVW201120C61.25")</f>
        <v>N/A</v>
      </c>
    </row>
    <row r="332" spans="1:23" x14ac:dyDescent="0.45">
      <c r="A332" t="s">
        <v>353</v>
      </c>
      <c r="B332" t="str">
        <f>RTD("tos.rtd", , "DESCRIPTION", ".IVW201120P61.25")</f>
        <v>N/A</v>
      </c>
      <c r="C332" t="str">
        <f>RTD("tos.rtd", , "PUT_CALL_RATIO", ".IVW201120P61.25")</f>
        <v>N/A</v>
      </c>
      <c r="D332" t="str">
        <f>RTD("tos.rtd", , "IMPL_VOL", ".IVW201120P61.25")</f>
        <v>N/A</v>
      </c>
      <c r="E332" t="str">
        <f>RTD("tos.rtd", , "LAST", ".IVW201120P61.25")</f>
        <v>N/A</v>
      </c>
      <c r="F332" t="str">
        <f>RTD("tos.rtd", , "VOLUME", ".IVW201120P61.25")</f>
        <v>N/A</v>
      </c>
      <c r="G332" t="str">
        <f>RTD("tos.rtd", , "OPEN_INT", ".IVW201120P61.25")</f>
        <v>N/A</v>
      </c>
      <c r="H332" t="str">
        <f>RTD("tos.rtd", , "BID", ".IVW201120P61.25")</f>
        <v>N/A</v>
      </c>
      <c r="I332" t="str">
        <f>RTD("tos.rtd", , "ASK", ".IVW201120P61.25")</f>
        <v>N/A</v>
      </c>
      <c r="J332" t="str">
        <f>RTD("tos.rtd", , "HIGH", ".IVW201120P61.25")</f>
        <v>N/A</v>
      </c>
      <c r="K332" t="str">
        <f>RTD("tos.rtd", , "LOW", ".IVW201120P61.25")</f>
        <v>N/A</v>
      </c>
      <c r="L332" t="str">
        <f>RTD("tos.rtd", , "OPEN", ".IVW201120P61.25")</f>
        <v>N/A</v>
      </c>
      <c r="M332" t="str">
        <f>RTD("tos.rtd", , "DELTA", ".IVW201120P61.25")</f>
        <v>N/A</v>
      </c>
      <c r="N332" t="str">
        <f>RTD("tos.rtd", , "GAMMA", ".IVW201120P61.25")</f>
        <v>N/A</v>
      </c>
      <c r="O332" t="str">
        <f>RTD("tos.rtd", , "THETA", ".IVW201120P61.25")</f>
        <v>N/A</v>
      </c>
      <c r="P332" t="str">
        <f>RTD("tos.rtd", , "VEGA", ".IVW201120P61.25")</f>
        <v>N/A</v>
      </c>
      <c r="Q332" t="str">
        <f>RTD("tos.rtd", , "RHO", ".IVW201120P61.25")</f>
        <v>N/A</v>
      </c>
      <c r="R332" t="str">
        <f>RTD("tos.rtd", , "INTRINSIC", ".IVW201120P61.25")</f>
        <v>N/A</v>
      </c>
      <c r="S332" t="str">
        <f>RTD("tos.rtd", , "EXTRINSIC", ".IVW201120P61.25")</f>
        <v>N/A</v>
      </c>
      <c r="T332" t="str">
        <f>RTD("tos.rtd", , "PROB_OF_EXPIRING", ".IVW201120P61.25")</f>
        <v>N/A</v>
      </c>
      <c r="U332" t="str">
        <f>RTD("tos.rtd", , "PROB_OTM", ".IVW201120P61.25")</f>
        <v>N/A</v>
      </c>
      <c r="V332" t="str">
        <f>RTD("tos.rtd", , "PROB_OF_TOUCHING", ".IVW201120P61.25")</f>
        <v>N/A</v>
      </c>
      <c r="W332" t="str">
        <f>RTD("tos.rtd", , "STRIKE", ".IVW201120P61.25")</f>
        <v>N/A</v>
      </c>
    </row>
    <row r="333" spans="1:23" x14ac:dyDescent="0.45">
      <c r="A333" t="s">
        <v>354</v>
      </c>
      <c r="B333" t="str">
        <f>RTD("tos.rtd", , "DESCRIPTION", "IWD")</f>
        <v>N/A</v>
      </c>
      <c r="C333">
        <f>RTD("tos.rtd", , "PUT_CALL_RATIO", "IWD")</f>
        <v>1.738</v>
      </c>
      <c r="D333" t="str">
        <f>RTD("tos.rtd", , "IMPL_VOL", "IWD")</f>
        <v>24.55%</v>
      </c>
      <c r="E333">
        <f>RTD("tos.rtd", , "LAST", "IWD")</f>
        <v>127.53</v>
      </c>
      <c r="F333">
        <f>RTD("tos.rtd", , "VOLUME", "IWD")</f>
        <v>2478468</v>
      </c>
      <c r="G333">
        <f>RTD("tos.rtd", , "OPEN_INT", "IWD")</f>
        <v>0</v>
      </c>
      <c r="H333">
        <f>RTD("tos.rtd", , "BID", "IWD")</f>
        <v>126.9</v>
      </c>
      <c r="I333">
        <f>RTD("tos.rtd", , "ASK", "IWD")</f>
        <v>128.75</v>
      </c>
      <c r="J333">
        <f>RTD("tos.rtd", , "HIGH", "IWD")</f>
        <v>128.58000000000001</v>
      </c>
      <c r="K333">
        <f>RTD("tos.rtd", , "LOW", "IWD")</f>
        <v>126.565</v>
      </c>
      <c r="L333">
        <f>RTD("tos.rtd", , "OPEN", "IWD")</f>
        <v>128.49</v>
      </c>
      <c r="M333">
        <f>RTD("tos.rtd", , "DELTA", "IWD")</f>
        <v>1</v>
      </c>
      <c r="N333">
        <f>RTD("tos.rtd", , "GAMMA", "IWD")</f>
        <v>0</v>
      </c>
      <c r="O333">
        <f>RTD("tos.rtd", , "THETA", "IWD")</f>
        <v>0</v>
      </c>
      <c r="P333">
        <f>RTD("tos.rtd", , "VEGA", "IWD")</f>
        <v>0</v>
      </c>
      <c r="Q333">
        <f>RTD("tos.rtd", , "RHO", "IWD")</f>
        <v>0</v>
      </c>
      <c r="R333" t="str">
        <f>RTD("tos.rtd", , "INTRINSIC", "IWD")</f>
        <v>N/A</v>
      </c>
      <c r="S333" t="str">
        <f>RTD("tos.rtd", , "EXTRINSIC", "IWD")</f>
        <v>N/A</v>
      </c>
      <c r="T333" t="str">
        <f>RTD("tos.rtd", , "PROB_OF_EXPIRING", "IWD")</f>
        <v>N/A</v>
      </c>
      <c r="U333" t="str">
        <f>RTD("tos.rtd", , "PROB_OTM", "IWD")</f>
        <v>N/A</v>
      </c>
      <c r="V333" t="str">
        <f>RTD("tos.rtd", , "PROB_OF_TOUCHING", "IWD")</f>
        <v>N/A</v>
      </c>
      <c r="W333" t="str">
        <f>RTD("tos.rtd", , "STRIKE", "IWD")</f>
        <v>N/A</v>
      </c>
    </row>
    <row r="334" spans="1:23" x14ac:dyDescent="0.45">
      <c r="A334" t="s">
        <v>355</v>
      </c>
      <c r="B334" t="str">
        <f>RTD("tos.rtd", , "DESCRIPTION", ".IWD201120C128")</f>
        <v>N/A</v>
      </c>
      <c r="C334" t="str">
        <f>RTD("tos.rtd", , "PUT_CALL_RATIO", ".IWD201120C128")</f>
        <v>N/A</v>
      </c>
      <c r="D334" t="str">
        <f>RTD("tos.rtd", , "IMPL_VOL", ".IWD201120C128")</f>
        <v>N/A</v>
      </c>
      <c r="E334" t="str">
        <f>RTD("tos.rtd", , "LAST", ".IWD201120C128")</f>
        <v>N/A</v>
      </c>
      <c r="F334" t="str">
        <f>RTD("tos.rtd", , "VOLUME", ".IWD201120C128")</f>
        <v>N/A</v>
      </c>
      <c r="G334" t="str">
        <f>RTD("tos.rtd", , "OPEN_INT", ".IWD201120C128")</f>
        <v>N/A</v>
      </c>
      <c r="H334" t="str">
        <f>RTD("tos.rtd", , "BID", ".IWD201120C128")</f>
        <v>N/A</v>
      </c>
      <c r="I334" t="str">
        <f>RTD("tos.rtd", , "ASK", ".IWD201120C128")</f>
        <v>N/A</v>
      </c>
      <c r="J334" t="str">
        <f>RTD("tos.rtd", , "HIGH", ".IWD201120C128")</f>
        <v>N/A</v>
      </c>
      <c r="K334" t="str">
        <f>RTD("tos.rtd", , "LOW", ".IWD201120C128")</f>
        <v>N/A</v>
      </c>
      <c r="L334" t="str">
        <f>RTD("tos.rtd", , "OPEN", ".IWD201120C128")</f>
        <v>N/A</v>
      </c>
      <c r="M334" t="str">
        <f>RTD("tos.rtd", , "DELTA", ".IWD201120C128")</f>
        <v>N/A</v>
      </c>
      <c r="N334" t="str">
        <f>RTD("tos.rtd", , "GAMMA", ".IWD201120C128")</f>
        <v>N/A</v>
      </c>
      <c r="O334" t="str">
        <f>RTD("tos.rtd", , "THETA", ".IWD201120C128")</f>
        <v>N/A</v>
      </c>
      <c r="P334" t="str">
        <f>RTD("tos.rtd", , "VEGA", ".IWD201120C128")</f>
        <v>N/A</v>
      </c>
      <c r="Q334" t="str">
        <f>RTD("tos.rtd", , "RHO", ".IWD201120C128")</f>
        <v>N/A</v>
      </c>
      <c r="R334" t="str">
        <f>RTD("tos.rtd", , "INTRINSIC", ".IWD201120C128")</f>
        <v>N/A</v>
      </c>
      <c r="S334" t="str">
        <f>RTD("tos.rtd", , "EXTRINSIC", ".IWD201120C128")</f>
        <v>N/A</v>
      </c>
      <c r="T334" t="str">
        <f>RTD("tos.rtd", , "PROB_OF_EXPIRING", ".IWD201120C128")</f>
        <v>N/A</v>
      </c>
      <c r="U334" t="str">
        <f>RTD("tos.rtd", , "PROB_OTM", ".IWD201120C128")</f>
        <v>N/A</v>
      </c>
      <c r="V334" t="str">
        <f>RTD("tos.rtd", , "PROB_OF_TOUCHING", ".IWD201120C128")</f>
        <v>N/A</v>
      </c>
      <c r="W334" t="str">
        <f>RTD("tos.rtd", , "STRIKE", ".IWD201120C128")</f>
        <v>N/A</v>
      </c>
    </row>
    <row r="335" spans="1:23" x14ac:dyDescent="0.45">
      <c r="A335" t="s">
        <v>356</v>
      </c>
      <c r="B335" t="str">
        <f>RTD("tos.rtd", , "DESCRIPTION", ".IWD201120P128")</f>
        <v>N/A</v>
      </c>
      <c r="C335" t="str">
        <f>RTD("tos.rtd", , "PUT_CALL_RATIO", ".IWD201120P128")</f>
        <v>N/A</v>
      </c>
      <c r="D335" t="str">
        <f>RTD("tos.rtd", , "IMPL_VOL", ".IWD201120P128")</f>
        <v>N/A</v>
      </c>
      <c r="E335" t="str">
        <f>RTD("tos.rtd", , "LAST", ".IWD201120P128")</f>
        <v>N/A</v>
      </c>
      <c r="F335" t="str">
        <f>RTD("tos.rtd", , "VOLUME", ".IWD201120P128")</f>
        <v>N/A</v>
      </c>
      <c r="G335" t="str">
        <f>RTD("tos.rtd", , "OPEN_INT", ".IWD201120P128")</f>
        <v>N/A</v>
      </c>
      <c r="H335" t="str">
        <f>RTD("tos.rtd", , "BID", ".IWD201120P128")</f>
        <v>N/A</v>
      </c>
      <c r="I335" t="str">
        <f>RTD("tos.rtd", , "ASK", ".IWD201120P128")</f>
        <v>N/A</v>
      </c>
      <c r="J335" t="str">
        <f>RTD("tos.rtd", , "HIGH", ".IWD201120P128")</f>
        <v>N/A</v>
      </c>
      <c r="K335" t="str">
        <f>RTD("tos.rtd", , "LOW", ".IWD201120P128")</f>
        <v>N/A</v>
      </c>
      <c r="L335" t="str">
        <f>RTD("tos.rtd", , "OPEN", ".IWD201120P128")</f>
        <v>N/A</v>
      </c>
      <c r="M335" t="str">
        <f>RTD("tos.rtd", , "DELTA", ".IWD201120P128")</f>
        <v>N/A</v>
      </c>
      <c r="N335" t="str">
        <f>RTD("tos.rtd", , "GAMMA", ".IWD201120P128")</f>
        <v>N/A</v>
      </c>
      <c r="O335" t="str">
        <f>RTD("tos.rtd", , "THETA", ".IWD201120P128")</f>
        <v>N/A</v>
      </c>
      <c r="P335" t="str">
        <f>RTD("tos.rtd", , "VEGA", ".IWD201120P128")</f>
        <v>N/A</v>
      </c>
      <c r="Q335" t="str">
        <f>RTD("tos.rtd", , "RHO", ".IWD201120P128")</f>
        <v>N/A</v>
      </c>
      <c r="R335" t="str">
        <f>RTD("tos.rtd", , "INTRINSIC", ".IWD201120P128")</f>
        <v>N/A</v>
      </c>
      <c r="S335" t="str">
        <f>RTD("tos.rtd", , "EXTRINSIC", ".IWD201120P128")</f>
        <v>N/A</v>
      </c>
      <c r="T335" t="str">
        <f>RTD("tos.rtd", , "PROB_OF_EXPIRING", ".IWD201120P128")</f>
        <v>N/A</v>
      </c>
      <c r="U335" t="str">
        <f>RTD("tos.rtd", , "PROB_OTM", ".IWD201120P128")</f>
        <v>N/A</v>
      </c>
      <c r="V335" t="str">
        <f>RTD("tos.rtd", , "PROB_OF_TOUCHING", ".IWD201120P128")</f>
        <v>N/A</v>
      </c>
      <c r="W335" t="str">
        <f>RTD("tos.rtd", , "STRIKE", ".IWD201120P128")</f>
        <v>N/A</v>
      </c>
    </row>
    <row r="336" spans="1:23" x14ac:dyDescent="0.45">
      <c r="A336" t="s">
        <v>357</v>
      </c>
      <c r="B336" t="str">
        <f>RTD("tos.rtd", , "DESCRIPTION", ".IWD201120C129")</f>
        <v>N/A</v>
      </c>
      <c r="C336" t="str">
        <f>RTD("tos.rtd", , "PUT_CALL_RATIO", ".IWD201120C129")</f>
        <v>N/A</v>
      </c>
      <c r="D336" t="str">
        <f>RTD("tos.rtd", , "IMPL_VOL", ".IWD201120C129")</f>
        <v>N/A</v>
      </c>
      <c r="E336" t="str">
        <f>RTD("tos.rtd", , "LAST", ".IWD201120C129")</f>
        <v>N/A</v>
      </c>
      <c r="F336" t="str">
        <f>RTD("tos.rtd", , "VOLUME", ".IWD201120C129")</f>
        <v>N/A</v>
      </c>
      <c r="G336" t="str">
        <f>RTD("tos.rtd", , "OPEN_INT", ".IWD201120C129")</f>
        <v>N/A</v>
      </c>
      <c r="H336" t="str">
        <f>RTD("tos.rtd", , "BID", ".IWD201120C129")</f>
        <v>N/A</v>
      </c>
      <c r="I336" t="str">
        <f>RTD("tos.rtd", , "ASK", ".IWD201120C129")</f>
        <v>N/A</v>
      </c>
      <c r="J336" t="str">
        <f>RTD("tos.rtd", , "HIGH", ".IWD201120C129")</f>
        <v>N/A</v>
      </c>
      <c r="K336" t="str">
        <f>RTD("tos.rtd", , "LOW", ".IWD201120C129")</f>
        <v>N/A</v>
      </c>
      <c r="L336" t="str">
        <f>RTD("tos.rtd", , "OPEN", ".IWD201120C129")</f>
        <v>N/A</v>
      </c>
      <c r="M336" t="str">
        <f>RTD("tos.rtd", , "DELTA", ".IWD201120C129")</f>
        <v>N/A</v>
      </c>
      <c r="N336" t="str">
        <f>RTD("tos.rtd", , "GAMMA", ".IWD201120C129")</f>
        <v>N/A</v>
      </c>
      <c r="O336" t="str">
        <f>RTD("tos.rtd", , "THETA", ".IWD201120C129")</f>
        <v>N/A</v>
      </c>
      <c r="P336" t="str">
        <f>RTD("tos.rtd", , "VEGA", ".IWD201120C129")</f>
        <v>N/A</v>
      </c>
      <c r="Q336" t="str">
        <f>RTD("tos.rtd", , "RHO", ".IWD201120C129")</f>
        <v>N/A</v>
      </c>
      <c r="R336" t="str">
        <f>RTD("tos.rtd", , "INTRINSIC", ".IWD201120C129")</f>
        <v>N/A</v>
      </c>
      <c r="S336" t="str">
        <f>RTD("tos.rtd", , "EXTRINSIC", ".IWD201120C129")</f>
        <v>N/A</v>
      </c>
      <c r="T336" t="str">
        <f>RTD("tos.rtd", , "PROB_OF_EXPIRING", ".IWD201120C129")</f>
        <v>N/A</v>
      </c>
      <c r="U336" t="str">
        <f>RTD("tos.rtd", , "PROB_OTM", ".IWD201120C129")</f>
        <v>N/A</v>
      </c>
      <c r="V336" t="str">
        <f>RTD("tos.rtd", , "PROB_OF_TOUCHING", ".IWD201120C129")</f>
        <v>N/A</v>
      </c>
      <c r="W336" t="str">
        <f>RTD("tos.rtd", , "STRIKE", ".IWD201120C129")</f>
        <v>N/A</v>
      </c>
    </row>
    <row r="337" spans="1:23" x14ac:dyDescent="0.45">
      <c r="A337" t="s">
        <v>358</v>
      </c>
      <c r="B337" t="str">
        <f>RTD("tos.rtd", , "DESCRIPTION", ".IWD201120P129")</f>
        <v>N/A</v>
      </c>
      <c r="C337" t="str">
        <f>RTD("tos.rtd", , "PUT_CALL_RATIO", ".IWD201120P129")</f>
        <v>N/A</v>
      </c>
      <c r="D337" t="str">
        <f>RTD("tos.rtd", , "IMPL_VOL", ".IWD201120P129")</f>
        <v>N/A</v>
      </c>
      <c r="E337" t="str">
        <f>RTD("tos.rtd", , "LAST", ".IWD201120P129")</f>
        <v>N/A</v>
      </c>
      <c r="F337" t="str">
        <f>RTD("tos.rtd", , "VOLUME", ".IWD201120P129")</f>
        <v>N/A</v>
      </c>
      <c r="G337" t="str">
        <f>RTD("tos.rtd", , "OPEN_INT", ".IWD201120P129")</f>
        <v>N/A</v>
      </c>
      <c r="H337" t="str">
        <f>RTD("tos.rtd", , "BID", ".IWD201120P129")</f>
        <v>N/A</v>
      </c>
      <c r="I337" t="str">
        <f>RTD("tos.rtd", , "ASK", ".IWD201120P129")</f>
        <v>N/A</v>
      </c>
      <c r="J337" t="str">
        <f>RTD("tos.rtd", , "HIGH", ".IWD201120P129")</f>
        <v>N/A</v>
      </c>
      <c r="K337" t="str">
        <f>RTD("tos.rtd", , "LOW", ".IWD201120P129")</f>
        <v>N/A</v>
      </c>
      <c r="L337" t="str">
        <f>RTD("tos.rtd", , "OPEN", ".IWD201120P129")</f>
        <v>N/A</v>
      </c>
      <c r="M337" t="str">
        <f>RTD("tos.rtd", , "DELTA", ".IWD201120P129")</f>
        <v>N/A</v>
      </c>
      <c r="N337" t="str">
        <f>RTD("tos.rtd", , "GAMMA", ".IWD201120P129")</f>
        <v>N/A</v>
      </c>
      <c r="O337" t="str">
        <f>RTD("tos.rtd", , "THETA", ".IWD201120P129")</f>
        <v>N/A</v>
      </c>
      <c r="P337" t="str">
        <f>RTD("tos.rtd", , "VEGA", ".IWD201120P129")</f>
        <v>N/A</v>
      </c>
      <c r="Q337" t="str">
        <f>RTD("tos.rtd", , "RHO", ".IWD201120P129")</f>
        <v>N/A</v>
      </c>
      <c r="R337" t="str">
        <f>RTD("tos.rtd", , "INTRINSIC", ".IWD201120P129")</f>
        <v>N/A</v>
      </c>
      <c r="S337" t="str">
        <f>RTD("tos.rtd", , "EXTRINSIC", ".IWD201120P129")</f>
        <v>N/A</v>
      </c>
      <c r="T337" t="str">
        <f>RTD("tos.rtd", , "PROB_OF_EXPIRING", ".IWD201120P129")</f>
        <v>N/A</v>
      </c>
      <c r="U337" t="str">
        <f>RTD("tos.rtd", , "PROB_OTM", ".IWD201120P129")</f>
        <v>N/A</v>
      </c>
      <c r="V337" t="str">
        <f>RTD("tos.rtd", , "PROB_OF_TOUCHING", ".IWD201120P129")</f>
        <v>N/A</v>
      </c>
      <c r="W337" t="str">
        <f>RTD("tos.rtd", , "STRIKE", ".IWD201120P129")</f>
        <v>N/A</v>
      </c>
    </row>
    <row r="338" spans="1:23" x14ac:dyDescent="0.45">
      <c r="A338" t="s">
        <v>359</v>
      </c>
      <c r="B338" t="str">
        <f>RTD("tos.rtd", , "DESCRIPTION", ".IWD201120C130")</f>
        <v>N/A</v>
      </c>
      <c r="C338" t="str">
        <f>RTD("tos.rtd", , "PUT_CALL_RATIO", ".IWD201120C130")</f>
        <v>N/A</v>
      </c>
      <c r="D338" t="str">
        <f>RTD("tos.rtd", , "IMPL_VOL", ".IWD201120C130")</f>
        <v>N/A</v>
      </c>
      <c r="E338">
        <f>RTD("tos.rtd", , "LAST", ".IWD201120C130")</f>
        <v>0.63</v>
      </c>
      <c r="F338">
        <f>RTD("tos.rtd", , "VOLUME", ".IWD201120C130")</f>
        <v>1</v>
      </c>
      <c r="G338">
        <f>RTD("tos.rtd", , "OPEN_INT", ".IWD201120C130")</f>
        <v>2714</v>
      </c>
      <c r="H338">
        <f>RTD("tos.rtd", , "BID", ".IWD201120C130")</f>
        <v>0.4</v>
      </c>
      <c r="I338">
        <f>RTD("tos.rtd", , "ASK", ".IWD201120C130")</f>
        <v>0.65</v>
      </c>
      <c r="J338">
        <f>RTD("tos.rtd", , "HIGH", ".IWD201120C130")</f>
        <v>0.63</v>
      </c>
      <c r="K338">
        <f>RTD("tos.rtd", , "LOW", ".IWD201120C130")</f>
        <v>0.63</v>
      </c>
      <c r="L338">
        <f>RTD("tos.rtd", , "OPEN", ".IWD201120C130")</f>
        <v>0.63</v>
      </c>
      <c r="M338" t="str">
        <f>RTD("tos.rtd", , "DELTA", ".IWD201120C130")</f>
        <v>N/A</v>
      </c>
      <c r="N338" t="str">
        <f>RTD("tos.rtd", , "GAMMA", ".IWD201120C130")</f>
        <v>N/A</v>
      </c>
      <c r="O338" t="str">
        <f>RTD("tos.rtd", , "THETA", ".IWD201120C130")</f>
        <v>N/A</v>
      </c>
      <c r="P338" t="str">
        <f>RTD("tos.rtd", , "VEGA", ".IWD201120C130")</f>
        <v>N/A</v>
      </c>
      <c r="Q338" t="str">
        <f>RTD("tos.rtd", , "RHO", ".IWD201120C130")</f>
        <v>N/A</v>
      </c>
      <c r="R338" t="str">
        <f>RTD("tos.rtd", , "INTRINSIC", ".IWD201120C130")</f>
        <v>N/A</v>
      </c>
      <c r="S338" t="str">
        <f>RTD("tos.rtd", , "EXTRINSIC", ".IWD201120C130")</f>
        <v>N/A</v>
      </c>
      <c r="T338" t="str">
        <f>RTD("tos.rtd", , "PROB_OF_EXPIRING", ".IWD201120C130")</f>
        <v>N/A</v>
      </c>
      <c r="U338" t="str">
        <f>RTD("tos.rtd", , "PROB_OTM", ".IWD201120C130")</f>
        <v>N/A</v>
      </c>
      <c r="V338" t="str">
        <f>RTD("tos.rtd", , "PROB_OF_TOUCHING", ".IWD201120C130")</f>
        <v>N/A</v>
      </c>
      <c r="W338" t="str">
        <f>RTD("tos.rtd", , "STRIKE", ".IWD201120C130")</f>
        <v>N/A</v>
      </c>
    </row>
    <row r="339" spans="1:23" x14ac:dyDescent="0.45">
      <c r="A339" t="s">
        <v>360</v>
      </c>
      <c r="B339" t="str">
        <f>RTD("tos.rtd", , "DESCRIPTION", ".IWD201120P130")</f>
        <v>N/A</v>
      </c>
      <c r="C339" t="str">
        <f>RTD("tos.rtd", , "PUT_CALL_RATIO", ".IWD201120P130")</f>
        <v>N/A</v>
      </c>
      <c r="D339" t="str">
        <f>RTD("tos.rtd", , "IMPL_VOL", ".IWD201120P130")</f>
        <v>N/A</v>
      </c>
      <c r="E339" t="str">
        <f>RTD("tos.rtd", , "LAST", ".IWD201120P130")</f>
        <v>N/A</v>
      </c>
      <c r="F339" t="str">
        <f>RTD("tos.rtd", , "VOLUME", ".IWD201120P130")</f>
        <v>N/A</v>
      </c>
      <c r="G339" t="str">
        <f>RTD("tos.rtd", , "OPEN_INT", ".IWD201120P130")</f>
        <v>N/A</v>
      </c>
      <c r="H339" t="str">
        <f>RTD("tos.rtd", , "BID", ".IWD201120P130")</f>
        <v>N/A</v>
      </c>
      <c r="I339" t="str">
        <f>RTD("tos.rtd", , "ASK", ".IWD201120P130")</f>
        <v>N/A</v>
      </c>
      <c r="J339" t="str">
        <f>RTD("tos.rtd", , "HIGH", ".IWD201120P130")</f>
        <v>N/A</v>
      </c>
      <c r="K339" t="str">
        <f>RTD("tos.rtd", , "LOW", ".IWD201120P130")</f>
        <v>N/A</v>
      </c>
      <c r="L339" t="str">
        <f>RTD("tos.rtd", , "OPEN", ".IWD201120P130")</f>
        <v>N/A</v>
      </c>
      <c r="M339" t="str">
        <f>RTD("tos.rtd", , "DELTA", ".IWD201120P130")</f>
        <v>N/A</v>
      </c>
      <c r="N339" t="str">
        <f>RTD("tos.rtd", , "GAMMA", ".IWD201120P130")</f>
        <v>N/A</v>
      </c>
      <c r="O339" t="str">
        <f>RTD("tos.rtd", , "THETA", ".IWD201120P130")</f>
        <v>N/A</v>
      </c>
      <c r="P339" t="str">
        <f>RTD("tos.rtd", , "VEGA", ".IWD201120P130")</f>
        <v>N/A</v>
      </c>
      <c r="Q339" t="str">
        <f>RTD("tos.rtd", , "RHO", ".IWD201120P130")</f>
        <v>N/A</v>
      </c>
      <c r="R339" t="str">
        <f>RTD("tos.rtd", , "INTRINSIC", ".IWD201120P130")</f>
        <v>N/A</v>
      </c>
      <c r="S339" t="str">
        <f>RTD("tos.rtd", , "EXTRINSIC", ".IWD201120P130")</f>
        <v>N/A</v>
      </c>
      <c r="T339" t="str">
        <f>RTD("tos.rtd", , "PROB_OF_EXPIRING", ".IWD201120P130")</f>
        <v>N/A</v>
      </c>
      <c r="U339" t="str">
        <f>RTD("tos.rtd", , "PROB_OTM", ".IWD201120P130")</f>
        <v>N/A</v>
      </c>
      <c r="V339" t="str">
        <f>RTD("tos.rtd", , "PROB_OF_TOUCHING", ".IWD201120P130")</f>
        <v>N/A</v>
      </c>
      <c r="W339" t="str">
        <f>RTD("tos.rtd", , "STRIKE", ".IWD201120P130")</f>
        <v>N/A</v>
      </c>
    </row>
    <row r="340" spans="1:23" x14ac:dyDescent="0.45">
      <c r="A340" t="s">
        <v>361</v>
      </c>
      <c r="B340" t="str">
        <f>RTD("tos.rtd", , "DESCRIPTION", "IWF")</f>
        <v>N/A</v>
      </c>
      <c r="C340">
        <f>RTD("tos.rtd", , "PUT_CALL_RATIO", "IWF")</f>
        <v>0.156</v>
      </c>
      <c r="D340" t="str">
        <f>RTD("tos.rtd", , "IMPL_VOL", "IWF")</f>
        <v>29.14%</v>
      </c>
      <c r="E340">
        <f>RTD("tos.rtd", , "LAST", "IWF")</f>
        <v>224.8</v>
      </c>
      <c r="F340">
        <f>RTD("tos.rtd", , "VOLUME", "IWF")</f>
        <v>1376114</v>
      </c>
      <c r="G340">
        <f>RTD("tos.rtd", , "OPEN_INT", "IWF")</f>
        <v>0</v>
      </c>
      <c r="H340">
        <f>RTD("tos.rtd", , "BID", "IWF")</f>
        <v>223.23</v>
      </c>
      <c r="I340">
        <f>RTD("tos.rtd", , "ASK", "IWF")</f>
        <v>228.53</v>
      </c>
      <c r="J340">
        <f>RTD("tos.rtd", , "HIGH", "IWF")</f>
        <v>227.37</v>
      </c>
      <c r="K340">
        <f>RTD("tos.rtd", , "LOW", "IWF")</f>
        <v>223.84</v>
      </c>
      <c r="L340">
        <f>RTD("tos.rtd", , "OPEN", "IWF")</f>
        <v>226.11</v>
      </c>
      <c r="M340">
        <f>RTD("tos.rtd", , "DELTA", "IWF")</f>
        <v>1</v>
      </c>
      <c r="N340">
        <f>RTD("tos.rtd", , "GAMMA", "IWF")</f>
        <v>0</v>
      </c>
      <c r="O340">
        <f>RTD("tos.rtd", , "THETA", "IWF")</f>
        <v>0</v>
      </c>
      <c r="P340">
        <f>RTD("tos.rtd", , "VEGA", "IWF")</f>
        <v>0</v>
      </c>
      <c r="Q340">
        <f>RTD("tos.rtd", , "RHO", "IWF")</f>
        <v>0</v>
      </c>
      <c r="R340" t="str">
        <f>RTD("tos.rtd", , "INTRINSIC", "IWF")</f>
        <v>N/A</v>
      </c>
      <c r="S340" t="str">
        <f>RTD("tos.rtd", , "EXTRINSIC", "IWF")</f>
        <v>N/A</v>
      </c>
      <c r="T340" t="str">
        <f>RTD("tos.rtd", , "PROB_OF_EXPIRING", "IWF")</f>
        <v>N/A</v>
      </c>
      <c r="U340" t="str">
        <f>RTD("tos.rtd", , "PROB_OTM", "IWF")</f>
        <v>N/A</v>
      </c>
      <c r="V340" t="str">
        <f>RTD("tos.rtd", , "PROB_OF_TOUCHING", "IWF")</f>
        <v>N/A</v>
      </c>
      <c r="W340" t="str">
        <f>RTD("tos.rtd", , "STRIKE", "IWF")</f>
        <v>N/A</v>
      </c>
    </row>
    <row r="341" spans="1:23" x14ac:dyDescent="0.45">
      <c r="A341" t="s">
        <v>362</v>
      </c>
      <c r="B341" t="str">
        <f>RTD("tos.rtd", , "DESCRIPTION", ".IWF201120C225")</f>
        <v>N/A</v>
      </c>
      <c r="C341" t="str">
        <f>RTD("tos.rtd", , "PUT_CALL_RATIO", ".IWF201120C225")</f>
        <v>N/A</v>
      </c>
      <c r="D341" t="str">
        <f>RTD("tos.rtd", , "IMPL_VOL", ".IWF201120C225")</f>
        <v>N/A</v>
      </c>
      <c r="E341" t="str">
        <f>RTD("tos.rtd", , "LAST", ".IWF201120C225")</f>
        <v>N/A</v>
      </c>
      <c r="F341" t="str">
        <f>RTD("tos.rtd", , "VOLUME", ".IWF201120C225")</f>
        <v>N/A</v>
      </c>
      <c r="G341" t="str">
        <f>RTD("tos.rtd", , "OPEN_INT", ".IWF201120C225")</f>
        <v>N/A</v>
      </c>
      <c r="H341" t="str">
        <f>RTD("tos.rtd", , "BID", ".IWF201120C225")</f>
        <v>N/A</v>
      </c>
      <c r="I341" t="str">
        <f>RTD("tos.rtd", , "ASK", ".IWF201120C225")</f>
        <v>N/A</v>
      </c>
      <c r="J341" t="str">
        <f>RTD("tos.rtd", , "HIGH", ".IWF201120C225")</f>
        <v>N/A</v>
      </c>
      <c r="K341" t="str">
        <f>RTD("tos.rtd", , "LOW", ".IWF201120C225")</f>
        <v>N/A</v>
      </c>
      <c r="L341" t="str">
        <f>RTD("tos.rtd", , "OPEN", ".IWF201120C225")</f>
        <v>N/A</v>
      </c>
      <c r="M341" t="str">
        <f>RTD("tos.rtd", , "DELTA", ".IWF201120C225")</f>
        <v>N/A</v>
      </c>
      <c r="N341" t="str">
        <f>RTD("tos.rtd", , "GAMMA", ".IWF201120C225")</f>
        <v>N/A</v>
      </c>
      <c r="O341" t="str">
        <f>RTD("tos.rtd", , "THETA", ".IWF201120C225")</f>
        <v>N/A</v>
      </c>
      <c r="P341" t="str">
        <f>RTD("tos.rtd", , "VEGA", ".IWF201120C225")</f>
        <v>N/A</v>
      </c>
      <c r="Q341" t="str">
        <f>RTD("tos.rtd", , "RHO", ".IWF201120C225")</f>
        <v>N/A</v>
      </c>
      <c r="R341" t="str">
        <f>RTD("tos.rtd", , "INTRINSIC", ".IWF201120C225")</f>
        <v>N/A</v>
      </c>
      <c r="S341" t="str">
        <f>RTD("tos.rtd", , "EXTRINSIC", ".IWF201120C225")</f>
        <v>N/A</v>
      </c>
      <c r="T341" t="str">
        <f>RTD("tos.rtd", , "PROB_OF_EXPIRING", ".IWF201120C225")</f>
        <v>N/A</v>
      </c>
      <c r="U341" t="str">
        <f>RTD("tos.rtd", , "PROB_OTM", ".IWF201120C225")</f>
        <v>N/A</v>
      </c>
      <c r="V341" t="str">
        <f>RTD("tos.rtd", , "PROB_OF_TOUCHING", ".IWF201120C225")</f>
        <v>N/A</v>
      </c>
      <c r="W341" t="str">
        <f>RTD("tos.rtd", , "STRIKE", ".IWF201120C225")</f>
        <v>N/A</v>
      </c>
    </row>
    <row r="342" spans="1:23" x14ac:dyDescent="0.45">
      <c r="A342" t="s">
        <v>363</v>
      </c>
      <c r="B342" t="str">
        <f>RTD("tos.rtd", , "DESCRIPTION", ".IWF201120P225")</f>
        <v>N/A</v>
      </c>
      <c r="C342" t="str">
        <f>RTD("tos.rtd", , "PUT_CALL_RATIO", ".IWF201120P225")</f>
        <v>N/A</v>
      </c>
      <c r="D342" t="str">
        <f>RTD("tos.rtd", , "IMPL_VOL", ".IWF201120P225")</f>
        <v>N/A</v>
      </c>
      <c r="E342" t="str">
        <f>RTD("tos.rtd", , "LAST", ".IWF201120P225")</f>
        <v>N/A</v>
      </c>
      <c r="F342" t="str">
        <f>RTD("tos.rtd", , "VOLUME", ".IWF201120P225")</f>
        <v>N/A</v>
      </c>
      <c r="G342" t="str">
        <f>RTD("tos.rtd", , "OPEN_INT", ".IWF201120P225")</f>
        <v>N/A</v>
      </c>
      <c r="H342" t="str">
        <f>RTD("tos.rtd", , "BID", ".IWF201120P225")</f>
        <v>N/A</v>
      </c>
      <c r="I342" t="str">
        <f>RTD("tos.rtd", , "ASK", ".IWF201120P225")</f>
        <v>N/A</v>
      </c>
      <c r="J342" t="str">
        <f>RTD("tos.rtd", , "HIGH", ".IWF201120P225")</f>
        <v>N/A</v>
      </c>
      <c r="K342" t="str">
        <f>RTD("tos.rtd", , "LOW", ".IWF201120P225")</f>
        <v>N/A</v>
      </c>
      <c r="L342" t="str">
        <f>RTD("tos.rtd", , "OPEN", ".IWF201120P225")</f>
        <v>N/A</v>
      </c>
      <c r="M342" t="str">
        <f>RTD("tos.rtd", , "DELTA", ".IWF201120P225")</f>
        <v>N/A</v>
      </c>
      <c r="N342" t="str">
        <f>RTD("tos.rtd", , "GAMMA", ".IWF201120P225")</f>
        <v>N/A</v>
      </c>
      <c r="O342" t="str">
        <f>RTD("tos.rtd", , "THETA", ".IWF201120P225")</f>
        <v>N/A</v>
      </c>
      <c r="P342" t="str">
        <f>RTD("tos.rtd", , "VEGA", ".IWF201120P225")</f>
        <v>N/A</v>
      </c>
      <c r="Q342" t="str">
        <f>RTD("tos.rtd", , "RHO", ".IWF201120P225")</f>
        <v>N/A</v>
      </c>
      <c r="R342" t="str">
        <f>RTD("tos.rtd", , "INTRINSIC", ".IWF201120P225")</f>
        <v>N/A</v>
      </c>
      <c r="S342" t="str">
        <f>RTD("tos.rtd", , "EXTRINSIC", ".IWF201120P225")</f>
        <v>N/A</v>
      </c>
      <c r="T342" t="str">
        <f>RTD("tos.rtd", , "PROB_OF_EXPIRING", ".IWF201120P225")</f>
        <v>N/A</v>
      </c>
      <c r="U342" t="str">
        <f>RTD("tos.rtd", , "PROB_OTM", ".IWF201120P225")</f>
        <v>N/A</v>
      </c>
      <c r="V342" t="str">
        <f>RTD("tos.rtd", , "PROB_OF_TOUCHING", ".IWF201120P225")</f>
        <v>N/A</v>
      </c>
      <c r="W342" t="str">
        <f>RTD("tos.rtd", , "STRIKE", ".IWF201120P225")</f>
        <v>N/A</v>
      </c>
    </row>
    <row r="343" spans="1:23" x14ac:dyDescent="0.45">
      <c r="A343" t="s">
        <v>364</v>
      </c>
      <c r="B343" t="str">
        <f>RTD("tos.rtd", , "DESCRIPTION", ".IWF201120C227.5")</f>
        <v>N/A</v>
      </c>
      <c r="C343" t="str">
        <f>RTD("tos.rtd", , "PUT_CALL_RATIO", ".IWF201120C227.5")</f>
        <v>N/A</v>
      </c>
      <c r="D343" t="str">
        <f>RTD("tos.rtd", , "IMPL_VOL", ".IWF201120C227.5")</f>
        <v>N/A</v>
      </c>
      <c r="E343" t="str">
        <f>RTD("tos.rtd", , "LAST", ".IWF201120C227.5")</f>
        <v>N/A</v>
      </c>
      <c r="F343" t="str">
        <f>RTD("tos.rtd", , "VOLUME", ".IWF201120C227.5")</f>
        <v>N/A</v>
      </c>
      <c r="G343" t="str">
        <f>RTD("tos.rtd", , "OPEN_INT", ".IWF201120C227.5")</f>
        <v>N/A</v>
      </c>
      <c r="H343" t="str">
        <f>RTD("tos.rtd", , "BID", ".IWF201120C227.5")</f>
        <v>N/A</v>
      </c>
      <c r="I343" t="str">
        <f>RTD("tos.rtd", , "ASK", ".IWF201120C227.5")</f>
        <v>N/A</v>
      </c>
      <c r="J343" t="str">
        <f>RTD("tos.rtd", , "HIGH", ".IWF201120C227.5")</f>
        <v>N/A</v>
      </c>
      <c r="K343" t="str">
        <f>RTD("tos.rtd", , "LOW", ".IWF201120C227.5")</f>
        <v>N/A</v>
      </c>
      <c r="L343" t="str">
        <f>RTD("tos.rtd", , "OPEN", ".IWF201120C227.5")</f>
        <v>N/A</v>
      </c>
      <c r="M343" t="str">
        <f>RTD("tos.rtd", , "DELTA", ".IWF201120C227.5")</f>
        <v>N/A</v>
      </c>
      <c r="N343" t="str">
        <f>RTD("tos.rtd", , "GAMMA", ".IWF201120C227.5")</f>
        <v>N/A</v>
      </c>
      <c r="O343" t="str">
        <f>RTD("tos.rtd", , "THETA", ".IWF201120C227.5")</f>
        <v>N/A</v>
      </c>
      <c r="P343" t="str">
        <f>RTD("tos.rtd", , "VEGA", ".IWF201120C227.5")</f>
        <v>N/A</v>
      </c>
      <c r="Q343" t="str">
        <f>RTD("tos.rtd", , "RHO", ".IWF201120C227.5")</f>
        <v>N/A</v>
      </c>
      <c r="R343" t="str">
        <f>RTD("tos.rtd", , "INTRINSIC", ".IWF201120C227.5")</f>
        <v>N/A</v>
      </c>
      <c r="S343" t="str">
        <f>RTD("tos.rtd", , "EXTRINSIC", ".IWF201120C227.5")</f>
        <v>N/A</v>
      </c>
      <c r="T343" t="str">
        <f>RTD("tos.rtd", , "PROB_OF_EXPIRING", ".IWF201120C227.5")</f>
        <v>N/A</v>
      </c>
      <c r="U343" t="str">
        <f>RTD("tos.rtd", , "PROB_OTM", ".IWF201120C227.5")</f>
        <v>N/A</v>
      </c>
      <c r="V343" t="str">
        <f>RTD("tos.rtd", , "PROB_OF_TOUCHING", ".IWF201120C227.5")</f>
        <v>N/A</v>
      </c>
      <c r="W343" t="str">
        <f>RTD("tos.rtd", , "STRIKE", ".IWF201120C227.5")</f>
        <v>N/A</v>
      </c>
    </row>
    <row r="344" spans="1:23" x14ac:dyDescent="0.45">
      <c r="A344" t="s">
        <v>365</v>
      </c>
      <c r="B344" t="str">
        <f>RTD("tos.rtd", , "DESCRIPTION", ".IWF201120P227.5")</f>
        <v>N/A</v>
      </c>
      <c r="C344" t="str">
        <f>RTD("tos.rtd", , "PUT_CALL_RATIO", ".IWF201120P227.5")</f>
        <v>N/A</v>
      </c>
      <c r="D344" t="str">
        <f>RTD("tos.rtd", , "IMPL_VOL", ".IWF201120P227.5")</f>
        <v>N/A</v>
      </c>
      <c r="E344">
        <f>RTD("tos.rtd", , "LAST", ".IWF201120P227.5")</f>
        <v>10.9</v>
      </c>
      <c r="F344">
        <f>RTD("tos.rtd", , "VOLUME", ".IWF201120P227.5")</f>
        <v>0</v>
      </c>
      <c r="G344">
        <f>RTD("tos.rtd", , "OPEN_INT", ".IWF201120P227.5")</f>
        <v>31</v>
      </c>
      <c r="H344">
        <f>RTD("tos.rtd", , "BID", ".IWF201120P227.5")</f>
        <v>4.5</v>
      </c>
      <c r="I344">
        <f>RTD("tos.rtd", , "ASK", ".IWF201120P227.5")</f>
        <v>5.5</v>
      </c>
      <c r="J344">
        <f>RTD("tos.rtd", , "HIGH", ".IWF201120P227.5")</f>
        <v>0</v>
      </c>
      <c r="K344">
        <f>RTD("tos.rtd", , "LOW", ".IWF201120P227.5")</f>
        <v>0</v>
      </c>
      <c r="L344">
        <f>RTD("tos.rtd", , "OPEN", ".IWF201120P227.5")</f>
        <v>0</v>
      </c>
      <c r="M344" t="str">
        <f>RTD("tos.rtd", , "DELTA", ".IWF201120P227.5")</f>
        <v>N/A</v>
      </c>
      <c r="N344" t="str">
        <f>RTD("tos.rtd", , "GAMMA", ".IWF201120P227.5")</f>
        <v>N/A</v>
      </c>
      <c r="O344" t="str">
        <f>RTD("tos.rtd", , "THETA", ".IWF201120P227.5")</f>
        <v>N/A</v>
      </c>
      <c r="P344" t="str">
        <f>RTD("tos.rtd", , "VEGA", ".IWF201120P227.5")</f>
        <v>N/A</v>
      </c>
      <c r="Q344" t="str">
        <f>RTD("tos.rtd", , "RHO", ".IWF201120P227.5")</f>
        <v>N/A</v>
      </c>
      <c r="R344" t="str">
        <f>RTD("tos.rtd", , "INTRINSIC", ".IWF201120P227.5")</f>
        <v>N/A</v>
      </c>
      <c r="S344" t="str">
        <f>RTD("tos.rtd", , "EXTRINSIC", ".IWF201120P227.5")</f>
        <v>N/A</v>
      </c>
      <c r="T344" t="str">
        <f>RTD("tos.rtd", , "PROB_OF_EXPIRING", ".IWF201120P227.5")</f>
        <v>N/A</v>
      </c>
      <c r="U344" t="str">
        <f>RTD("tos.rtd", , "PROB_OTM", ".IWF201120P227.5")</f>
        <v>N/A</v>
      </c>
      <c r="V344" t="str">
        <f>RTD("tos.rtd", , "PROB_OF_TOUCHING", ".IWF201120P227.5")</f>
        <v>N/A</v>
      </c>
      <c r="W344" t="str">
        <f>RTD("tos.rtd", , "STRIKE", ".IWF201120P227.5")</f>
        <v>N/A</v>
      </c>
    </row>
    <row r="345" spans="1:23" x14ac:dyDescent="0.45">
      <c r="A345" t="s">
        <v>366</v>
      </c>
      <c r="B345" t="str">
        <f>RTD("tos.rtd", , "DESCRIPTION", "IWM")</f>
        <v>ISHARES TRUST RUSSELL 2000 ETF</v>
      </c>
      <c r="C345">
        <f>RTD("tos.rtd", , "PUT_CALL_RATIO", "IWM")</f>
        <v>2.8559999999999999</v>
      </c>
      <c r="D345" t="str">
        <f>RTD("tos.rtd", , "IMPL_VOL", "IWM")</f>
        <v>32.01%</v>
      </c>
      <c r="E345">
        <f>RTD("tos.rtd", , "LAST", "IWM")</f>
        <v>169.98</v>
      </c>
      <c r="F345">
        <f>RTD("tos.rtd", , "VOLUME", "IWM")</f>
        <v>34011364</v>
      </c>
      <c r="G345">
        <f>RTD("tos.rtd", , "OPEN_INT", "IWM")</f>
        <v>0</v>
      </c>
      <c r="H345">
        <f>RTD("tos.rtd", , "BID", "IWM")</f>
        <v>169.63</v>
      </c>
      <c r="I345">
        <f>RTD("tos.rtd", , "ASK", "IWM")</f>
        <v>169.79</v>
      </c>
      <c r="J345">
        <f>RTD("tos.rtd", , "HIGH", "IWM")</f>
        <v>172.63829999999999</v>
      </c>
      <c r="K345">
        <f>RTD("tos.rtd", , "LOW", "IWM")</f>
        <v>168.34</v>
      </c>
      <c r="L345">
        <f>RTD("tos.rtd", , "OPEN", "IWM")</f>
        <v>171.4</v>
      </c>
      <c r="M345">
        <f>RTD("tos.rtd", , "DELTA", "IWM")</f>
        <v>1</v>
      </c>
      <c r="N345">
        <f>RTD("tos.rtd", , "GAMMA", "IWM")</f>
        <v>0</v>
      </c>
      <c r="O345">
        <f>RTD("tos.rtd", , "THETA", "IWM")</f>
        <v>0</v>
      </c>
      <c r="P345">
        <f>RTD("tos.rtd", , "VEGA", "IWM")</f>
        <v>0</v>
      </c>
      <c r="Q345">
        <f>RTD("tos.rtd", , "RHO", "IWM")</f>
        <v>0</v>
      </c>
      <c r="R345" t="str">
        <f>RTD("tos.rtd", , "INTRINSIC", "IWM")</f>
        <v>N/A</v>
      </c>
      <c r="S345" t="str">
        <f>RTD("tos.rtd", , "EXTRINSIC", "IWM")</f>
        <v>N/A</v>
      </c>
      <c r="T345" t="str">
        <f>RTD("tos.rtd", , "PROB_OF_EXPIRING", "IWM")</f>
        <v>N/A</v>
      </c>
      <c r="U345" t="str">
        <f>RTD("tos.rtd", , "PROB_OTM", "IWM")</f>
        <v>N/A</v>
      </c>
      <c r="V345" t="str">
        <f>RTD("tos.rtd", , "PROB_OF_TOUCHING", "IWM")</f>
        <v>N/A</v>
      </c>
      <c r="W345" t="str">
        <f>RTD("tos.rtd", , "STRIKE", "IWM")</f>
        <v>N/A</v>
      </c>
    </row>
    <row r="346" spans="1:23" x14ac:dyDescent="0.45">
      <c r="A346" t="s">
        <v>367</v>
      </c>
      <c r="B346" t="str">
        <f>RTD("tos.rtd", , "DESCRIPTION", ".IWM201120C170")</f>
        <v>N/A</v>
      </c>
      <c r="C346" t="str">
        <f>RTD("tos.rtd", , "PUT_CALL_RATIO", ".IWM201120C170")</f>
        <v>N/A</v>
      </c>
      <c r="D346" t="str">
        <f>RTD("tos.rtd", , "IMPL_VOL", ".IWM201120C170")</f>
        <v>N/A</v>
      </c>
      <c r="E346">
        <f>RTD("tos.rtd", , "LAST", ".IWM201120C170")</f>
        <v>3.08</v>
      </c>
      <c r="F346">
        <f>RTD("tos.rtd", , "VOLUME", ".IWM201120C170")</f>
        <v>21852</v>
      </c>
      <c r="G346">
        <f>RTD("tos.rtd", , "OPEN_INT", ".IWM201120C170")</f>
        <v>43763</v>
      </c>
      <c r="H346">
        <f>RTD("tos.rtd", , "BID", ".IWM201120C170")</f>
        <v>3.01</v>
      </c>
      <c r="I346">
        <f>RTD("tos.rtd", , "ASK", ".IWM201120C170")</f>
        <v>3.13</v>
      </c>
      <c r="J346">
        <f>RTD("tos.rtd", , "HIGH", ".IWM201120C170")</f>
        <v>3.92</v>
      </c>
      <c r="K346">
        <f>RTD("tos.rtd", , "LOW", ".IWM201120C170")</f>
        <v>2.37</v>
      </c>
      <c r="L346">
        <f>RTD("tos.rtd", , "OPEN", ".IWM201120C170")</f>
        <v>3.82</v>
      </c>
      <c r="M346" t="str">
        <f>RTD("tos.rtd", , "DELTA", ".IWM201120C170")</f>
        <v>N/A</v>
      </c>
      <c r="N346" t="str">
        <f>RTD("tos.rtd", , "GAMMA", ".IWM201120C170")</f>
        <v>N/A</v>
      </c>
      <c r="O346" t="str">
        <f>RTD("tos.rtd", , "THETA", ".IWM201120C170")</f>
        <v>N/A</v>
      </c>
      <c r="P346" t="str">
        <f>RTD("tos.rtd", , "VEGA", ".IWM201120C170")</f>
        <v>N/A</v>
      </c>
      <c r="Q346" t="str">
        <f>RTD("tos.rtd", , "RHO", ".IWM201120C170")</f>
        <v>N/A</v>
      </c>
      <c r="R346" t="str">
        <f>RTD("tos.rtd", , "INTRINSIC", ".IWM201120C170")</f>
        <v>N/A</v>
      </c>
      <c r="S346" t="str">
        <f>RTD("tos.rtd", , "EXTRINSIC", ".IWM201120C170")</f>
        <v>N/A</v>
      </c>
      <c r="T346" t="str">
        <f>RTD("tos.rtd", , "PROB_OF_EXPIRING", ".IWM201120C170")</f>
        <v>N/A</v>
      </c>
      <c r="U346" t="str">
        <f>RTD("tos.rtd", , "PROB_OTM", ".IWM201120C170")</f>
        <v>N/A</v>
      </c>
      <c r="V346" t="str">
        <f>RTD("tos.rtd", , "PROB_OF_TOUCHING", ".IWM201120C170")</f>
        <v>N/A</v>
      </c>
      <c r="W346" t="str">
        <f>RTD("tos.rtd", , "STRIKE", ".IWM201120C170")</f>
        <v>N/A</v>
      </c>
    </row>
    <row r="347" spans="1:23" x14ac:dyDescent="0.45">
      <c r="A347" t="s">
        <v>368</v>
      </c>
      <c r="B347" t="str">
        <f>RTD("tos.rtd", , "DESCRIPTION", ".IWM201120P170")</f>
        <v>N/A</v>
      </c>
      <c r="C347" t="str">
        <f>RTD("tos.rtd", , "PUT_CALL_RATIO", ".IWM201120P170")</f>
        <v>N/A</v>
      </c>
      <c r="D347" t="str">
        <f>RTD("tos.rtd", , "IMPL_VOL", ".IWM201120P170")</f>
        <v>N/A</v>
      </c>
      <c r="E347">
        <f>RTD("tos.rtd", , "LAST", ".IWM201120P170")</f>
        <v>3.04</v>
      </c>
      <c r="F347">
        <f>RTD("tos.rtd", , "VOLUME", ".IWM201120P170")</f>
        <v>13687</v>
      </c>
      <c r="G347">
        <f>RTD("tos.rtd", , "OPEN_INT", ".IWM201120P170")</f>
        <v>19373</v>
      </c>
      <c r="H347">
        <f>RTD("tos.rtd", , "BID", ".IWM201120P170")</f>
        <v>2.98</v>
      </c>
      <c r="I347">
        <f>RTD("tos.rtd", , "ASK", ".IWM201120P170")</f>
        <v>3.08</v>
      </c>
      <c r="J347">
        <f>RTD("tos.rtd", , "HIGH", ".IWM201120P170")</f>
        <v>4.1900000000000004</v>
      </c>
      <c r="K347">
        <f>RTD("tos.rtd", , "LOW", ".IWM201120P170")</f>
        <v>1.98</v>
      </c>
      <c r="L347">
        <f>RTD("tos.rtd", , "OPEN", ".IWM201120P170")</f>
        <v>2.4</v>
      </c>
      <c r="M347" t="str">
        <f>RTD("tos.rtd", , "DELTA", ".IWM201120P170")</f>
        <v>N/A</v>
      </c>
      <c r="N347" t="str">
        <f>RTD("tos.rtd", , "GAMMA", ".IWM201120P170")</f>
        <v>N/A</v>
      </c>
      <c r="O347" t="str">
        <f>RTD("tos.rtd", , "THETA", ".IWM201120P170")</f>
        <v>N/A</v>
      </c>
      <c r="P347" t="str">
        <f>RTD("tos.rtd", , "VEGA", ".IWM201120P170")</f>
        <v>N/A</v>
      </c>
      <c r="Q347" t="str">
        <f>RTD("tos.rtd", , "RHO", ".IWM201120P170")</f>
        <v>N/A</v>
      </c>
      <c r="R347" t="str">
        <f>RTD("tos.rtd", , "INTRINSIC", ".IWM201120P170")</f>
        <v>N/A</v>
      </c>
      <c r="S347" t="str">
        <f>RTD("tos.rtd", , "EXTRINSIC", ".IWM201120P170")</f>
        <v>N/A</v>
      </c>
      <c r="T347" t="str">
        <f>RTD("tos.rtd", , "PROB_OF_EXPIRING", ".IWM201120P170")</f>
        <v>N/A</v>
      </c>
      <c r="U347" t="str">
        <f>RTD("tos.rtd", , "PROB_OTM", ".IWM201120P170")</f>
        <v>N/A</v>
      </c>
      <c r="V347" t="str">
        <f>RTD("tos.rtd", , "PROB_OF_TOUCHING", ".IWM201120P170")</f>
        <v>N/A</v>
      </c>
      <c r="W347" t="str">
        <f>RTD("tos.rtd", , "STRIKE", ".IWM201120P170")</f>
        <v>N/A</v>
      </c>
    </row>
    <row r="348" spans="1:23" x14ac:dyDescent="0.45">
      <c r="A348" t="s">
        <v>369</v>
      </c>
      <c r="B348" t="str">
        <f>RTD("tos.rtd", , "DESCRIPTION", ".IWM201120C171")</f>
        <v>N/A</v>
      </c>
      <c r="C348" t="str">
        <f>RTD("tos.rtd", , "PUT_CALL_RATIO", ".IWM201120C171")</f>
        <v>N/A</v>
      </c>
      <c r="D348" t="str">
        <f>RTD("tos.rtd", , "IMPL_VOL", ".IWM201120C171")</f>
        <v>N/A</v>
      </c>
      <c r="E348">
        <f>RTD("tos.rtd", , "LAST", ".IWM201120C171")</f>
        <v>2.58</v>
      </c>
      <c r="F348">
        <f>RTD("tos.rtd", , "VOLUME", ".IWM201120C171")</f>
        <v>2871</v>
      </c>
      <c r="G348">
        <f>RTD("tos.rtd", , "OPEN_INT", ".IWM201120C171")</f>
        <v>5980</v>
      </c>
      <c r="H348">
        <f>RTD("tos.rtd", , "BID", ".IWM201120C171")</f>
        <v>2.4700000000000002</v>
      </c>
      <c r="I348">
        <f>RTD("tos.rtd", , "ASK", ".IWM201120C171")</f>
        <v>2.58</v>
      </c>
      <c r="J348">
        <f>RTD("tos.rtd", , "HIGH", ".IWM201120C171")</f>
        <v>3.26</v>
      </c>
      <c r="K348">
        <f>RTD("tos.rtd", , "LOW", ".IWM201120C171")</f>
        <v>2.0099999999999998</v>
      </c>
      <c r="L348">
        <f>RTD("tos.rtd", , "OPEN", ".IWM201120C171")</f>
        <v>2.99</v>
      </c>
      <c r="M348" t="str">
        <f>RTD("tos.rtd", , "DELTA", ".IWM201120C171")</f>
        <v>N/A</v>
      </c>
      <c r="N348" t="str">
        <f>RTD("tos.rtd", , "GAMMA", ".IWM201120C171")</f>
        <v>N/A</v>
      </c>
      <c r="O348" t="str">
        <f>RTD("tos.rtd", , "THETA", ".IWM201120C171")</f>
        <v>N/A</v>
      </c>
      <c r="P348" t="str">
        <f>RTD("tos.rtd", , "VEGA", ".IWM201120C171")</f>
        <v>N/A</v>
      </c>
      <c r="Q348" t="str">
        <f>RTD("tos.rtd", , "RHO", ".IWM201120C171")</f>
        <v>N/A</v>
      </c>
      <c r="R348" t="str">
        <f>RTD("tos.rtd", , "INTRINSIC", ".IWM201120C171")</f>
        <v>N/A</v>
      </c>
      <c r="S348" t="str">
        <f>RTD("tos.rtd", , "EXTRINSIC", ".IWM201120C171")</f>
        <v>N/A</v>
      </c>
      <c r="T348" t="str">
        <f>RTD("tos.rtd", , "PROB_OF_EXPIRING", ".IWM201120C171")</f>
        <v>N/A</v>
      </c>
      <c r="U348" t="str">
        <f>RTD("tos.rtd", , "PROB_OTM", ".IWM201120C171")</f>
        <v>N/A</v>
      </c>
      <c r="V348" t="str">
        <f>RTD("tos.rtd", , "PROB_OF_TOUCHING", ".IWM201120C171")</f>
        <v>N/A</v>
      </c>
      <c r="W348" t="str">
        <f>RTD("tos.rtd", , "STRIKE", ".IWM201120C171")</f>
        <v>N/A</v>
      </c>
    </row>
    <row r="349" spans="1:23" x14ac:dyDescent="0.45">
      <c r="A349" t="s">
        <v>370</v>
      </c>
      <c r="B349" t="str">
        <f>RTD("tos.rtd", , "DESCRIPTION", ".IWM201120P171")</f>
        <v>N/A</v>
      </c>
      <c r="C349" t="str">
        <f>RTD("tos.rtd", , "PUT_CALL_RATIO", ".IWM201120P171")</f>
        <v>N/A</v>
      </c>
      <c r="D349" t="str">
        <f>RTD("tos.rtd", , "IMPL_VOL", ".IWM201120P171")</f>
        <v>N/A</v>
      </c>
      <c r="E349">
        <f>RTD("tos.rtd", , "LAST", ".IWM201120P171")</f>
        <v>3.47</v>
      </c>
      <c r="F349">
        <f>RTD("tos.rtd", , "VOLUME", ".IWM201120P171")</f>
        <v>2713</v>
      </c>
      <c r="G349">
        <f>RTD("tos.rtd", , "OPEN_INT", ".IWM201120P171")</f>
        <v>2020</v>
      </c>
      <c r="H349">
        <f>RTD("tos.rtd", , "BID", ".IWM201120P171")</f>
        <v>3.45</v>
      </c>
      <c r="I349">
        <f>RTD("tos.rtd", , "ASK", ".IWM201120P171")</f>
        <v>3.58</v>
      </c>
      <c r="J349">
        <f>RTD("tos.rtd", , "HIGH", ".IWM201120P171")</f>
        <v>4.6500000000000004</v>
      </c>
      <c r="K349">
        <f>RTD("tos.rtd", , "LOW", ".IWM201120P171")</f>
        <v>2.34</v>
      </c>
      <c r="L349">
        <f>RTD("tos.rtd", , "OPEN", ".IWM201120P171")</f>
        <v>2.94</v>
      </c>
      <c r="M349" t="str">
        <f>RTD("tos.rtd", , "DELTA", ".IWM201120P171")</f>
        <v>N/A</v>
      </c>
      <c r="N349" t="str">
        <f>RTD("tos.rtd", , "GAMMA", ".IWM201120P171")</f>
        <v>N/A</v>
      </c>
      <c r="O349" t="str">
        <f>RTD("tos.rtd", , "THETA", ".IWM201120P171")</f>
        <v>N/A</v>
      </c>
      <c r="P349" t="str">
        <f>RTD("tos.rtd", , "VEGA", ".IWM201120P171")</f>
        <v>N/A</v>
      </c>
      <c r="Q349" t="str">
        <f>RTD("tos.rtd", , "RHO", ".IWM201120P171")</f>
        <v>N/A</v>
      </c>
      <c r="R349" t="str">
        <f>RTD("tos.rtd", , "INTRINSIC", ".IWM201120P171")</f>
        <v>N/A</v>
      </c>
      <c r="S349" t="str">
        <f>RTD("tos.rtd", , "EXTRINSIC", ".IWM201120P171")</f>
        <v>N/A</v>
      </c>
      <c r="T349" t="str">
        <f>RTD("tos.rtd", , "PROB_OF_EXPIRING", ".IWM201120P171")</f>
        <v>N/A</v>
      </c>
      <c r="U349" t="str">
        <f>RTD("tos.rtd", , "PROB_OTM", ".IWM201120P171")</f>
        <v>N/A</v>
      </c>
      <c r="V349" t="str">
        <f>RTD("tos.rtd", , "PROB_OF_TOUCHING", ".IWM201120P171")</f>
        <v>N/A</v>
      </c>
      <c r="W349" t="str">
        <f>RTD("tos.rtd", , "STRIKE", ".IWM201120P171")</f>
        <v>N/A</v>
      </c>
    </row>
    <row r="350" spans="1:23" x14ac:dyDescent="0.45">
      <c r="A350" t="s">
        <v>371</v>
      </c>
      <c r="B350" t="str">
        <f>RTD("tos.rtd", , "DESCRIPTION", ".IWM201120C172")</f>
        <v>N/A</v>
      </c>
      <c r="C350" t="str">
        <f>RTD("tos.rtd", , "PUT_CALL_RATIO", ".IWM201120C172")</f>
        <v>N/A</v>
      </c>
      <c r="D350" t="str">
        <f>RTD("tos.rtd", , "IMPL_VOL", ".IWM201120C172")</f>
        <v>N/A</v>
      </c>
      <c r="E350">
        <f>RTD("tos.rtd", , "LAST", ".IWM201120C172")</f>
        <v>2.15</v>
      </c>
      <c r="F350">
        <f>RTD("tos.rtd", , "VOLUME", ".IWM201120C172")</f>
        <v>4320</v>
      </c>
      <c r="G350">
        <f>RTD("tos.rtd", , "OPEN_INT", ".IWM201120C172")</f>
        <v>5678</v>
      </c>
      <c r="H350">
        <f>RTD("tos.rtd", , "BID", ".IWM201120C172")</f>
        <v>2.0099999999999998</v>
      </c>
      <c r="I350">
        <f>RTD("tos.rtd", , "ASK", ".IWM201120C172")</f>
        <v>2.12</v>
      </c>
      <c r="J350">
        <f>RTD("tos.rtd", , "HIGH", ".IWM201120C172")</f>
        <v>2.73</v>
      </c>
      <c r="K350">
        <f>RTD("tos.rtd", , "LOW", ".IWM201120C172")</f>
        <v>1.48</v>
      </c>
      <c r="L350">
        <f>RTD("tos.rtd", , "OPEN", ".IWM201120C172")</f>
        <v>2.4500000000000002</v>
      </c>
      <c r="M350" t="str">
        <f>RTD("tos.rtd", , "DELTA", ".IWM201120C172")</f>
        <v>N/A</v>
      </c>
      <c r="N350" t="str">
        <f>RTD("tos.rtd", , "GAMMA", ".IWM201120C172")</f>
        <v>N/A</v>
      </c>
      <c r="O350" t="str">
        <f>RTD("tos.rtd", , "THETA", ".IWM201120C172")</f>
        <v>N/A</v>
      </c>
      <c r="P350" t="str">
        <f>RTD("tos.rtd", , "VEGA", ".IWM201120C172")</f>
        <v>N/A</v>
      </c>
      <c r="Q350" t="str">
        <f>RTD("tos.rtd", , "RHO", ".IWM201120C172")</f>
        <v>N/A</v>
      </c>
      <c r="R350" t="str">
        <f>RTD("tos.rtd", , "INTRINSIC", ".IWM201120C172")</f>
        <v>N/A</v>
      </c>
      <c r="S350" t="str">
        <f>RTD("tos.rtd", , "EXTRINSIC", ".IWM201120C172")</f>
        <v>N/A</v>
      </c>
      <c r="T350" t="str">
        <f>RTD("tos.rtd", , "PROB_OF_EXPIRING", ".IWM201120C172")</f>
        <v>N/A</v>
      </c>
      <c r="U350" t="str">
        <f>RTD("tos.rtd", , "PROB_OTM", ".IWM201120C172")</f>
        <v>N/A</v>
      </c>
      <c r="V350" t="str">
        <f>RTD("tos.rtd", , "PROB_OF_TOUCHING", ".IWM201120C172")</f>
        <v>N/A</v>
      </c>
      <c r="W350" t="str">
        <f>RTD("tos.rtd", , "STRIKE", ".IWM201120C172")</f>
        <v>N/A</v>
      </c>
    </row>
    <row r="351" spans="1:23" x14ac:dyDescent="0.45">
      <c r="A351" t="s">
        <v>372</v>
      </c>
      <c r="B351" t="str">
        <f>RTD("tos.rtd", , "DESCRIPTION", ".IWM201120P172")</f>
        <v>N/A</v>
      </c>
      <c r="C351" t="str">
        <f>RTD("tos.rtd", , "PUT_CALL_RATIO", ".IWM201120P172")</f>
        <v>N/A</v>
      </c>
      <c r="D351" t="str">
        <f>RTD("tos.rtd", , "IMPL_VOL", ".IWM201120P172")</f>
        <v>N/A</v>
      </c>
      <c r="E351">
        <f>RTD("tos.rtd", , "LAST", ".IWM201120P172")</f>
        <v>4</v>
      </c>
      <c r="F351">
        <f>RTD("tos.rtd", , "VOLUME", ".IWM201120P172")</f>
        <v>1045</v>
      </c>
      <c r="G351">
        <f>RTD("tos.rtd", , "OPEN_INT", ".IWM201120P172")</f>
        <v>903</v>
      </c>
      <c r="H351">
        <f>RTD("tos.rtd", , "BID", ".IWM201120P172")</f>
        <v>3.95</v>
      </c>
      <c r="I351">
        <f>RTD("tos.rtd", , "ASK", ".IWM201120P172")</f>
        <v>4.1399999999999997</v>
      </c>
      <c r="J351">
        <f>RTD("tos.rtd", , "HIGH", ".IWM201120P172")</f>
        <v>5.26</v>
      </c>
      <c r="K351">
        <f>RTD("tos.rtd", , "LOW", ".IWM201120P172")</f>
        <v>2.79</v>
      </c>
      <c r="L351">
        <f>RTD("tos.rtd", , "OPEN", ".IWM201120P172")</f>
        <v>3.12</v>
      </c>
      <c r="M351" t="str">
        <f>RTD("tos.rtd", , "DELTA", ".IWM201120P172")</f>
        <v>N/A</v>
      </c>
      <c r="N351" t="str">
        <f>RTD("tos.rtd", , "GAMMA", ".IWM201120P172")</f>
        <v>N/A</v>
      </c>
      <c r="O351" t="str">
        <f>RTD("tos.rtd", , "THETA", ".IWM201120P172")</f>
        <v>N/A</v>
      </c>
      <c r="P351" t="str">
        <f>RTD("tos.rtd", , "VEGA", ".IWM201120P172")</f>
        <v>N/A</v>
      </c>
      <c r="Q351" t="str">
        <f>RTD("tos.rtd", , "RHO", ".IWM201120P172")</f>
        <v>N/A</v>
      </c>
      <c r="R351" t="str">
        <f>RTD("tos.rtd", , "INTRINSIC", ".IWM201120P172")</f>
        <v>N/A</v>
      </c>
      <c r="S351" t="str">
        <f>RTD("tos.rtd", , "EXTRINSIC", ".IWM201120P172")</f>
        <v>N/A</v>
      </c>
      <c r="T351" t="str">
        <f>RTD("tos.rtd", , "PROB_OF_EXPIRING", ".IWM201120P172")</f>
        <v>N/A</v>
      </c>
      <c r="U351" t="str">
        <f>RTD("tos.rtd", , "PROB_OTM", ".IWM201120P172")</f>
        <v>N/A</v>
      </c>
      <c r="V351" t="str">
        <f>RTD("tos.rtd", , "PROB_OF_TOUCHING", ".IWM201120P172")</f>
        <v>N/A</v>
      </c>
      <c r="W351" t="str">
        <f>RTD("tos.rtd", , "STRIKE", ".IWM201120P172")</f>
        <v>N/A</v>
      </c>
    </row>
    <row r="352" spans="1:23" x14ac:dyDescent="0.45">
      <c r="A352" t="s">
        <v>373</v>
      </c>
      <c r="B352" t="str">
        <f>RTD("tos.rtd", , "DESCRIPTION", ".IWM201120C172.5")</f>
        <v>N/A</v>
      </c>
      <c r="C352" t="str">
        <f>RTD("tos.rtd", , "PUT_CALL_RATIO", ".IWM201120C172.5")</f>
        <v>N/A</v>
      </c>
      <c r="D352" t="str">
        <f>RTD("tos.rtd", , "IMPL_VOL", ".IWM201120C172.5")</f>
        <v>N/A</v>
      </c>
      <c r="E352">
        <f>RTD("tos.rtd", , "LAST", ".IWM201120C172.5")</f>
        <v>1.9</v>
      </c>
      <c r="F352">
        <f>RTD("tos.rtd", , "VOLUME", ".IWM201120C172.5")</f>
        <v>2100</v>
      </c>
      <c r="G352">
        <f>RTD("tos.rtd", , "OPEN_INT", ".IWM201120C172.5")</f>
        <v>1684</v>
      </c>
      <c r="H352">
        <f>RTD("tos.rtd", , "BID", ".IWM201120C172.5")</f>
        <v>1.8</v>
      </c>
      <c r="I352">
        <f>RTD("tos.rtd", , "ASK", ".IWM201120C172.5")</f>
        <v>1.91</v>
      </c>
      <c r="J352">
        <f>RTD("tos.rtd", , "HIGH", ".IWM201120C172.5")</f>
        <v>2.4700000000000002</v>
      </c>
      <c r="K352">
        <f>RTD("tos.rtd", , "LOW", ".IWM201120C172.5")</f>
        <v>1.39</v>
      </c>
      <c r="L352">
        <f>RTD("tos.rtd", , "OPEN", ".IWM201120C172.5")</f>
        <v>2.27</v>
      </c>
      <c r="M352" t="str">
        <f>RTD("tos.rtd", , "DELTA", ".IWM201120C172.5")</f>
        <v>N/A</v>
      </c>
      <c r="N352" t="str">
        <f>RTD("tos.rtd", , "GAMMA", ".IWM201120C172.5")</f>
        <v>N/A</v>
      </c>
      <c r="O352" t="str">
        <f>RTD("tos.rtd", , "THETA", ".IWM201120C172.5")</f>
        <v>N/A</v>
      </c>
      <c r="P352" t="str">
        <f>RTD("tos.rtd", , "VEGA", ".IWM201120C172.5")</f>
        <v>N/A</v>
      </c>
      <c r="Q352" t="str">
        <f>RTD("tos.rtd", , "RHO", ".IWM201120C172.5")</f>
        <v>N/A</v>
      </c>
      <c r="R352" t="str">
        <f>RTD("tos.rtd", , "INTRINSIC", ".IWM201120C172.5")</f>
        <v>N/A</v>
      </c>
      <c r="S352" t="str">
        <f>RTD("tos.rtd", , "EXTRINSIC", ".IWM201120C172.5")</f>
        <v>N/A</v>
      </c>
      <c r="T352" t="str">
        <f>RTD("tos.rtd", , "PROB_OF_EXPIRING", ".IWM201120C172.5")</f>
        <v>N/A</v>
      </c>
      <c r="U352" t="str">
        <f>RTD("tos.rtd", , "PROB_OTM", ".IWM201120C172.5")</f>
        <v>N/A</v>
      </c>
      <c r="V352" t="str">
        <f>RTD("tos.rtd", , "PROB_OF_TOUCHING", ".IWM201120C172.5")</f>
        <v>N/A</v>
      </c>
      <c r="W352" t="str">
        <f>RTD("tos.rtd", , "STRIKE", ".IWM201120C172.5")</f>
        <v>N/A</v>
      </c>
    </row>
    <row r="353" spans="1:23" x14ac:dyDescent="0.45">
      <c r="A353" t="s">
        <v>374</v>
      </c>
      <c r="B353" t="str">
        <f>RTD("tos.rtd", , "DESCRIPTION", ".IWM201120P172.5")</f>
        <v>N/A</v>
      </c>
      <c r="C353" t="str">
        <f>RTD("tos.rtd", , "PUT_CALL_RATIO", ".IWM201120P172.5")</f>
        <v>N/A</v>
      </c>
      <c r="D353" t="str">
        <f>RTD("tos.rtd", , "IMPL_VOL", ".IWM201120P172.5")</f>
        <v>N/A</v>
      </c>
      <c r="E353">
        <f>RTD("tos.rtd", , "LAST", ".IWM201120P172.5")</f>
        <v>4.8899999999999997</v>
      </c>
      <c r="F353">
        <f>RTD("tos.rtd", , "VOLUME", ".IWM201120P172.5")</f>
        <v>151</v>
      </c>
      <c r="G353">
        <f>RTD("tos.rtd", , "OPEN_INT", ".IWM201120P172.5")</f>
        <v>939</v>
      </c>
      <c r="H353">
        <f>RTD("tos.rtd", , "BID", ".IWM201120P172.5")</f>
        <v>4.2300000000000004</v>
      </c>
      <c r="I353">
        <f>RTD("tos.rtd", , "ASK", ".IWM201120P172.5")</f>
        <v>4.4400000000000004</v>
      </c>
      <c r="J353">
        <f>RTD("tos.rtd", , "HIGH", ".IWM201120P172.5")</f>
        <v>5</v>
      </c>
      <c r="K353">
        <f>RTD("tos.rtd", , "LOW", ".IWM201120P172.5")</f>
        <v>3.1</v>
      </c>
      <c r="L353">
        <f>RTD("tos.rtd", , "OPEN", ".IWM201120P172.5")</f>
        <v>3.49</v>
      </c>
      <c r="M353" t="str">
        <f>RTD("tos.rtd", , "DELTA", ".IWM201120P172.5")</f>
        <v>N/A</v>
      </c>
      <c r="N353" t="str">
        <f>RTD("tos.rtd", , "GAMMA", ".IWM201120P172.5")</f>
        <v>N/A</v>
      </c>
      <c r="O353" t="str">
        <f>RTD("tos.rtd", , "THETA", ".IWM201120P172.5")</f>
        <v>N/A</v>
      </c>
      <c r="P353" t="str">
        <f>RTD("tos.rtd", , "VEGA", ".IWM201120P172.5")</f>
        <v>N/A</v>
      </c>
      <c r="Q353" t="str">
        <f>RTD("tos.rtd", , "RHO", ".IWM201120P172.5")</f>
        <v>N/A</v>
      </c>
      <c r="R353" t="str">
        <f>RTD("tos.rtd", , "INTRINSIC", ".IWM201120P172.5")</f>
        <v>N/A</v>
      </c>
      <c r="S353" t="str">
        <f>RTD("tos.rtd", , "EXTRINSIC", ".IWM201120P172.5")</f>
        <v>N/A</v>
      </c>
      <c r="T353" t="str">
        <f>RTD("tos.rtd", , "PROB_OF_EXPIRING", ".IWM201120P172.5")</f>
        <v>N/A</v>
      </c>
      <c r="U353" t="str">
        <f>RTD("tos.rtd", , "PROB_OTM", ".IWM201120P172.5")</f>
        <v>N/A</v>
      </c>
      <c r="V353" t="str">
        <f>RTD("tos.rtd", , "PROB_OF_TOUCHING", ".IWM201120P172.5")</f>
        <v>N/A</v>
      </c>
      <c r="W353" t="str">
        <f>RTD("tos.rtd", , "STRIKE", ".IWM201120P172.5")</f>
        <v>N/A</v>
      </c>
    </row>
    <row r="354" spans="1:23" x14ac:dyDescent="0.45">
      <c r="A354" t="s">
        <v>375</v>
      </c>
      <c r="B354" t="str">
        <f>RTD("tos.rtd", , "DESCRIPTION", ".IWM201120C173")</f>
        <v>N/A</v>
      </c>
      <c r="C354" t="str">
        <f>RTD("tos.rtd", , "PUT_CALL_RATIO", ".IWM201120C173")</f>
        <v>N/A</v>
      </c>
      <c r="D354" t="str">
        <f>RTD("tos.rtd", , "IMPL_VOL", ".IWM201120C173")</f>
        <v>N/A</v>
      </c>
      <c r="E354">
        <f>RTD("tos.rtd", , "LAST", ".IWM201120C173")</f>
        <v>1.69</v>
      </c>
      <c r="F354">
        <f>RTD("tos.rtd", , "VOLUME", ".IWM201120C173")</f>
        <v>1450</v>
      </c>
      <c r="G354">
        <f>RTD("tos.rtd", , "OPEN_INT", ".IWM201120C173")</f>
        <v>9523</v>
      </c>
      <c r="H354">
        <f>RTD("tos.rtd", , "BID", ".IWM201120C173")</f>
        <v>1.61</v>
      </c>
      <c r="I354">
        <f>RTD("tos.rtd", , "ASK", ".IWM201120C173")</f>
        <v>1.7</v>
      </c>
      <c r="J354">
        <f>RTD("tos.rtd", , "HIGH", ".IWM201120C173")</f>
        <v>2.2200000000000002</v>
      </c>
      <c r="K354">
        <f>RTD("tos.rtd", , "LOW", ".IWM201120C173")</f>
        <v>1.26</v>
      </c>
      <c r="L354">
        <f>RTD("tos.rtd", , "OPEN", ".IWM201120C173")</f>
        <v>2.1</v>
      </c>
      <c r="M354" t="str">
        <f>RTD("tos.rtd", , "DELTA", ".IWM201120C173")</f>
        <v>N/A</v>
      </c>
      <c r="N354" t="str">
        <f>RTD("tos.rtd", , "GAMMA", ".IWM201120C173")</f>
        <v>N/A</v>
      </c>
      <c r="O354" t="str">
        <f>RTD("tos.rtd", , "THETA", ".IWM201120C173")</f>
        <v>N/A</v>
      </c>
      <c r="P354" t="str">
        <f>RTD("tos.rtd", , "VEGA", ".IWM201120C173")</f>
        <v>N/A</v>
      </c>
      <c r="Q354" t="str">
        <f>RTD("tos.rtd", , "RHO", ".IWM201120C173")</f>
        <v>N/A</v>
      </c>
      <c r="R354" t="str">
        <f>RTD("tos.rtd", , "INTRINSIC", ".IWM201120C173")</f>
        <v>N/A</v>
      </c>
      <c r="S354" t="str">
        <f>RTD("tos.rtd", , "EXTRINSIC", ".IWM201120C173")</f>
        <v>N/A</v>
      </c>
      <c r="T354" t="str">
        <f>RTD("tos.rtd", , "PROB_OF_EXPIRING", ".IWM201120C173")</f>
        <v>N/A</v>
      </c>
      <c r="U354" t="str">
        <f>RTD("tos.rtd", , "PROB_OTM", ".IWM201120C173")</f>
        <v>N/A</v>
      </c>
      <c r="V354" t="str">
        <f>RTD("tos.rtd", , "PROB_OF_TOUCHING", ".IWM201120C173")</f>
        <v>N/A</v>
      </c>
      <c r="W354" t="str">
        <f>RTD("tos.rtd", , "STRIKE", ".IWM201120C173")</f>
        <v>N/A</v>
      </c>
    </row>
    <row r="355" spans="1:23" x14ac:dyDescent="0.45">
      <c r="A355" t="s">
        <v>376</v>
      </c>
      <c r="B355" t="str">
        <f>RTD("tos.rtd", , "DESCRIPTION", ".IWM201120P173")</f>
        <v>N/A</v>
      </c>
      <c r="C355" t="str">
        <f>RTD("tos.rtd", , "PUT_CALL_RATIO", ".IWM201120P173")</f>
        <v>N/A</v>
      </c>
      <c r="D355" t="str">
        <f>RTD("tos.rtd", , "IMPL_VOL", ".IWM201120P173")</f>
        <v>N/A</v>
      </c>
      <c r="E355">
        <f>RTD("tos.rtd", , "LAST", ".IWM201120P173")</f>
        <v>4.72</v>
      </c>
      <c r="F355">
        <f>RTD("tos.rtd", , "VOLUME", ".IWM201120P173")</f>
        <v>645</v>
      </c>
      <c r="G355">
        <f>RTD("tos.rtd", , "OPEN_INT", ".IWM201120P173")</f>
        <v>1244</v>
      </c>
      <c r="H355">
        <f>RTD("tos.rtd", , "BID", ".IWM201120P173")</f>
        <v>4.53</v>
      </c>
      <c r="I355">
        <f>RTD("tos.rtd", , "ASK", ".IWM201120P173")</f>
        <v>4.74</v>
      </c>
      <c r="J355">
        <f>RTD("tos.rtd", , "HIGH", ".IWM201120P173")</f>
        <v>6</v>
      </c>
      <c r="K355">
        <f>RTD("tos.rtd", , "LOW", ".IWM201120P173")</f>
        <v>3.27</v>
      </c>
      <c r="L355">
        <f>RTD("tos.rtd", , "OPEN", ".IWM201120P173")</f>
        <v>4</v>
      </c>
      <c r="M355" t="str">
        <f>RTD("tos.rtd", , "DELTA", ".IWM201120P173")</f>
        <v>N/A</v>
      </c>
      <c r="N355" t="str">
        <f>RTD("tos.rtd", , "GAMMA", ".IWM201120P173")</f>
        <v>N/A</v>
      </c>
      <c r="O355" t="str">
        <f>RTD("tos.rtd", , "THETA", ".IWM201120P173")</f>
        <v>N/A</v>
      </c>
      <c r="P355" t="str">
        <f>RTD("tos.rtd", , "VEGA", ".IWM201120P173")</f>
        <v>N/A</v>
      </c>
      <c r="Q355" t="str">
        <f>RTD("tos.rtd", , "RHO", ".IWM201120P173")</f>
        <v>N/A</v>
      </c>
      <c r="R355" t="str">
        <f>RTD("tos.rtd", , "INTRINSIC", ".IWM201120P173")</f>
        <v>N/A</v>
      </c>
      <c r="S355" t="str">
        <f>RTD("tos.rtd", , "EXTRINSIC", ".IWM201120P173")</f>
        <v>N/A</v>
      </c>
      <c r="T355" t="str">
        <f>RTD("tos.rtd", , "PROB_OF_EXPIRING", ".IWM201120P173")</f>
        <v>N/A</v>
      </c>
      <c r="U355" t="str">
        <f>RTD("tos.rtd", , "PROB_OTM", ".IWM201120P173")</f>
        <v>N/A</v>
      </c>
      <c r="V355" t="str">
        <f>RTD("tos.rtd", , "PROB_OF_TOUCHING", ".IWM201120P173")</f>
        <v>N/A</v>
      </c>
      <c r="W355" t="str">
        <f>RTD("tos.rtd", , "STRIKE", ".IWM201120P173")</f>
        <v>N/A</v>
      </c>
    </row>
    <row r="356" spans="1:23" x14ac:dyDescent="0.45">
      <c r="A356" t="s">
        <v>377</v>
      </c>
      <c r="B356" t="str">
        <f>RTD("tos.rtd", , "DESCRIPTION", ".IWM201120C174")</f>
        <v>N/A</v>
      </c>
      <c r="C356" t="str">
        <f>RTD("tos.rtd", , "PUT_CALL_RATIO", ".IWM201120C174")</f>
        <v>N/A</v>
      </c>
      <c r="D356" t="str">
        <f>RTD("tos.rtd", , "IMPL_VOL", ".IWM201120C174")</f>
        <v>N/A</v>
      </c>
      <c r="E356">
        <f>RTD("tos.rtd", , "LAST", ".IWM201120C174")</f>
        <v>1.31</v>
      </c>
      <c r="F356">
        <f>RTD("tos.rtd", , "VOLUME", ".IWM201120C174")</f>
        <v>2277</v>
      </c>
      <c r="G356">
        <f>RTD("tos.rtd", , "OPEN_INT", ".IWM201120C174")</f>
        <v>1121</v>
      </c>
      <c r="H356">
        <f>RTD("tos.rtd", , "BID", ".IWM201120C174")</f>
        <v>1.25</v>
      </c>
      <c r="I356">
        <f>RTD("tos.rtd", , "ASK", ".IWM201120C174")</f>
        <v>1.34</v>
      </c>
      <c r="J356">
        <f>RTD("tos.rtd", , "HIGH", ".IWM201120C174")</f>
        <v>1.78</v>
      </c>
      <c r="K356">
        <f>RTD("tos.rtd", , "LOW", ".IWM201120C174")</f>
        <v>0.94</v>
      </c>
      <c r="L356">
        <f>RTD("tos.rtd", , "OPEN", ".IWM201120C174")</f>
        <v>1.69</v>
      </c>
      <c r="M356" t="str">
        <f>RTD("tos.rtd", , "DELTA", ".IWM201120C174")</f>
        <v>N/A</v>
      </c>
      <c r="N356" t="str">
        <f>RTD("tos.rtd", , "GAMMA", ".IWM201120C174")</f>
        <v>N/A</v>
      </c>
      <c r="O356" t="str">
        <f>RTD("tos.rtd", , "THETA", ".IWM201120C174")</f>
        <v>N/A</v>
      </c>
      <c r="P356" t="str">
        <f>RTD("tos.rtd", , "VEGA", ".IWM201120C174")</f>
        <v>N/A</v>
      </c>
      <c r="Q356" t="str">
        <f>RTD("tos.rtd", , "RHO", ".IWM201120C174")</f>
        <v>N/A</v>
      </c>
      <c r="R356" t="str">
        <f>RTD("tos.rtd", , "INTRINSIC", ".IWM201120C174")</f>
        <v>N/A</v>
      </c>
      <c r="S356" t="str">
        <f>RTD("tos.rtd", , "EXTRINSIC", ".IWM201120C174")</f>
        <v>N/A</v>
      </c>
      <c r="T356" t="str">
        <f>RTD("tos.rtd", , "PROB_OF_EXPIRING", ".IWM201120C174")</f>
        <v>N/A</v>
      </c>
      <c r="U356" t="str">
        <f>RTD("tos.rtd", , "PROB_OTM", ".IWM201120C174")</f>
        <v>N/A</v>
      </c>
      <c r="V356" t="str">
        <f>RTD("tos.rtd", , "PROB_OF_TOUCHING", ".IWM201120C174")</f>
        <v>N/A</v>
      </c>
      <c r="W356" t="str">
        <f>RTD("tos.rtd", , "STRIKE", ".IWM201120C174")</f>
        <v>N/A</v>
      </c>
    </row>
    <row r="357" spans="1:23" x14ac:dyDescent="0.45">
      <c r="A357" t="s">
        <v>378</v>
      </c>
      <c r="B357" t="str">
        <f>RTD("tos.rtd", , "DESCRIPTION", ".IWM201120P174")</f>
        <v>N/A</v>
      </c>
      <c r="C357" t="str">
        <f>RTD("tos.rtd", , "PUT_CALL_RATIO", ".IWM201120P174")</f>
        <v>N/A</v>
      </c>
      <c r="D357" t="str">
        <f>RTD("tos.rtd", , "IMPL_VOL", ".IWM201120P174")</f>
        <v>N/A</v>
      </c>
      <c r="E357">
        <f>RTD("tos.rtd", , "LAST", ".IWM201120P174")</f>
        <v>5.25</v>
      </c>
      <c r="F357">
        <f>RTD("tos.rtd", , "VOLUME", ".IWM201120P174")</f>
        <v>805</v>
      </c>
      <c r="G357">
        <f>RTD("tos.rtd", , "OPEN_INT", ".IWM201120P174")</f>
        <v>904</v>
      </c>
      <c r="H357">
        <f>RTD("tos.rtd", , "BID", ".IWM201120P174")</f>
        <v>5.18</v>
      </c>
      <c r="I357">
        <f>RTD("tos.rtd", , "ASK", ".IWM201120P174")</f>
        <v>5.4</v>
      </c>
      <c r="J357">
        <f>RTD("tos.rtd", , "HIGH", ".IWM201120P174")</f>
        <v>6.56</v>
      </c>
      <c r="K357">
        <f>RTD("tos.rtd", , "LOW", ".IWM201120P174")</f>
        <v>3.86</v>
      </c>
      <c r="L357">
        <f>RTD("tos.rtd", , "OPEN", ".IWM201120P174")</f>
        <v>4.28</v>
      </c>
      <c r="M357" t="str">
        <f>RTD("tos.rtd", , "DELTA", ".IWM201120P174")</f>
        <v>N/A</v>
      </c>
      <c r="N357" t="str">
        <f>RTD("tos.rtd", , "GAMMA", ".IWM201120P174")</f>
        <v>N/A</v>
      </c>
      <c r="O357" t="str">
        <f>RTD("tos.rtd", , "THETA", ".IWM201120P174")</f>
        <v>N/A</v>
      </c>
      <c r="P357" t="str">
        <f>RTD("tos.rtd", , "VEGA", ".IWM201120P174")</f>
        <v>N/A</v>
      </c>
      <c r="Q357" t="str">
        <f>RTD("tos.rtd", , "RHO", ".IWM201120P174")</f>
        <v>N/A</v>
      </c>
      <c r="R357" t="str">
        <f>RTD("tos.rtd", , "INTRINSIC", ".IWM201120P174")</f>
        <v>N/A</v>
      </c>
      <c r="S357" t="str">
        <f>RTD("tos.rtd", , "EXTRINSIC", ".IWM201120P174")</f>
        <v>N/A</v>
      </c>
      <c r="T357" t="str">
        <f>RTD("tos.rtd", , "PROB_OF_EXPIRING", ".IWM201120P174")</f>
        <v>N/A</v>
      </c>
      <c r="U357" t="str">
        <f>RTD("tos.rtd", , "PROB_OTM", ".IWM201120P174")</f>
        <v>N/A</v>
      </c>
      <c r="V357" t="str">
        <f>RTD("tos.rtd", , "PROB_OF_TOUCHING", ".IWM201120P174")</f>
        <v>N/A</v>
      </c>
      <c r="W357" t="str">
        <f>RTD("tos.rtd", , "STRIKE", ".IWM201120P174")</f>
        <v>N/A</v>
      </c>
    </row>
    <row r="358" spans="1:23" x14ac:dyDescent="0.45">
      <c r="A358" t="s">
        <v>379</v>
      </c>
      <c r="B358" t="str">
        <f>RTD("tos.rtd", , "DESCRIPTION", ".IWM201120C175")</f>
        <v>N/A</v>
      </c>
      <c r="C358" t="str">
        <f>RTD("tos.rtd", , "PUT_CALL_RATIO", ".IWM201120C175")</f>
        <v>N/A</v>
      </c>
      <c r="D358" t="str">
        <f>RTD("tos.rtd", , "IMPL_VOL", ".IWM201120C175")</f>
        <v>N/A</v>
      </c>
      <c r="E358">
        <f>RTD("tos.rtd", , "LAST", ".IWM201120C175")</f>
        <v>1.07</v>
      </c>
      <c r="F358">
        <f>RTD("tos.rtd", , "VOLUME", ".IWM201120C175")</f>
        <v>4675</v>
      </c>
      <c r="G358">
        <f>RTD("tos.rtd", , "OPEN_INT", ".IWM201120C175")</f>
        <v>31990</v>
      </c>
      <c r="H358">
        <f>RTD("tos.rtd", , "BID", ".IWM201120C175")</f>
        <v>0.96</v>
      </c>
      <c r="I358">
        <f>RTD("tos.rtd", , "ASK", ".IWM201120C175")</f>
        <v>1.04</v>
      </c>
      <c r="J358">
        <f>RTD("tos.rtd", , "HIGH", ".IWM201120C175")</f>
        <v>1.39</v>
      </c>
      <c r="K358">
        <f>RTD("tos.rtd", , "LOW", ".IWM201120C175")</f>
        <v>0.73</v>
      </c>
      <c r="L358">
        <f>RTD("tos.rtd", , "OPEN", ".IWM201120C175")</f>
        <v>1.36</v>
      </c>
      <c r="M358" t="str">
        <f>RTD("tos.rtd", , "DELTA", ".IWM201120C175")</f>
        <v>N/A</v>
      </c>
      <c r="N358" t="str">
        <f>RTD("tos.rtd", , "GAMMA", ".IWM201120C175")</f>
        <v>N/A</v>
      </c>
      <c r="O358" t="str">
        <f>RTD("tos.rtd", , "THETA", ".IWM201120C175")</f>
        <v>N/A</v>
      </c>
      <c r="P358" t="str">
        <f>RTD("tos.rtd", , "VEGA", ".IWM201120C175")</f>
        <v>N/A</v>
      </c>
      <c r="Q358" t="str">
        <f>RTD("tos.rtd", , "RHO", ".IWM201120C175")</f>
        <v>N/A</v>
      </c>
      <c r="R358" t="str">
        <f>RTD("tos.rtd", , "INTRINSIC", ".IWM201120C175")</f>
        <v>N/A</v>
      </c>
      <c r="S358" t="str">
        <f>RTD("tos.rtd", , "EXTRINSIC", ".IWM201120C175")</f>
        <v>N/A</v>
      </c>
      <c r="T358" t="str">
        <f>RTD("tos.rtd", , "PROB_OF_EXPIRING", ".IWM201120C175")</f>
        <v>N/A</v>
      </c>
      <c r="U358" t="str">
        <f>RTD("tos.rtd", , "PROB_OTM", ".IWM201120C175")</f>
        <v>N/A</v>
      </c>
      <c r="V358" t="str">
        <f>RTD("tos.rtd", , "PROB_OF_TOUCHING", ".IWM201120C175")</f>
        <v>N/A</v>
      </c>
      <c r="W358" t="str">
        <f>RTD("tos.rtd", , "STRIKE", ".IWM201120C175")</f>
        <v>N/A</v>
      </c>
    </row>
    <row r="359" spans="1:23" x14ac:dyDescent="0.45">
      <c r="A359" t="s">
        <v>380</v>
      </c>
      <c r="B359" t="str">
        <f>RTD("tos.rtd", , "DESCRIPTION", ".IWM201120P175")</f>
        <v>N/A</v>
      </c>
      <c r="C359" t="str">
        <f>RTD("tos.rtd", , "PUT_CALL_RATIO", ".IWM201120P175")</f>
        <v>N/A</v>
      </c>
      <c r="D359" t="str">
        <f>RTD("tos.rtd", , "IMPL_VOL", ".IWM201120P175")</f>
        <v>N/A</v>
      </c>
      <c r="E359">
        <f>RTD("tos.rtd", , "LAST", ".IWM201120P175")</f>
        <v>6.14</v>
      </c>
      <c r="F359">
        <f>RTD("tos.rtd", , "VOLUME", ".IWM201120P175")</f>
        <v>146</v>
      </c>
      <c r="G359">
        <f>RTD("tos.rtd", , "OPEN_INT", ".IWM201120P175")</f>
        <v>2853</v>
      </c>
      <c r="H359">
        <f>RTD("tos.rtd", , "BID", ".IWM201120P175")</f>
        <v>5.88</v>
      </c>
      <c r="I359">
        <f>RTD("tos.rtd", , "ASK", ".IWM201120P175")</f>
        <v>6.1</v>
      </c>
      <c r="J359">
        <f>RTD("tos.rtd", , "HIGH", ".IWM201120P175")</f>
        <v>6.85</v>
      </c>
      <c r="K359">
        <f>RTD("tos.rtd", , "LOW", ".IWM201120P175")</f>
        <v>4.4800000000000004</v>
      </c>
      <c r="L359">
        <f>RTD("tos.rtd", , "OPEN", ".IWM201120P175")</f>
        <v>5.24</v>
      </c>
      <c r="M359" t="str">
        <f>RTD("tos.rtd", , "DELTA", ".IWM201120P175")</f>
        <v>N/A</v>
      </c>
      <c r="N359" t="str">
        <f>RTD("tos.rtd", , "GAMMA", ".IWM201120P175")</f>
        <v>N/A</v>
      </c>
      <c r="O359" t="str">
        <f>RTD("tos.rtd", , "THETA", ".IWM201120P175")</f>
        <v>N/A</v>
      </c>
      <c r="P359" t="str">
        <f>RTD("tos.rtd", , "VEGA", ".IWM201120P175")</f>
        <v>N/A</v>
      </c>
      <c r="Q359" t="str">
        <f>RTD("tos.rtd", , "RHO", ".IWM201120P175")</f>
        <v>N/A</v>
      </c>
      <c r="R359" t="str">
        <f>RTD("tos.rtd", , "INTRINSIC", ".IWM201120P175")</f>
        <v>N/A</v>
      </c>
      <c r="S359" t="str">
        <f>RTD("tos.rtd", , "EXTRINSIC", ".IWM201120P175")</f>
        <v>N/A</v>
      </c>
      <c r="T359" t="str">
        <f>RTD("tos.rtd", , "PROB_OF_EXPIRING", ".IWM201120P175")</f>
        <v>N/A</v>
      </c>
      <c r="U359" t="str">
        <f>RTD("tos.rtd", , "PROB_OTM", ".IWM201120P175")</f>
        <v>N/A</v>
      </c>
      <c r="V359" t="str">
        <f>RTD("tos.rtd", , "PROB_OF_TOUCHING", ".IWM201120P175")</f>
        <v>N/A</v>
      </c>
      <c r="W359" t="str">
        <f>RTD("tos.rtd", , "STRIKE", ".IWM201120P175")</f>
        <v>N/A</v>
      </c>
    </row>
    <row r="360" spans="1:23" x14ac:dyDescent="0.45">
      <c r="A360" t="s">
        <v>381</v>
      </c>
      <c r="B360" t="str">
        <f>RTD("tos.rtd", , "DESCRIPTION", "IXUS")</f>
        <v>N/A</v>
      </c>
      <c r="C360">
        <f>RTD("tos.rtd", , "PUT_CALL_RATIO", "IXUS")</f>
        <v>0.33300000000000002</v>
      </c>
      <c r="D360" t="str">
        <f>RTD("tos.rtd", , "IMPL_VOL", "IXUS")</f>
        <v>21.93%</v>
      </c>
      <c r="E360">
        <f>RTD("tos.rtd", , "LAST", "IXUS")</f>
        <v>62.41</v>
      </c>
      <c r="F360">
        <f>RTD("tos.rtd", , "VOLUME", "IXUS")</f>
        <v>1202204</v>
      </c>
      <c r="G360">
        <f>RTD("tos.rtd", , "OPEN_INT", "IXUS")</f>
        <v>0</v>
      </c>
      <c r="H360">
        <f>RTD("tos.rtd", , "BID", "IXUS")</f>
        <v>62</v>
      </c>
      <c r="I360">
        <f>RTD("tos.rtd", , "ASK", "IXUS")</f>
        <v>65</v>
      </c>
      <c r="J360">
        <f>RTD("tos.rtd", , "HIGH", "IXUS")</f>
        <v>63.009900000000002</v>
      </c>
      <c r="K360">
        <f>RTD("tos.rtd", , "LOW", "IXUS")</f>
        <v>62.234999999999999</v>
      </c>
      <c r="L360">
        <f>RTD("tos.rtd", , "OPEN", "IXUS")</f>
        <v>62.89</v>
      </c>
      <c r="M360">
        <f>RTD("tos.rtd", , "DELTA", "IXUS")</f>
        <v>1</v>
      </c>
      <c r="N360">
        <f>RTD("tos.rtd", , "GAMMA", "IXUS")</f>
        <v>0</v>
      </c>
      <c r="O360">
        <f>RTD("tos.rtd", , "THETA", "IXUS")</f>
        <v>0</v>
      </c>
      <c r="P360">
        <f>RTD("tos.rtd", , "VEGA", "IXUS")</f>
        <v>0</v>
      </c>
      <c r="Q360">
        <f>RTD("tos.rtd", , "RHO", "IXUS")</f>
        <v>0</v>
      </c>
      <c r="R360" t="str">
        <f>RTD("tos.rtd", , "INTRINSIC", "IXUS")</f>
        <v>N/A</v>
      </c>
      <c r="S360" t="str">
        <f>RTD("tos.rtd", , "EXTRINSIC", "IXUS")</f>
        <v>N/A</v>
      </c>
      <c r="T360" t="str">
        <f>RTD("tos.rtd", , "PROB_OF_EXPIRING", "IXUS")</f>
        <v>N/A</v>
      </c>
      <c r="U360" t="str">
        <f>RTD("tos.rtd", , "PROB_OTM", "IXUS")</f>
        <v>N/A</v>
      </c>
      <c r="V360" t="str">
        <f>RTD("tos.rtd", , "PROB_OF_TOUCHING", "IXUS")</f>
        <v>N/A</v>
      </c>
      <c r="W360" t="str">
        <f>RTD("tos.rtd", , "STRIKE", "IXUS")</f>
        <v>N/A</v>
      </c>
    </row>
    <row r="361" spans="1:23" x14ac:dyDescent="0.45">
      <c r="A361" t="s">
        <v>382</v>
      </c>
      <c r="B361" t="str">
        <f>RTD("tos.rtd", , "DESCRIPTION", ".IXUS201120C63")</f>
        <v>N/A</v>
      </c>
      <c r="C361" t="str">
        <f>RTD("tos.rtd", , "PUT_CALL_RATIO", ".IXUS201120C63")</f>
        <v>N/A</v>
      </c>
      <c r="D361" t="str">
        <f>RTD("tos.rtd", , "IMPL_VOL", ".IXUS201120C63")</f>
        <v>N/A</v>
      </c>
      <c r="E361">
        <f>RTD("tos.rtd", , "LAST", ".IXUS201120C63")</f>
        <v>0.1</v>
      </c>
      <c r="F361">
        <f>RTD("tos.rtd", , "VOLUME", ".IXUS201120C63")</f>
        <v>0</v>
      </c>
      <c r="G361">
        <f>RTD("tos.rtd", , "OPEN_INT", ".IXUS201120C63")</f>
        <v>3</v>
      </c>
      <c r="H361">
        <f>RTD("tos.rtd", , "BID", ".IXUS201120C63")</f>
        <v>0.1</v>
      </c>
      <c r="I361">
        <f>RTD("tos.rtd", , "ASK", ".IXUS201120C63")</f>
        <v>1.6</v>
      </c>
      <c r="J361">
        <f>RTD("tos.rtd", , "HIGH", ".IXUS201120C63")</f>
        <v>0</v>
      </c>
      <c r="K361">
        <f>RTD("tos.rtd", , "LOW", ".IXUS201120C63")</f>
        <v>0</v>
      </c>
      <c r="L361">
        <f>RTD("tos.rtd", , "OPEN", ".IXUS201120C63")</f>
        <v>0</v>
      </c>
      <c r="M361" t="str">
        <f>RTD("tos.rtd", , "DELTA", ".IXUS201120C63")</f>
        <v>N/A</v>
      </c>
      <c r="N361" t="str">
        <f>RTD("tos.rtd", , "GAMMA", ".IXUS201120C63")</f>
        <v>N/A</v>
      </c>
      <c r="O361" t="str">
        <f>RTD("tos.rtd", , "THETA", ".IXUS201120C63")</f>
        <v>N/A</v>
      </c>
      <c r="P361" t="str">
        <f>RTD("tos.rtd", , "VEGA", ".IXUS201120C63")</f>
        <v>N/A</v>
      </c>
      <c r="Q361" t="str">
        <f>RTD("tos.rtd", , "RHO", ".IXUS201120C63")</f>
        <v>N/A</v>
      </c>
      <c r="R361" t="str">
        <f>RTD("tos.rtd", , "INTRINSIC", ".IXUS201120C63")</f>
        <v>N/A</v>
      </c>
      <c r="S361" t="str">
        <f>RTD("tos.rtd", , "EXTRINSIC", ".IXUS201120C63")</f>
        <v>N/A</v>
      </c>
      <c r="T361" t="str">
        <f>RTD("tos.rtd", , "PROB_OF_EXPIRING", ".IXUS201120C63")</f>
        <v>N/A</v>
      </c>
      <c r="U361" t="str">
        <f>RTD("tos.rtd", , "PROB_OTM", ".IXUS201120C63")</f>
        <v>N/A</v>
      </c>
      <c r="V361" t="str">
        <f>RTD("tos.rtd", , "PROB_OF_TOUCHING", ".IXUS201120C63")</f>
        <v>N/A</v>
      </c>
      <c r="W361" t="str">
        <f>RTD("tos.rtd", , "STRIKE", ".IXUS201120C63")</f>
        <v>N/A</v>
      </c>
    </row>
    <row r="362" spans="1:23" x14ac:dyDescent="0.45">
      <c r="A362" t="s">
        <v>383</v>
      </c>
      <c r="B362" t="str">
        <f>RTD("tos.rtd", , "DESCRIPTION", ".IXUS201120P63")</f>
        <v>N/A</v>
      </c>
      <c r="C362" t="str">
        <f>RTD("tos.rtd", , "PUT_CALL_RATIO", ".IXUS201120P63")</f>
        <v>N/A</v>
      </c>
      <c r="D362" t="str">
        <f>RTD("tos.rtd", , "IMPL_VOL", ".IXUS201120P63")</f>
        <v>N/A</v>
      </c>
      <c r="E362" t="str">
        <f>RTD("tos.rtd", , "LAST", ".IXUS201120P63")</f>
        <v>N/A</v>
      </c>
      <c r="F362" t="str">
        <f>RTD("tos.rtd", , "VOLUME", ".IXUS201120P63")</f>
        <v>N/A</v>
      </c>
      <c r="G362" t="str">
        <f>RTD("tos.rtd", , "OPEN_INT", ".IXUS201120P63")</f>
        <v>N/A</v>
      </c>
      <c r="H362" t="str">
        <f>RTD("tos.rtd", , "BID", ".IXUS201120P63")</f>
        <v>N/A</v>
      </c>
      <c r="I362" t="str">
        <f>RTD("tos.rtd", , "ASK", ".IXUS201120P63")</f>
        <v>N/A</v>
      </c>
      <c r="J362" t="str">
        <f>RTD("tos.rtd", , "HIGH", ".IXUS201120P63")</f>
        <v>N/A</v>
      </c>
      <c r="K362" t="str">
        <f>RTD("tos.rtd", , "LOW", ".IXUS201120P63")</f>
        <v>N/A</v>
      </c>
      <c r="L362" t="str">
        <f>RTD("tos.rtd", , "OPEN", ".IXUS201120P63")</f>
        <v>N/A</v>
      </c>
      <c r="M362" t="str">
        <f>RTD("tos.rtd", , "DELTA", ".IXUS201120P63")</f>
        <v>N/A</v>
      </c>
      <c r="N362" t="str">
        <f>RTD("tos.rtd", , "GAMMA", ".IXUS201120P63")</f>
        <v>N/A</v>
      </c>
      <c r="O362" t="str">
        <f>RTD("tos.rtd", , "THETA", ".IXUS201120P63")</f>
        <v>N/A</v>
      </c>
      <c r="P362" t="str">
        <f>RTD("tos.rtd", , "VEGA", ".IXUS201120P63")</f>
        <v>N/A</v>
      </c>
      <c r="Q362" t="str">
        <f>RTD("tos.rtd", , "RHO", ".IXUS201120P63")</f>
        <v>N/A</v>
      </c>
      <c r="R362" t="str">
        <f>RTD("tos.rtd", , "INTRINSIC", ".IXUS201120P63")</f>
        <v>N/A</v>
      </c>
      <c r="S362" t="str">
        <f>RTD("tos.rtd", , "EXTRINSIC", ".IXUS201120P63")</f>
        <v>N/A</v>
      </c>
      <c r="T362" t="str">
        <f>RTD("tos.rtd", , "PROB_OF_EXPIRING", ".IXUS201120P63")</f>
        <v>N/A</v>
      </c>
      <c r="U362" t="str">
        <f>RTD("tos.rtd", , "PROB_OTM", ".IXUS201120P63")</f>
        <v>N/A</v>
      </c>
      <c r="V362" t="str">
        <f>RTD("tos.rtd", , "PROB_OF_TOUCHING", ".IXUS201120P63")</f>
        <v>N/A</v>
      </c>
      <c r="W362" t="str">
        <f>RTD("tos.rtd", , "STRIKE", ".IXUS201120P63")</f>
        <v>N/A</v>
      </c>
    </row>
    <row r="363" spans="1:23" x14ac:dyDescent="0.45">
      <c r="A363" t="s">
        <v>384</v>
      </c>
      <c r="B363" t="str">
        <f>RTD("tos.rtd", , "DESCRIPTION", "IYE")</f>
        <v>N/A</v>
      </c>
      <c r="C363">
        <f>RTD("tos.rtd", , "PUT_CALL_RATIO", "IYE")</f>
        <v>0.85699999999999998</v>
      </c>
      <c r="D363" t="str">
        <f>RTD("tos.rtd", , "IMPL_VOL", "IYE")</f>
        <v>39.45%</v>
      </c>
      <c r="E363">
        <f>RTD("tos.rtd", , "LAST", "IYE")</f>
        <v>17.39</v>
      </c>
      <c r="F363">
        <f>RTD("tos.rtd", , "VOLUME", "IYE")</f>
        <v>2568780</v>
      </c>
      <c r="G363">
        <f>RTD("tos.rtd", , "OPEN_INT", "IYE")</f>
        <v>0</v>
      </c>
      <c r="H363">
        <f>RTD("tos.rtd", , "BID", "IYE")</f>
        <v>17.25</v>
      </c>
      <c r="I363">
        <f>RTD("tos.rtd", , "ASK", "IYE")</f>
        <v>18.11</v>
      </c>
      <c r="J363">
        <f>RTD("tos.rtd", , "HIGH", "IYE")</f>
        <v>17.96</v>
      </c>
      <c r="K363">
        <f>RTD("tos.rtd", , "LOW", "IYE")</f>
        <v>17.25</v>
      </c>
      <c r="L363">
        <f>RTD("tos.rtd", , "OPEN", "IYE")</f>
        <v>17.75</v>
      </c>
      <c r="M363">
        <f>RTD("tos.rtd", , "DELTA", "IYE")</f>
        <v>1</v>
      </c>
      <c r="N363">
        <f>RTD("tos.rtd", , "GAMMA", "IYE")</f>
        <v>0</v>
      </c>
      <c r="O363">
        <f>RTD("tos.rtd", , "THETA", "IYE")</f>
        <v>0</v>
      </c>
      <c r="P363">
        <f>RTD("tos.rtd", , "VEGA", "IYE")</f>
        <v>0</v>
      </c>
      <c r="Q363">
        <f>RTD("tos.rtd", , "RHO", "IYE")</f>
        <v>0</v>
      </c>
      <c r="R363" t="str">
        <f>RTD("tos.rtd", , "INTRINSIC", "IYE")</f>
        <v>N/A</v>
      </c>
      <c r="S363" t="str">
        <f>RTD("tos.rtd", , "EXTRINSIC", "IYE")</f>
        <v>N/A</v>
      </c>
      <c r="T363" t="str">
        <f>RTD("tos.rtd", , "PROB_OF_EXPIRING", "IYE")</f>
        <v>N/A</v>
      </c>
      <c r="U363" t="str">
        <f>RTD("tos.rtd", , "PROB_OTM", "IYE")</f>
        <v>N/A</v>
      </c>
      <c r="V363" t="str">
        <f>RTD("tos.rtd", , "PROB_OF_TOUCHING", "IYE")</f>
        <v>N/A</v>
      </c>
      <c r="W363" t="str">
        <f>RTD("tos.rtd", , "STRIKE", "IYE")</f>
        <v>N/A</v>
      </c>
    </row>
    <row r="364" spans="1:23" x14ac:dyDescent="0.45">
      <c r="A364" t="s">
        <v>385</v>
      </c>
      <c r="B364" t="str">
        <f>RTD("tos.rtd", , "DESCRIPTION", ".IYE201120C18")</f>
        <v>N/A</v>
      </c>
      <c r="C364" t="str">
        <f>RTD("tos.rtd", , "PUT_CALL_RATIO", ".IYE201120C18")</f>
        <v>N/A</v>
      </c>
      <c r="D364" t="str">
        <f>RTD("tos.rtd", , "IMPL_VOL", ".IYE201120C18")</f>
        <v>N/A</v>
      </c>
      <c r="E364">
        <f>RTD("tos.rtd", , "LAST", ".IYE201120C18")</f>
        <v>0.15</v>
      </c>
      <c r="F364">
        <f>RTD("tos.rtd", , "VOLUME", ".IYE201120C18")</f>
        <v>0</v>
      </c>
      <c r="G364">
        <f>RTD("tos.rtd", , "OPEN_INT", ".IYE201120C18")</f>
        <v>69</v>
      </c>
      <c r="H364">
        <f>RTD("tos.rtd", , "BID", ".IYE201120C18")</f>
        <v>0.1</v>
      </c>
      <c r="I364">
        <f>RTD("tos.rtd", , "ASK", ".IYE201120C18")</f>
        <v>0.3</v>
      </c>
      <c r="J364">
        <f>RTD("tos.rtd", , "HIGH", ".IYE201120C18")</f>
        <v>0</v>
      </c>
      <c r="K364">
        <f>RTD("tos.rtd", , "LOW", ".IYE201120C18")</f>
        <v>0</v>
      </c>
      <c r="L364">
        <f>RTD("tos.rtd", , "OPEN", ".IYE201120C18")</f>
        <v>0</v>
      </c>
      <c r="M364" t="str">
        <f>RTD("tos.rtd", , "DELTA", ".IYE201120C18")</f>
        <v>N/A</v>
      </c>
      <c r="N364" t="str">
        <f>RTD("tos.rtd", , "GAMMA", ".IYE201120C18")</f>
        <v>N/A</v>
      </c>
      <c r="O364" t="str">
        <f>RTD("tos.rtd", , "THETA", ".IYE201120C18")</f>
        <v>N/A</v>
      </c>
      <c r="P364" t="str">
        <f>RTD("tos.rtd", , "VEGA", ".IYE201120C18")</f>
        <v>N/A</v>
      </c>
      <c r="Q364" t="str">
        <f>RTD("tos.rtd", , "RHO", ".IYE201120C18")</f>
        <v>N/A</v>
      </c>
      <c r="R364" t="str">
        <f>RTD("tos.rtd", , "INTRINSIC", ".IYE201120C18")</f>
        <v>N/A</v>
      </c>
      <c r="S364" t="str">
        <f>RTD("tos.rtd", , "EXTRINSIC", ".IYE201120C18")</f>
        <v>N/A</v>
      </c>
      <c r="T364" t="str">
        <f>RTD("tos.rtd", , "PROB_OF_EXPIRING", ".IYE201120C18")</f>
        <v>N/A</v>
      </c>
      <c r="U364" t="str">
        <f>RTD("tos.rtd", , "PROB_OTM", ".IYE201120C18")</f>
        <v>N/A</v>
      </c>
      <c r="V364" t="str">
        <f>RTD("tos.rtd", , "PROB_OF_TOUCHING", ".IYE201120C18")</f>
        <v>N/A</v>
      </c>
      <c r="W364" t="str">
        <f>RTD("tos.rtd", , "STRIKE", ".IYE201120C18")</f>
        <v>N/A</v>
      </c>
    </row>
    <row r="365" spans="1:23" x14ac:dyDescent="0.45">
      <c r="A365" t="s">
        <v>386</v>
      </c>
      <c r="B365" t="str">
        <f>RTD("tos.rtd", , "DESCRIPTION", ".IYE201120P18")</f>
        <v>N/A</v>
      </c>
      <c r="C365" t="str">
        <f>RTD("tos.rtd", , "PUT_CALL_RATIO", ".IYE201120P18")</f>
        <v>N/A</v>
      </c>
      <c r="D365" t="str">
        <f>RTD("tos.rtd", , "IMPL_VOL", ".IYE201120P18")</f>
        <v>N/A</v>
      </c>
      <c r="E365" t="str">
        <f>RTD("tos.rtd", , "LAST", ".IYE201120P18")</f>
        <v>N/A</v>
      </c>
      <c r="F365" t="str">
        <f>RTD("tos.rtd", , "VOLUME", ".IYE201120P18")</f>
        <v>N/A</v>
      </c>
      <c r="G365" t="str">
        <f>RTD("tos.rtd", , "OPEN_INT", ".IYE201120P18")</f>
        <v>N/A</v>
      </c>
      <c r="H365" t="str">
        <f>RTD("tos.rtd", , "BID", ".IYE201120P18")</f>
        <v>N/A</v>
      </c>
      <c r="I365" t="str">
        <f>RTD("tos.rtd", , "ASK", ".IYE201120P18")</f>
        <v>N/A</v>
      </c>
      <c r="J365" t="str">
        <f>RTD("tos.rtd", , "HIGH", ".IYE201120P18")</f>
        <v>N/A</v>
      </c>
      <c r="K365" t="str">
        <f>RTD("tos.rtd", , "LOW", ".IYE201120P18")</f>
        <v>N/A</v>
      </c>
      <c r="L365" t="str">
        <f>RTD("tos.rtd", , "OPEN", ".IYE201120P18")</f>
        <v>N/A</v>
      </c>
      <c r="M365" t="str">
        <f>RTD("tos.rtd", , "DELTA", ".IYE201120P18")</f>
        <v>N/A</v>
      </c>
      <c r="N365" t="str">
        <f>RTD("tos.rtd", , "GAMMA", ".IYE201120P18")</f>
        <v>N/A</v>
      </c>
      <c r="O365" t="str">
        <f>RTD("tos.rtd", , "THETA", ".IYE201120P18")</f>
        <v>N/A</v>
      </c>
      <c r="P365" t="str">
        <f>RTD("tos.rtd", , "VEGA", ".IYE201120P18")</f>
        <v>N/A</v>
      </c>
      <c r="Q365" t="str">
        <f>RTD("tos.rtd", , "RHO", ".IYE201120P18")</f>
        <v>N/A</v>
      </c>
      <c r="R365" t="str">
        <f>RTD("tos.rtd", , "INTRINSIC", ".IYE201120P18")</f>
        <v>N/A</v>
      </c>
      <c r="S365" t="str">
        <f>RTD("tos.rtd", , "EXTRINSIC", ".IYE201120P18")</f>
        <v>N/A</v>
      </c>
      <c r="T365" t="str">
        <f>RTD("tos.rtd", , "PROB_OF_EXPIRING", ".IYE201120P18")</f>
        <v>N/A</v>
      </c>
      <c r="U365" t="str">
        <f>RTD("tos.rtd", , "PROB_OTM", ".IYE201120P18")</f>
        <v>N/A</v>
      </c>
      <c r="V365" t="str">
        <f>RTD("tos.rtd", , "PROB_OF_TOUCHING", ".IYE201120P18")</f>
        <v>N/A</v>
      </c>
      <c r="W365" t="str">
        <f>RTD("tos.rtd", , "STRIKE", ".IYE201120P18")</f>
        <v>N/A</v>
      </c>
    </row>
    <row r="366" spans="1:23" x14ac:dyDescent="0.45">
      <c r="A366" t="s">
        <v>387</v>
      </c>
      <c r="B366" t="str">
        <f>RTD("tos.rtd", , "DESCRIPTION", "IYR")</f>
        <v>N/A</v>
      </c>
      <c r="C366">
        <f>RTD("tos.rtd", , "PUT_CALL_RATIO", "IYR")</f>
        <v>0.90100000000000002</v>
      </c>
      <c r="D366" t="str">
        <f>RTD("tos.rtd", , "IMPL_VOL", "IYR")</f>
        <v>26.12%</v>
      </c>
      <c r="E366">
        <f>RTD("tos.rtd", , "LAST", "IYR")</f>
        <v>83.75</v>
      </c>
      <c r="F366">
        <f>RTD("tos.rtd", , "VOLUME", "IYR")</f>
        <v>3756803</v>
      </c>
      <c r="G366">
        <f>RTD("tos.rtd", , "OPEN_INT", "IYR")</f>
        <v>0</v>
      </c>
      <c r="H366">
        <f>RTD("tos.rtd", , "BID", "IYR")</f>
        <v>83.53</v>
      </c>
      <c r="I366">
        <f>RTD("tos.rtd", , "ASK", "IYR")</f>
        <v>84.31</v>
      </c>
      <c r="J366">
        <f>RTD("tos.rtd", , "HIGH", "IYR")</f>
        <v>84.79</v>
      </c>
      <c r="K366">
        <f>RTD("tos.rtd", , "LOW", "IYR")</f>
        <v>83.22</v>
      </c>
      <c r="L366">
        <f>RTD("tos.rtd", , "OPEN", "IYR")</f>
        <v>84.34</v>
      </c>
      <c r="M366">
        <f>RTD("tos.rtd", , "DELTA", "IYR")</f>
        <v>1</v>
      </c>
      <c r="N366">
        <f>RTD("tos.rtd", , "GAMMA", "IYR")</f>
        <v>0</v>
      </c>
      <c r="O366">
        <f>RTD("tos.rtd", , "THETA", "IYR")</f>
        <v>0</v>
      </c>
      <c r="P366">
        <f>RTD("tos.rtd", , "VEGA", "IYR")</f>
        <v>0</v>
      </c>
      <c r="Q366">
        <f>RTD("tos.rtd", , "RHO", "IYR")</f>
        <v>0</v>
      </c>
      <c r="R366" t="str">
        <f>RTD("tos.rtd", , "INTRINSIC", "IYR")</f>
        <v>N/A</v>
      </c>
      <c r="S366" t="str">
        <f>RTD("tos.rtd", , "EXTRINSIC", "IYR")</f>
        <v>N/A</v>
      </c>
      <c r="T366" t="str">
        <f>RTD("tos.rtd", , "PROB_OF_EXPIRING", "IYR")</f>
        <v>N/A</v>
      </c>
      <c r="U366" t="str">
        <f>RTD("tos.rtd", , "PROB_OTM", "IYR")</f>
        <v>N/A</v>
      </c>
      <c r="V366" t="str">
        <f>RTD("tos.rtd", , "PROB_OF_TOUCHING", "IYR")</f>
        <v>N/A</v>
      </c>
      <c r="W366" t="str">
        <f>RTD("tos.rtd", , "STRIKE", "IYR")</f>
        <v>N/A</v>
      </c>
    </row>
    <row r="367" spans="1:23" x14ac:dyDescent="0.45">
      <c r="A367" t="s">
        <v>388</v>
      </c>
      <c r="B367" t="str">
        <f>RTD("tos.rtd", , "DESCRIPTION", ".IYR201120C84")</f>
        <v>N/A</v>
      </c>
      <c r="C367" t="str">
        <f>RTD("tos.rtd", , "PUT_CALL_RATIO", ".IYR201120C84")</f>
        <v>N/A</v>
      </c>
      <c r="D367" t="str">
        <f>RTD("tos.rtd", , "IMPL_VOL", ".IYR201120C84")</f>
        <v>N/A</v>
      </c>
      <c r="E367" t="str">
        <f>RTD("tos.rtd", , "LAST", ".IYR201120C84")</f>
        <v>N/A</v>
      </c>
      <c r="F367" t="str">
        <f>RTD("tos.rtd", , "VOLUME", ".IYR201120C84")</f>
        <v>N/A</v>
      </c>
      <c r="G367" t="str">
        <f>RTD("tos.rtd", , "OPEN_INT", ".IYR201120C84")</f>
        <v>N/A</v>
      </c>
      <c r="H367" t="str">
        <f>RTD("tos.rtd", , "BID", ".IYR201120C84")</f>
        <v>N/A</v>
      </c>
      <c r="I367" t="str">
        <f>RTD("tos.rtd", , "ASK", ".IYR201120C84")</f>
        <v>N/A</v>
      </c>
      <c r="J367" t="str">
        <f>RTD("tos.rtd", , "HIGH", ".IYR201120C84")</f>
        <v>N/A</v>
      </c>
      <c r="K367" t="str">
        <f>RTD("tos.rtd", , "LOW", ".IYR201120C84")</f>
        <v>N/A</v>
      </c>
      <c r="L367" t="str">
        <f>RTD("tos.rtd", , "OPEN", ".IYR201120C84")</f>
        <v>N/A</v>
      </c>
      <c r="M367" t="str">
        <f>RTD("tos.rtd", , "DELTA", ".IYR201120C84")</f>
        <v>N/A</v>
      </c>
      <c r="N367" t="str">
        <f>RTD("tos.rtd", , "GAMMA", ".IYR201120C84")</f>
        <v>N/A</v>
      </c>
      <c r="O367" t="str">
        <f>RTD("tos.rtd", , "THETA", ".IYR201120C84")</f>
        <v>N/A</v>
      </c>
      <c r="P367" t="str">
        <f>RTD("tos.rtd", , "VEGA", ".IYR201120C84")</f>
        <v>N/A</v>
      </c>
      <c r="Q367" t="str">
        <f>RTD("tos.rtd", , "RHO", ".IYR201120C84")</f>
        <v>N/A</v>
      </c>
      <c r="R367" t="str">
        <f>RTD("tos.rtd", , "INTRINSIC", ".IYR201120C84")</f>
        <v>N/A</v>
      </c>
      <c r="S367" t="str">
        <f>RTD("tos.rtd", , "EXTRINSIC", ".IYR201120C84")</f>
        <v>N/A</v>
      </c>
      <c r="T367" t="str">
        <f>RTD("tos.rtd", , "PROB_OF_EXPIRING", ".IYR201120C84")</f>
        <v>N/A</v>
      </c>
      <c r="U367" t="str">
        <f>RTD("tos.rtd", , "PROB_OTM", ".IYR201120C84")</f>
        <v>N/A</v>
      </c>
      <c r="V367" t="str">
        <f>RTD("tos.rtd", , "PROB_OF_TOUCHING", ".IYR201120C84")</f>
        <v>N/A</v>
      </c>
      <c r="W367" t="str">
        <f>RTD("tos.rtd", , "STRIKE", ".IYR201120C84")</f>
        <v>N/A</v>
      </c>
    </row>
    <row r="368" spans="1:23" x14ac:dyDescent="0.45">
      <c r="A368" t="s">
        <v>389</v>
      </c>
      <c r="B368" t="str">
        <f>RTD("tos.rtd", , "DESCRIPTION", ".IYR201120P84")</f>
        <v>N/A</v>
      </c>
      <c r="C368" t="str">
        <f>RTD("tos.rtd", , "PUT_CALL_RATIO", ".IYR201120P84")</f>
        <v>N/A</v>
      </c>
      <c r="D368" t="str">
        <f>RTD("tos.rtd", , "IMPL_VOL", ".IYR201120P84")</f>
        <v>N/A</v>
      </c>
      <c r="E368" t="str">
        <f>RTD("tos.rtd", , "LAST", ".IYR201120P84")</f>
        <v>N/A</v>
      </c>
      <c r="F368" t="str">
        <f>RTD("tos.rtd", , "VOLUME", ".IYR201120P84")</f>
        <v>N/A</v>
      </c>
      <c r="G368" t="str">
        <f>RTD("tos.rtd", , "OPEN_INT", ".IYR201120P84")</f>
        <v>N/A</v>
      </c>
      <c r="H368" t="str">
        <f>RTD("tos.rtd", , "BID", ".IYR201120P84")</f>
        <v>N/A</v>
      </c>
      <c r="I368" t="str">
        <f>RTD("tos.rtd", , "ASK", ".IYR201120P84")</f>
        <v>N/A</v>
      </c>
      <c r="J368" t="str">
        <f>RTD("tos.rtd", , "HIGH", ".IYR201120P84")</f>
        <v>N/A</v>
      </c>
      <c r="K368" t="str">
        <f>RTD("tos.rtd", , "LOW", ".IYR201120P84")</f>
        <v>N/A</v>
      </c>
      <c r="L368" t="str">
        <f>RTD("tos.rtd", , "OPEN", ".IYR201120P84")</f>
        <v>N/A</v>
      </c>
      <c r="M368" t="str">
        <f>RTD("tos.rtd", , "DELTA", ".IYR201120P84")</f>
        <v>N/A</v>
      </c>
      <c r="N368" t="str">
        <f>RTD("tos.rtd", , "GAMMA", ".IYR201120P84")</f>
        <v>N/A</v>
      </c>
      <c r="O368" t="str">
        <f>RTD("tos.rtd", , "THETA", ".IYR201120P84")</f>
        <v>N/A</v>
      </c>
      <c r="P368" t="str">
        <f>RTD("tos.rtd", , "VEGA", ".IYR201120P84")</f>
        <v>N/A</v>
      </c>
      <c r="Q368" t="str">
        <f>RTD("tos.rtd", , "RHO", ".IYR201120P84")</f>
        <v>N/A</v>
      </c>
      <c r="R368" t="str">
        <f>RTD("tos.rtd", , "INTRINSIC", ".IYR201120P84")</f>
        <v>N/A</v>
      </c>
      <c r="S368" t="str">
        <f>RTD("tos.rtd", , "EXTRINSIC", ".IYR201120P84")</f>
        <v>N/A</v>
      </c>
      <c r="T368" t="str">
        <f>RTD("tos.rtd", , "PROB_OF_EXPIRING", ".IYR201120P84")</f>
        <v>N/A</v>
      </c>
      <c r="U368" t="str">
        <f>RTD("tos.rtd", , "PROB_OTM", ".IYR201120P84")</f>
        <v>N/A</v>
      </c>
      <c r="V368" t="str">
        <f>RTD("tos.rtd", , "PROB_OF_TOUCHING", ".IYR201120P84")</f>
        <v>N/A</v>
      </c>
      <c r="W368" t="str">
        <f>RTD("tos.rtd", , "STRIKE", ".IYR201120P84")</f>
        <v>N/A</v>
      </c>
    </row>
    <row r="369" spans="1:23" x14ac:dyDescent="0.45">
      <c r="A369" t="s">
        <v>390</v>
      </c>
      <c r="B369" t="str">
        <f>RTD("tos.rtd", , "DESCRIPTION", ".IYR201120C84.5")</f>
        <v>N/A</v>
      </c>
      <c r="C369" t="str">
        <f>RTD("tos.rtd", , "PUT_CALL_RATIO", ".IYR201120C84.5")</f>
        <v>N/A</v>
      </c>
      <c r="D369" t="str">
        <f>RTD("tos.rtd", , "IMPL_VOL", ".IYR201120C84.5")</f>
        <v>N/A</v>
      </c>
      <c r="E369" t="str">
        <f>RTD("tos.rtd", , "LAST", ".IYR201120C84.5")</f>
        <v>N/A</v>
      </c>
      <c r="F369" t="str">
        <f>RTD("tos.rtd", , "VOLUME", ".IYR201120C84.5")</f>
        <v>N/A</v>
      </c>
      <c r="G369" t="str">
        <f>RTD("tos.rtd", , "OPEN_INT", ".IYR201120C84.5")</f>
        <v>N/A</v>
      </c>
      <c r="H369" t="str">
        <f>RTD("tos.rtd", , "BID", ".IYR201120C84.5")</f>
        <v>N/A</v>
      </c>
      <c r="I369" t="str">
        <f>RTD("tos.rtd", , "ASK", ".IYR201120C84.5")</f>
        <v>N/A</v>
      </c>
      <c r="J369" t="str">
        <f>RTD("tos.rtd", , "HIGH", ".IYR201120C84.5")</f>
        <v>N/A</v>
      </c>
      <c r="K369" t="str">
        <f>RTD("tos.rtd", , "LOW", ".IYR201120C84.5")</f>
        <v>N/A</v>
      </c>
      <c r="L369" t="str">
        <f>RTD("tos.rtd", , "OPEN", ".IYR201120C84.5")</f>
        <v>N/A</v>
      </c>
      <c r="M369" t="str">
        <f>RTD("tos.rtd", , "DELTA", ".IYR201120C84.5")</f>
        <v>N/A</v>
      </c>
      <c r="N369" t="str">
        <f>RTD("tos.rtd", , "GAMMA", ".IYR201120C84.5")</f>
        <v>N/A</v>
      </c>
      <c r="O369" t="str">
        <f>RTD("tos.rtd", , "THETA", ".IYR201120C84.5")</f>
        <v>N/A</v>
      </c>
      <c r="P369" t="str">
        <f>RTD("tos.rtd", , "VEGA", ".IYR201120C84.5")</f>
        <v>N/A</v>
      </c>
      <c r="Q369" t="str">
        <f>RTD("tos.rtd", , "RHO", ".IYR201120C84.5")</f>
        <v>N/A</v>
      </c>
      <c r="R369" t="str">
        <f>RTD("tos.rtd", , "INTRINSIC", ".IYR201120C84.5")</f>
        <v>N/A</v>
      </c>
      <c r="S369" t="str">
        <f>RTD("tos.rtd", , "EXTRINSIC", ".IYR201120C84.5")</f>
        <v>N/A</v>
      </c>
      <c r="T369" t="str">
        <f>RTD("tos.rtd", , "PROB_OF_EXPIRING", ".IYR201120C84.5")</f>
        <v>N/A</v>
      </c>
      <c r="U369" t="str">
        <f>RTD("tos.rtd", , "PROB_OTM", ".IYR201120C84.5")</f>
        <v>N/A</v>
      </c>
      <c r="V369" t="str">
        <f>RTD("tos.rtd", , "PROB_OF_TOUCHING", ".IYR201120C84.5")</f>
        <v>N/A</v>
      </c>
      <c r="W369" t="str">
        <f>RTD("tos.rtd", , "STRIKE", ".IYR201120C84.5")</f>
        <v>N/A</v>
      </c>
    </row>
    <row r="370" spans="1:23" x14ac:dyDescent="0.45">
      <c r="A370" t="s">
        <v>391</v>
      </c>
      <c r="B370" t="str">
        <f>RTD("tos.rtd", , "DESCRIPTION", ".IYR201120P84.5")</f>
        <v>N/A</v>
      </c>
      <c r="C370" t="str">
        <f>RTD("tos.rtd", , "PUT_CALL_RATIO", ".IYR201120P84.5")</f>
        <v>N/A</v>
      </c>
      <c r="D370" t="str">
        <f>RTD("tos.rtd", , "IMPL_VOL", ".IYR201120P84.5")</f>
        <v>N/A</v>
      </c>
      <c r="E370" t="str">
        <f>RTD("tos.rtd", , "LAST", ".IYR201120P84.5")</f>
        <v>N/A</v>
      </c>
      <c r="F370" t="str">
        <f>RTD("tos.rtd", , "VOLUME", ".IYR201120P84.5")</f>
        <v>N/A</v>
      </c>
      <c r="G370" t="str">
        <f>RTD("tos.rtd", , "OPEN_INT", ".IYR201120P84.5")</f>
        <v>N/A</v>
      </c>
      <c r="H370" t="str">
        <f>RTD("tos.rtd", , "BID", ".IYR201120P84.5")</f>
        <v>N/A</v>
      </c>
      <c r="I370" t="str">
        <f>RTD("tos.rtd", , "ASK", ".IYR201120P84.5")</f>
        <v>N/A</v>
      </c>
      <c r="J370" t="str">
        <f>RTD("tos.rtd", , "HIGH", ".IYR201120P84.5")</f>
        <v>N/A</v>
      </c>
      <c r="K370" t="str">
        <f>RTD("tos.rtd", , "LOW", ".IYR201120P84.5")</f>
        <v>N/A</v>
      </c>
      <c r="L370" t="str">
        <f>RTD("tos.rtd", , "OPEN", ".IYR201120P84.5")</f>
        <v>N/A</v>
      </c>
      <c r="M370" t="str">
        <f>RTD("tos.rtd", , "DELTA", ".IYR201120P84.5")</f>
        <v>N/A</v>
      </c>
      <c r="N370" t="str">
        <f>RTD("tos.rtd", , "GAMMA", ".IYR201120P84.5")</f>
        <v>N/A</v>
      </c>
      <c r="O370" t="str">
        <f>RTD("tos.rtd", , "THETA", ".IYR201120P84.5")</f>
        <v>N/A</v>
      </c>
      <c r="P370" t="str">
        <f>RTD("tos.rtd", , "VEGA", ".IYR201120P84.5")</f>
        <v>N/A</v>
      </c>
      <c r="Q370" t="str">
        <f>RTD("tos.rtd", , "RHO", ".IYR201120P84.5")</f>
        <v>N/A</v>
      </c>
      <c r="R370" t="str">
        <f>RTD("tos.rtd", , "INTRINSIC", ".IYR201120P84.5")</f>
        <v>N/A</v>
      </c>
      <c r="S370" t="str">
        <f>RTD("tos.rtd", , "EXTRINSIC", ".IYR201120P84.5")</f>
        <v>N/A</v>
      </c>
      <c r="T370" t="str">
        <f>RTD("tos.rtd", , "PROB_OF_EXPIRING", ".IYR201120P84.5")</f>
        <v>N/A</v>
      </c>
      <c r="U370" t="str">
        <f>RTD("tos.rtd", , "PROB_OTM", ".IYR201120P84.5")</f>
        <v>N/A</v>
      </c>
      <c r="V370" t="str">
        <f>RTD("tos.rtd", , "PROB_OF_TOUCHING", ".IYR201120P84.5")</f>
        <v>N/A</v>
      </c>
      <c r="W370" t="str">
        <f>RTD("tos.rtd", , "STRIKE", ".IYR201120P84.5")</f>
        <v>N/A</v>
      </c>
    </row>
    <row r="371" spans="1:23" x14ac:dyDescent="0.45">
      <c r="A371" t="s">
        <v>392</v>
      </c>
      <c r="B371" t="str">
        <f>RTD("tos.rtd", , "DESCRIPTION", ".IYR201120C85")</f>
        <v>N/A</v>
      </c>
      <c r="C371" t="str">
        <f>RTD("tos.rtd", , "PUT_CALL_RATIO", ".IYR201120C85")</f>
        <v>N/A</v>
      </c>
      <c r="D371" t="str">
        <f>RTD("tos.rtd", , "IMPL_VOL", ".IYR201120C85")</f>
        <v>N/A</v>
      </c>
      <c r="E371" t="str">
        <f>RTD("tos.rtd", , "LAST", ".IYR201120C85")</f>
        <v>N/A</v>
      </c>
      <c r="F371" t="str">
        <f>RTD("tos.rtd", , "VOLUME", ".IYR201120C85")</f>
        <v>N/A</v>
      </c>
      <c r="G371" t="str">
        <f>RTD("tos.rtd", , "OPEN_INT", ".IYR201120C85")</f>
        <v>N/A</v>
      </c>
      <c r="H371" t="str">
        <f>RTD("tos.rtd", , "BID", ".IYR201120C85")</f>
        <v>N/A</v>
      </c>
      <c r="I371" t="str">
        <f>RTD("tos.rtd", , "ASK", ".IYR201120C85")</f>
        <v>N/A</v>
      </c>
      <c r="J371" t="str">
        <f>RTD("tos.rtd", , "HIGH", ".IYR201120C85")</f>
        <v>N/A</v>
      </c>
      <c r="K371" t="str">
        <f>RTD("tos.rtd", , "LOW", ".IYR201120C85")</f>
        <v>N/A</v>
      </c>
      <c r="L371" t="str">
        <f>RTD("tos.rtd", , "OPEN", ".IYR201120C85")</f>
        <v>N/A</v>
      </c>
      <c r="M371" t="str">
        <f>RTD("tos.rtd", , "DELTA", ".IYR201120C85")</f>
        <v>N/A</v>
      </c>
      <c r="N371" t="str">
        <f>RTD("tos.rtd", , "GAMMA", ".IYR201120C85")</f>
        <v>N/A</v>
      </c>
      <c r="O371" t="str">
        <f>RTD("tos.rtd", , "THETA", ".IYR201120C85")</f>
        <v>N/A</v>
      </c>
      <c r="P371" t="str">
        <f>RTD("tos.rtd", , "VEGA", ".IYR201120C85")</f>
        <v>N/A</v>
      </c>
      <c r="Q371" t="str">
        <f>RTD("tos.rtd", , "RHO", ".IYR201120C85")</f>
        <v>N/A</v>
      </c>
      <c r="R371" t="str">
        <f>RTD("tos.rtd", , "INTRINSIC", ".IYR201120C85")</f>
        <v>N/A</v>
      </c>
      <c r="S371" t="str">
        <f>RTD("tos.rtd", , "EXTRINSIC", ".IYR201120C85")</f>
        <v>N/A</v>
      </c>
      <c r="T371" t="str">
        <f>RTD("tos.rtd", , "PROB_OF_EXPIRING", ".IYR201120C85")</f>
        <v>N/A</v>
      </c>
      <c r="U371" t="str">
        <f>RTD("tos.rtd", , "PROB_OTM", ".IYR201120C85")</f>
        <v>N/A</v>
      </c>
      <c r="V371" t="str">
        <f>RTD("tos.rtd", , "PROB_OF_TOUCHING", ".IYR201120C85")</f>
        <v>N/A</v>
      </c>
      <c r="W371" t="str">
        <f>RTD("tos.rtd", , "STRIKE", ".IYR201120C85")</f>
        <v>N/A</v>
      </c>
    </row>
    <row r="372" spans="1:23" x14ac:dyDescent="0.45">
      <c r="A372" t="s">
        <v>393</v>
      </c>
      <c r="B372" t="str">
        <f>RTD("tos.rtd", , "DESCRIPTION", ".IYR201120P85")</f>
        <v>N/A</v>
      </c>
      <c r="C372" t="str">
        <f>RTD("tos.rtd", , "PUT_CALL_RATIO", ".IYR201120P85")</f>
        <v>N/A</v>
      </c>
      <c r="D372" t="str">
        <f>RTD("tos.rtd", , "IMPL_VOL", ".IYR201120P85")</f>
        <v>N/A</v>
      </c>
      <c r="E372">
        <f>RTD("tos.rtd", , "LAST", ".IYR201120P85")</f>
        <v>1.23</v>
      </c>
      <c r="F372">
        <f>RTD("tos.rtd", , "VOLUME", ".IYR201120P85")</f>
        <v>1</v>
      </c>
      <c r="G372">
        <f>RTD("tos.rtd", , "OPEN_INT", ".IYR201120P85")</f>
        <v>1196</v>
      </c>
      <c r="H372">
        <f>RTD("tos.rtd", , "BID", ".IYR201120P85")</f>
        <v>1.69</v>
      </c>
      <c r="I372">
        <f>RTD("tos.rtd", , "ASK", ".IYR201120P85")</f>
        <v>1.93</v>
      </c>
      <c r="J372">
        <f>RTD("tos.rtd", , "HIGH", ".IYR201120P85")</f>
        <v>1.23</v>
      </c>
      <c r="K372">
        <f>RTD("tos.rtd", , "LOW", ".IYR201120P85")</f>
        <v>1.23</v>
      </c>
      <c r="L372">
        <f>RTD("tos.rtd", , "OPEN", ".IYR201120P85")</f>
        <v>1.23</v>
      </c>
      <c r="M372" t="str">
        <f>RTD("tos.rtd", , "DELTA", ".IYR201120P85")</f>
        <v>N/A</v>
      </c>
      <c r="N372" t="str">
        <f>RTD("tos.rtd", , "GAMMA", ".IYR201120P85")</f>
        <v>N/A</v>
      </c>
      <c r="O372" t="str">
        <f>RTD("tos.rtd", , "THETA", ".IYR201120P85")</f>
        <v>N/A</v>
      </c>
      <c r="P372" t="str">
        <f>RTD("tos.rtd", , "VEGA", ".IYR201120P85")</f>
        <v>N/A</v>
      </c>
      <c r="Q372" t="str">
        <f>RTD("tos.rtd", , "RHO", ".IYR201120P85")</f>
        <v>N/A</v>
      </c>
      <c r="R372" t="str">
        <f>RTD("tos.rtd", , "INTRINSIC", ".IYR201120P85")</f>
        <v>N/A</v>
      </c>
      <c r="S372" t="str">
        <f>RTD("tos.rtd", , "EXTRINSIC", ".IYR201120P85")</f>
        <v>N/A</v>
      </c>
      <c r="T372" t="str">
        <f>RTD("tos.rtd", , "PROB_OF_EXPIRING", ".IYR201120P85")</f>
        <v>N/A</v>
      </c>
      <c r="U372" t="str">
        <f>RTD("tos.rtd", , "PROB_OTM", ".IYR201120P85")</f>
        <v>N/A</v>
      </c>
      <c r="V372" t="str">
        <f>RTD("tos.rtd", , "PROB_OF_TOUCHING", ".IYR201120P85")</f>
        <v>N/A</v>
      </c>
      <c r="W372" t="str">
        <f>RTD("tos.rtd", , "STRIKE", ".IYR201120P85")</f>
        <v>N/A</v>
      </c>
    </row>
    <row r="373" spans="1:23" x14ac:dyDescent="0.45">
      <c r="A373" t="s">
        <v>394</v>
      </c>
      <c r="B373" t="str">
        <f>RTD("tos.rtd", , "DESCRIPTION", ".IYR201120C85.5")</f>
        <v>N/A</v>
      </c>
      <c r="C373" t="str">
        <f>RTD("tos.rtd", , "PUT_CALL_RATIO", ".IYR201120C85.5")</f>
        <v>N/A</v>
      </c>
      <c r="D373" t="str">
        <f>RTD("tos.rtd", , "IMPL_VOL", ".IYR201120C85.5")</f>
        <v>N/A</v>
      </c>
      <c r="E373" t="str">
        <f>RTD("tos.rtd", , "LAST", ".IYR201120C85.5")</f>
        <v>N/A</v>
      </c>
      <c r="F373" t="str">
        <f>RTD("tos.rtd", , "VOLUME", ".IYR201120C85.5")</f>
        <v>N/A</v>
      </c>
      <c r="G373" t="str">
        <f>RTD("tos.rtd", , "OPEN_INT", ".IYR201120C85.5")</f>
        <v>N/A</v>
      </c>
      <c r="H373" t="str">
        <f>RTD("tos.rtd", , "BID", ".IYR201120C85.5")</f>
        <v>N/A</v>
      </c>
      <c r="I373" t="str">
        <f>RTD("tos.rtd", , "ASK", ".IYR201120C85.5")</f>
        <v>N/A</v>
      </c>
      <c r="J373" t="str">
        <f>RTD("tos.rtd", , "HIGH", ".IYR201120C85.5")</f>
        <v>N/A</v>
      </c>
      <c r="K373" t="str">
        <f>RTD("tos.rtd", , "LOW", ".IYR201120C85.5")</f>
        <v>N/A</v>
      </c>
      <c r="L373" t="str">
        <f>RTD("tos.rtd", , "OPEN", ".IYR201120C85.5")</f>
        <v>N/A</v>
      </c>
      <c r="M373" t="str">
        <f>RTD("tos.rtd", , "DELTA", ".IYR201120C85.5")</f>
        <v>N/A</v>
      </c>
      <c r="N373" t="str">
        <f>RTD("tos.rtd", , "GAMMA", ".IYR201120C85.5")</f>
        <v>N/A</v>
      </c>
      <c r="O373" t="str">
        <f>RTD("tos.rtd", , "THETA", ".IYR201120C85.5")</f>
        <v>N/A</v>
      </c>
      <c r="P373" t="str">
        <f>RTD("tos.rtd", , "VEGA", ".IYR201120C85.5")</f>
        <v>N/A</v>
      </c>
      <c r="Q373" t="str">
        <f>RTD("tos.rtd", , "RHO", ".IYR201120C85.5")</f>
        <v>N/A</v>
      </c>
      <c r="R373" t="str">
        <f>RTD("tos.rtd", , "INTRINSIC", ".IYR201120C85.5")</f>
        <v>N/A</v>
      </c>
      <c r="S373" t="str">
        <f>RTD("tos.rtd", , "EXTRINSIC", ".IYR201120C85.5")</f>
        <v>N/A</v>
      </c>
      <c r="T373" t="str">
        <f>RTD("tos.rtd", , "PROB_OF_EXPIRING", ".IYR201120C85.5")</f>
        <v>N/A</v>
      </c>
      <c r="U373" t="str">
        <f>RTD("tos.rtd", , "PROB_OTM", ".IYR201120C85.5")</f>
        <v>N/A</v>
      </c>
      <c r="V373" t="str">
        <f>RTD("tos.rtd", , "PROB_OF_TOUCHING", ".IYR201120C85.5")</f>
        <v>N/A</v>
      </c>
      <c r="W373" t="str">
        <f>RTD("tos.rtd", , "STRIKE", ".IYR201120C85.5")</f>
        <v>N/A</v>
      </c>
    </row>
    <row r="374" spans="1:23" x14ac:dyDescent="0.45">
      <c r="A374" t="s">
        <v>395</v>
      </c>
      <c r="B374" t="str">
        <f>RTD("tos.rtd", , "DESCRIPTION", ".IYR201120P85.5")</f>
        <v>N/A</v>
      </c>
      <c r="C374" t="str">
        <f>RTD("tos.rtd", , "PUT_CALL_RATIO", ".IYR201120P85.5")</f>
        <v>N/A</v>
      </c>
      <c r="D374" t="str">
        <f>RTD("tos.rtd", , "IMPL_VOL", ".IYR201120P85.5")</f>
        <v>N/A</v>
      </c>
      <c r="E374" t="str">
        <f>RTD("tos.rtd", , "LAST", ".IYR201120P85.5")</f>
        <v>N/A</v>
      </c>
      <c r="F374" t="str">
        <f>RTD("tos.rtd", , "VOLUME", ".IYR201120P85.5")</f>
        <v>N/A</v>
      </c>
      <c r="G374" t="str">
        <f>RTD("tos.rtd", , "OPEN_INT", ".IYR201120P85.5")</f>
        <v>N/A</v>
      </c>
      <c r="H374" t="str">
        <f>RTD("tos.rtd", , "BID", ".IYR201120P85.5")</f>
        <v>N/A</v>
      </c>
      <c r="I374" t="str">
        <f>RTD("tos.rtd", , "ASK", ".IYR201120P85.5")</f>
        <v>N/A</v>
      </c>
      <c r="J374" t="str">
        <f>RTD("tos.rtd", , "HIGH", ".IYR201120P85.5")</f>
        <v>N/A</v>
      </c>
      <c r="K374" t="str">
        <f>RTD("tos.rtd", , "LOW", ".IYR201120P85.5")</f>
        <v>N/A</v>
      </c>
      <c r="L374" t="str">
        <f>RTD("tos.rtd", , "OPEN", ".IYR201120P85.5")</f>
        <v>N/A</v>
      </c>
      <c r="M374" t="str">
        <f>RTD("tos.rtd", , "DELTA", ".IYR201120P85.5")</f>
        <v>N/A</v>
      </c>
      <c r="N374" t="str">
        <f>RTD("tos.rtd", , "GAMMA", ".IYR201120P85.5")</f>
        <v>N/A</v>
      </c>
      <c r="O374" t="str">
        <f>RTD("tos.rtd", , "THETA", ".IYR201120P85.5")</f>
        <v>N/A</v>
      </c>
      <c r="P374" t="str">
        <f>RTD("tos.rtd", , "VEGA", ".IYR201120P85.5")</f>
        <v>N/A</v>
      </c>
      <c r="Q374" t="str">
        <f>RTD("tos.rtd", , "RHO", ".IYR201120P85.5")</f>
        <v>N/A</v>
      </c>
      <c r="R374" t="str">
        <f>RTD("tos.rtd", , "INTRINSIC", ".IYR201120P85.5")</f>
        <v>N/A</v>
      </c>
      <c r="S374" t="str">
        <f>RTD("tos.rtd", , "EXTRINSIC", ".IYR201120P85.5")</f>
        <v>N/A</v>
      </c>
      <c r="T374" t="str">
        <f>RTD("tos.rtd", , "PROB_OF_EXPIRING", ".IYR201120P85.5")</f>
        <v>N/A</v>
      </c>
      <c r="U374" t="str">
        <f>RTD("tos.rtd", , "PROB_OTM", ".IYR201120P85.5")</f>
        <v>N/A</v>
      </c>
      <c r="V374" t="str">
        <f>RTD("tos.rtd", , "PROB_OF_TOUCHING", ".IYR201120P85.5")</f>
        <v>N/A</v>
      </c>
      <c r="W374" t="str">
        <f>RTD("tos.rtd", , "STRIKE", ".IYR201120P85.5")</f>
        <v>N/A</v>
      </c>
    </row>
    <row r="375" spans="1:23" x14ac:dyDescent="0.45">
      <c r="A375" t="s">
        <v>396</v>
      </c>
      <c r="B375" t="str">
        <f>RTD("tos.rtd", , "DESCRIPTION", "JETS")</f>
        <v>N/A</v>
      </c>
      <c r="C375">
        <f>RTD("tos.rtd", , "PUT_CALL_RATIO", "JETS")</f>
        <v>0.78900000000000003</v>
      </c>
      <c r="D375" t="str">
        <f>RTD("tos.rtd", , "IMPL_VOL", "JETS")</f>
        <v>54.19%</v>
      </c>
      <c r="E375">
        <f>RTD("tos.rtd", , "LAST", "JETS")</f>
        <v>19.23</v>
      </c>
      <c r="F375">
        <f>RTD("tos.rtd", , "VOLUME", "JETS")</f>
        <v>7192978</v>
      </c>
      <c r="G375">
        <f>RTD("tos.rtd", , "OPEN_INT", "JETS")</f>
        <v>0</v>
      </c>
      <c r="H375">
        <f>RTD("tos.rtd", , "BID", "JETS")</f>
        <v>19.05</v>
      </c>
      <c r="I375">
        <f>RTD("tos.rtd", , "ASK", "JETS")</f>
        <v>19.23</v>
      </c>
      <c r="J375">
        <f>RTD("tos.rtd", , "HIGH", "JETS")</f>
        <v>19.828900000000001</v>
      </c>
      <c r="K375">
        <f>RTD("tos.rtd", , "LOW", "JETS")</f>
        <v>19.11</v>
      </c>
      <c r="L375">
        <f>RTD("tos.rtd", , "OPEN", "JETS")</f>
        <v>19.43</v>
      </c>
      <c r="M375">
        <f>RTD("tos.rtd", , "DELTA", "JETS")</f>
        <v>1</v>
      </c>
      <c r="N375">
        <f>RTD("tos.rtd", , "GAMMA", "JETS")</f>
        <v>0</v>
      </c>
      <c r="O375">
        <f>RTD("tos.rtd", , "THETA", "JETS")</f>
        <v>0</v>
      </c>
      <c r="P375">
        <f>RTD("tos.rtd", , "VEGA", "JETS")</f>
        <v>0</v>
      </c>
      <c r="Q375">
        <f>RTD("tos.rtd", , "RHO", "JETS")</f>
        <v>0</v>
      </c>
      <c r="R375" t="str">
        <f>RTD("tos.rtd", , "INTRINSIC", "JETS")</f>
        <v>N/A</v>
      </c>
      <c r="S375" t="str">
        <f>RTD("tos.rtd", , "EXTRINSIC", "JETS")</f>
        <v>N/A</v>
      </c>
      <c r="T375" t="str">
        <f>RTD("tos.rtd", , "PROB_OF_EXPIRING", "JETS")</f>
        <v>N/A</v>
      </c>
      <c r="U375" t="str">
        <f>RTD("tos.rtd", , "PROB_OTM", "JETS")</f>
        <v>N/A</v>
      </c>
      <c r="V375" t="str">
        <f>RTD("tos.rtd", , "PROB_OF_TOUCHING", "JETS")</f>
        <v>N/A</v>
      </c>
      <c r="W375" t="str">
        <f>RTD("tos.rtd", , "STRIKE", "JETS")</f>
        <v>N/A</v>
      </c>
    </row>
    <row r="376" spans="1:23" x14ac:dyDescent="0.45">
      <c r="A376" t="s">
        <v>397</v>
      </c>
      <c r="B376" t="str">
        <f>RTD("tos.rtd", , "DESCRIPTION", ".JETS201120C19.5")</f>
        <v>N/A</v>
      </c>
      <c r="C376" t="str">
        <f>RTD("tos.rtd", , "PUT_CALL_RATIO", ".JETS201120C19.5")</f>
        <v>N/A</v>
      </c>
      <c r="D376" t="str">
        <f>RTD("tos.rtd", , "IMPL_VOL", ".JETS201120C19.5")</f>
        <v>N/A</v>
      </c>
      <c r="E376">
        <f>RTD("tos.rtd", , "LAST", ".JETS201120C19.5")</f>
        <v>0.53</v>
      </c>
      <c r="F376">
        <f>RTD("tos.rtd", , "VOLUME", ".JETS201120C19.5")</f>
        <v>103</v>
      </c>
      <c r="G376">
        <f>RTD("tos.rtd", , "OPEN_INT", ".JETS201120C19.5")</f>
        <v>889</v>
      </c>
      <c r="H376">
        <f>RTD("tos.rtd", , "BID", ".JETS201120C19.5")</f>
        <v>0.4</v>
      </c>
      <c r="I376">
        <f>RTD("tos.rtd", , "ASK", ".JETS201120C19.5")</f>
        <v>0.55000000000000004</v>
      </c>
      <c r="J376">
        <f>RTD("tos.rtd", , "HIGH", ".JETS201120C19.5")</f>
        <v>0.78</v>
      </c>
      <c r="K376">
        <f>RTD("tos.rtd", , "LOW", ".JETS201120C19.5")</f>
        <v>0.44</v>
      </c>
      <c r="L376">
        <f>RTD("tos.rtd", , "OPEN", ".JETS201120C19.5")</f>
        <v>0.6</v>
      </c>
      <c r="M376" t="str">
        <f>RTD("tos.rtd", , "DELTA", ".JETS201120C19.5")</f>
        <v>N/A</v>
      </c>
      <c r="N376" t="str">
        <f>RTD("tos.rtd", , "GAMMA", ".JETS201120C19.5")</f>
        <v>N/A</v>
      </c>
      <c r="O376" t="str">
        <f>RTD("tos.rtd", , "THETA", ".JETS201120C19.5")</f>
        <v>N/A</v>
      </c>
      <c r="P376" t="str">
        <f>RTD("tos.rtd", , "VEGA", ".JETS201120C19.5")</f>
        <v>N/A</v>
      </c>
      <c r="Q376" t="str">
        <f>RTD("tos.rtd", , "RHO", ".JETS201120C19.5")</f>
        <v>N/A</v>
      </c>
      <c r="R376" t="str">
        <f>RTD("tos.rtd", , "INTRINSIC", ".JETS201120C19.5")</f>
        <v>N/A</v>
      </c>
      <c r="S376" t="str">
        <f>RTD("tos.rtd", , "EXTRINSIC", ".JETS201120C19.5")</f>
        <v>N/A</v>
      </c>
      <c r="T376" t="str">
        <f>RTD("tos.rtd", , "PROB_OF_EXPIRING", ".JETS201120C19.5")</f>
        <v>N/A</v>
      </c>
      <c r="U376" t="str">
        <f>RTD("tos.rtd", , "PROB_OTM", ".JETS201120C19.5")</f>
        <v>N/A</v>
      </c>
      <c r="V376" t="str">
        <f>RTD("tos.rtd", , "PROB_OF_TOUCHING", ".JETS201120C19.5")</f>
        <v>N/A</v>
      </c>
      <c r="W376" t="str">
        <f>RTD("tos.rtd", , "STRIKE", ".JETS201120C19.5")</f>
        <v>N/A</v>
      </c>
    </row>
    <row r="377" spans="1:23" x14ac:dyDescent="0.45">
      <c r="A377" t="s">
        <v>398</v>
      </c>
      <c r="B377" t="str">
        <f>RTD("tos.rtd", , "DESCRIPTION", ".JETS201120P19.5")</f>
        <v>N/A</v>
      </c>
      <c r="C377" t="str">
        <f>RTD("tos.rtd", , "PUT_CALL_RATIO", ".JETS201120P19.5")</f>
        <v>N/A</v>
      </c>
      <c r="D377" t="str">
        <f>RTD("tos.rtd", , "IMPL_VOL", ".JETS201120P19.5")</f>
        <v>N/A</v>
      </c>
      <c r="E377">
        <f>RTD("tos.rtd", , "LAST", ".JETS201120P19.5")</f>
        <v>0.8</v>
      </c>
      <c r="F377">
        <f>RTD("tos.rtd", , "VOLUME", ".JETS201120P19.5")</f>
        <v>256</v>
      </c>
      <c r="G377">
        <f>RTD("tos.rtd", , "OPEN_INT", ".JETS201120P19.5")</f>
        <v>525</v>
      </c>
      <c r="H377">
        <f>RTD("tos.rtd", , "BID", ".JETS201120P19.5")</f>
        <v>0.7</v>
      </c>
      <c r="I377">
        <f>RTD("tos.rtd", , "ASK", ".JETS201120P19.5")</f>
        <v>0.85</v>
      </c>
      <c r="J377">
        <f>RTD("tos.rtd", , "HIGH", ".JETS201120P19.5")</f>
        <v>0.84</v>
      </c>
      <c r="K377">
        <f>RTD("tos.rtd", , "LOW", ".JETS201120P19.5")</f>
        <v>0.5</v>
      </c>
      <c r="L377">
        <f>RTD("tos.rtd", , "OPEN", ".JETS201120P19.5")</f>
        <v>0.7</v>
      </c>
      <c r="M377" t="str">
        <f>RTD("tos.rtd", , "DELTA", ".JETS201120P19.5")</f>
        <v>N/A</v>
      </c>
      <c r="N377" t="str">
        <f>RTD("tos.rtd", , "GAMMA", ".JETS201120P19.5")</f>
        <v>N/A</v>
      </c>
      <c r="O377" t="str">
        <f>RTD("tos.rtd", , "THETA", ".JETS201120P19.5")</f>
        <v>N/A</v>
      </c>
      <c r="P377" t="str">
        <f>RTD("tos.rtd", , "VEGA", ".JETS201120P19.5")</f>
        <v>N/A</v>
      </c>
      <c r="Q377" t="str">
        <f>RTD("tos.rtd", , "RHO", ".JETS201120P19.5")</f>
        <v>N/A</v>
      </c>
      <c r="R377" t="str">
        <f>RTD("tos.rtd", , "INTRINSIC", ".JETS201120P19.5")</f>
        <v>N/A</v>
      </c>
      <c r="S377" t="str">
        <f>RTD("tos.rtd", , "EXTRINSIC", ".JETS201120P19.5")</f>
        <v>N/A</v>
      </c>
      <c r="T377" t="str">
        <f>RTD("tos.rtd", , "PROB_OF_EXPIRING", ".JETS201120P19.5")</f>
        <v>N/A</v>
      </c>
      <c r="U377" t="str">
        <f>RTD("tos.rtd", , "PROB_OTM", ".JETS201120P19.5")</f>
        <v>N/A</v>
      </c>
      <c r="V377" t="str">
        <f>RTD("tos.rtd", , "PROB_OF_TOUCHING", ".JETS201120P19.5")</f>
        <v>N/A</v>
      </c>
      <c r="W377" t="str">
        <f>RTD("tos.rtd", , "STRIKE", ".JETS201120P19.5")</f>
        <v>N/A</v>
      </c>
    </row>
    <row r="378" spans="1:23" x14ac:dyDescent="0.45">
      <c r="A378" t="s">
        <v>399</v>
      </c>
      <c r="B378" t="str">
        <f>RTD("tos.rtd", , "DESCRIPTION", ".JETS201120C20")</f>
        <v>N/A</v>
      </c>
      <c r="C378" t="str">
        <f>RTD("tos.rtd", , "PUT_CALL_RATIO", ".JETS201120C20")</f>
        <v>N/A</v>
      </c>
      <c r="D378" t="str">
        <f>RTD("tos.rtd", , "IMPL_VOL", ".JETS201120C20")</f>
        <v>N/A</v>
      </c>
      <c r="E378">
        <f>RTD("tos.rtd", , "LAST", ".JETS201120C20")</f>
        <v>0.34</v>
      </c>
      <c r="F378">
        <f>RTD("tos.rtd", , "VOLUME", ".JETS201120C20")</f>
        <v>929</v>
      </c>
      <c r="G378">
        <f>RTD("tos.rtd", , "OPEN_INT", ".JETS201120C20")</f>
        <v>7793</v>
      </c>
      <c r="H378">
        <f>RTD("tos.rtd", , "BID", ".JETS201120C20")</f>
        <v>0.3</v>
      </c>
      <c r="I378">
        <f>RTD("tos.rtd", , "ASK", ".JETS201120C20")</f>
        <v>0.35</v>
      </c>
      <c r="J378">
        <f>RTD("tos.rtd", , "HIGH", ".JETS201120C20")</f>
        <v>0.6</v>
      </c>
      <c r="K378">
        <f>RTD("tos.rtd", , "LOW", ".JETS201120C20")</f>
        <v>0.3</v>
      </c>
      <c r="L378">
        <f>RTD("tos.rtd", , "OPEN", ".JETS201120C20")</f>
        <v>0.47</v>
      </c>
      <c r="M378" t="str">
        <f>RTD("tos.rtd", , "DELTA", ".JETS201120C20")</f>
        <v>N/A</v>
      </c>
      <c r="N378" t="str">
        <f>RTD("tos.rtd", , "GAMMA", ".JETS201120C20")</f>
        <v>N/A</v>
      </c>
      <c r="O378" t="str">
        <f>RTD("tos.rtd", , "THETA", ".JETS201120C20")</f>
        <v>N/A</v>
      </c>
      <c r="P378" t="str">
        <f>RTD("tos.rtd", , "VEGA", ".JETS201120C20")</f>
        <v>N/A</v>
      </c>
      <c r="Q378" t="str">
        <f>RTD("tos.rtd", , "RHO", ".JETS201120C20")</f>
        <v>N/A</v>
      </c>
      <c r="R378" t="str">
        <f>RTD("tos.rtd", , "INTRINSIC", ".JETS201120C20")</f>
        <v>N/A</v>
      </c>
      <c r="S378" t="str">
        <f>RTD("tos.rtd", , "EXTRINSIC", ".JETS201120C20")</f>
        <v>N/A</v>
      </c>
      <c r="T378" t="str">
        <f>RTD("tos.rtd", , "PROB_OF_EXPIRING", ".JETS201120C20")</f>
        <v>N/A</v>
      </c>
      <c r="U378" t="str">
        <f>RTD("tos.rtd", , "PROB_OTM", ".JETS201120C20")</f>
        <v>N/A</v>
      </c>
      <c r="V378" t="str">
        <f>RTD("tos.rtd", , "PROB_OF_TOUCHING", ".JETS201120C20")</f>
        <v>N/A</v>
      </c>
      <c r="W378" t="str">
        <f>RTD("tos.rtd", , "STRIKE", ".JETS201120C20")</f>
        <v>N/A</v>
      </c>
    </row>
    <row r="379" spans="1:23" x14ac:dyDescent="0.45">
      <c r="A379" t="s">
        <v>400</v>
      </c>
      <c r="B379" t="str">
        <f>RTD("tos.rtd", , "DESCRIPTION", ".JETS201120P20")</f>
        <v>N/A</v>
      </c>
      <c r="C379" t="str">
        <f>RTD("tos.rtd", , "PUT_CALL_RATIO", ".JETS201120P20")</f>
        <v>N/A</v>
      </c>
      <c r="D379" t="str">
        <f>RTD("tos.rtd", , "IMPL_VOL", ".JETS201120P20")</f>
        <v>N/A</v>
      </c>
      <c r="E379">
        <f>RTD("tos.rtd", , "LAST", ".JETS201120P20")</f>
        <v>1.1000000000000001</v>
      </c>
      <c r="F379">
        <f>RTD("tos.rtd", , "VOLUME", ".JETS201120P20")</f>
        <v>51</v>
      </c>
      <c r="G379">
        <f>RTD("tos.rtd", , "OPEN_INT", ".JETS201120P20")</f>
        <v>2310</v>
      </c>
      <c r="H379">
        <f>RTD("tos.rtd", , "BID", ".JETS201120P20")</f>
        <v>1.05</v>
      </c>
      <c r="I379">
        <f>RTD("tos.rtd", , "ASK", ".JETS201120P20")</f>
        <v>1.2</v>
      </c>
      <c r="J379">
        <f>RTD("tos.rtd", , "HIGH", ".JETS201120P20")</f>
        <v>1.1000000000000001</v>
      </c>
      <c r="K379">
        <f>RTD("tos.rtd", , "LOW", ".JETS201120P20")</f>
        <v>0.8</v>
      </c>
      <c r="L379">
        <f>RTD("tos.rtd", , "OPEN", ".JETS201120P20")</f>
        <v>1</v>
      </c>
      <c r="M379" t="str">
        <f>RTD("tos.rtd", , "DELTA", ".JETS201120P20")</f>
        <v>N/A</v>
      </c>
      <c r="N379" t="str">
        <f>RTD("tos.rtd", , "GAMMA", ".JETS201120P20")</f>
        <v>N/A</v>
      </c>
      <c r="O379" t="str">
        <f>RTD("tos.rtd", , "THETA", ".JETS201120P20")</f>
        <v>N/A</v>
      </c>
      <c r="P379" t="str">
        <f>RTD("tos.rtd", , "VEGA", ".JETS201120P20")</f>
        <v>N/A</v>
      </c>
      <c r="Q379" t="str">
        <f>RTD("tos.rtd", , "RHO", ".JETS201120P20")</f>
        <v>N/A</v>
      </c>
      <c r="R379" t="str">
        <f>RTD("tos.rtd", , "INTRINSIC", ".JETS201120P20")</f>
        <v>N/A</v>
      </c>
      <c r="S379" t="str">
        <f>RTD("tos.rtd", , "EXTRINSIC", ".JETS201120P20")</f>
        <v>N/A</v>
      </c>
      <c r="T379" t="str">
        <f>RTD("tos.rtd", , "PROB_OF_EXPIRING", ".JETS201120P20")</f>
        <v>N/A</v>
      </c>
      <c r="U379" t="str">
        <f>RTD("tos.rtd", , "PROB_OTM", ".JETS201120P20")</f>
        <v>N/A</v>
      </c>
      <c r="V379" t="str">
        <f>RTD("tos.rtd", , "PROB_OF_TOUCHING", ".JETS201120P20")</f>
        <v>N/A</v>
      </c>
      <c r="W379" t="str">
        <f>RTD("tos.rtd", , "STRIKE", ".JETS201120P20")</f>
        <v>N/A</v>
      </c>
    </row>
    <row r="380" spans="1:23" x14ac:dyDescent="0.45">
      <c r="A380" t="s">
        <v>401</v>
      </c>
      <c r="B380" t="str">
        <f>RTD("tos.rtd", , "DESCRIPTION", "JNK")</f>
        <v>N/A</v>
      </c>
      <c r="C380">
        <f>RTD("tos.rtd", , "PUT_CALL_RATIO", "JNK")</f>
        <v>4.4690000000000003</v>
      </c>
      <c r="D380" t="str">
        <f>RTD("tos.rtd", , "IMPL_VOL", "JNK")</f>
        <v>12.07%</v>
      </c>
      <c r="E380">
        <f>RTD("tos.rtd", , "LAST", "JNK")</f>
        <v>106.1</v>
      </c>
      <c r="F380">
        <f>RTD("tos.rtd", , "VOLUME", "JNK")</f>
        <v>7497160</v>
      </c>
      <c r="G380">
        <f>RTD("tos.rtd", , "OPEN_INT", "JNK")</f>
        <v>0</v>
      </c>
      <c r="H380">
        <f>RTD("tos.rtd", , "BID", "JNK")</f>
        <v>106.11</v>
      </c>
      <c r="I380">
        <f>RTD("tos.rtd", , "ASK", "JNK")</f>
        <v>106.59</v>
      </c>
      <c r="J380">
        <f>RTD("tos.rtd", , "HIGH", "JNK")</f>
        <v>106.61499999999999</v>
      </c>
      <c r="K380">
        <f>RTD("tos.rtd", , "LOW", "JNK")</f>
        <v>106.05</v>
      </c>
      <c r="L380">
        <f>RTD("tos.rtd", , "OPEN", "JNK")</f>
        <v>106.61</v>
      </c>
      <c r="M380">
        <f>RTD("tos.rtd", , "DELTA", "JNK")</f>
        <v>1</v>
      </c>
      <c r="N380">
        <f>RTD("tos.rtd", , "GAMMA", "JNK")</f>
        <v>0</v>
      </c>
      <c r="O380">
        <f>RTD("tos.rtd", , "THETA", "JNK")</f>
        <v>0</v>
      </c>
      <c r="P380">
        <f>RTD("tos.rtd", , "VEGA", "JNK")</f>
        <v>0</v>
      </c>
      <c r="Q380">
        <f>RTD("tos.rtd", , "RHO", "JNK")</f>
        <v>0</v>
      </c>
      <c r="R380" t="str">
        <f>RTD("tos.rtd", , "INTRINSIC", "JNK")</f>
        <v>N/A</v>
      </c>
      <c r="S380" t="str">
        <f>RTD("tos.rtd", , "EXTRINSIC", "JNK")</f>
        <v>N/A</v>
      </c>
      <c r="T380" t="str">
        <f>RTD("tos.rtd", , "PROB_OF_EXPIRING", "JNK")</f>
        <v>N/A</v>
      </c>
      <c r="U380" t="str">
        <f>RTD("tos.rtd", , "PROB_OTM", "JNK")</f>
        <v>N/A</v>
      </c>
      <c r="V380" t="str">
        <f>RTD("tos.rtd", , "PROB_OF_TOUCHING", "JNK")</f>
        <v>N/A</v>
      </c>
      <c r="W380" t="str">
        <f>RTD("tos.rtd", , "STRIKE", "JNK")</f>
        <v>N/A</v>
      </c>
    </row>
    <row r="381" spans="1:23" x14ac:dyDescent="0.45">
      <c r="A381" t="s">
        <v>402</v>
      </c>
      <c r="B381" t="str">
        <f>RTD("tos.rtd", , "DESCRIPTION", ".JNK201120C106.5")</f>
        <v>N/A</v>
      </c>
      <c r="C381" t="str">
        <f>RTD("tos.rtd", , "PUT_CALL_RATIO", ".JNK201120C106.5")</f>
        <v>N/A</v>
      </c>
      <c r="D381" t="str">
        <f>RTD("tos.rtd", , "IMPL_VOL", ".JNK201120C106.5")</f>
        <v>N/A</v>
      </c>
      <c r="E381" t="str">
        <f>RTD("tos.rtd", , "LAST", ".JNK201120C106.5")</f>
        <v>N/A</v>
      </c>
      <c r="F381" t="str">
        <f>RTD("tos.rtd", , "VOLUME", ".JNK201120C106.5")</f>
        <v>N/A</v>
      </c>
      <c r="G381" t="str">
        <f>RTD("tos.rtd", , "OPEN_INT", ".JNK201120C106.5")</f>
        <v>N/A</v>
      </c>
      <c r="H381" t="str">
        <f>RTD("tos.rtd", , "BID", ".JNK201120C106.5")</f>
        <v>N/A</v>
      </c>
      <c r="I381" t="str">
        <f>RTD("tos.rtd", , "ASK", ".JNK201120C106.5")</f>
        <v>N/A</v>
      </c>
      <c r="J381" t="str">
        <f>RTD("tos.rtd", , "HIGH", ".JNK201120C106.5")</f>
        <v>N/A</v>
      </c>
      <c r="K381" t="str">
        <f>RTD("tos.rtd", , "LOW", ".JNK201120C106.5")</f>
        <v>N/A</v>
      </c>
      <c r="L381" t="str">
        <f>RTD("tos.rtd", , "OPEN", ".JNK201120C106.5")</f>
        <v>N/A</v>
      </c>
      <c r="M381" t="str">
        <f>RTD("tos.rtd", , "DELTA", ".JNK201120C106.5")</f>
        <v>N/A</v>
      </c>
      <c r="N381" t="str">
        <f>RTD("tos.rtd", , "GAMMA", ".JNK201120C106.5")</f>
        <v>N/A</v>
      </c>
      <c r="O381" t="str">
        <f>RTD("tos.rtd", , "THETA", ".JNK201120C106.5")</f>
        <v>N/A</v>
      </c>
      <c r="P381" t="str">
        <f>RTD("tos.rtd", , "VEGA", ".JNK201120C106.5")</f>
        <v>N/A</v>
      </c>
      <c r="Q381" t="str">
        <f>RTD("tos.rtd", , "RHO", ".JNK201120C106.5")</f>
        <v>N/A</v>
      </c>
      <c r="R381" t="str">
        <f>RTD("tos.rtd", , "INTRINSIC", ".JNK201120C106.5")</f>
        <v>N/A</v>
      </c>
      <c r="S381" t="str">
        <f>RTD("tos.rtd", , "EXTRINSIC", ".JNK201120C106.5")</f>
        <v>N/A</v>
      </c>
      <c r="T381" t="str">
        <f>RTD("tos.rtd", , "PROB_OF_EXPIRING", ".JNK201120C106.5")</f>
        <v>N/A</v>
      </c>
      <c r="U381" t="str">
        <f>RTD("tos.rtd", , "PROB_OTM", ".JNK201120C106.5")</f>
        <v>N/A</v>
      </c>
      <c r="V381" t="str">
        <f>RTD("tos.rtd", , "PROB_OF_TOUCHING", ".JNK201120C106.5")</f>
        <v>N/A</v>
      </c>
      <c r="W381" t="str">
        <f>RTD("tos.rtd", , "STRIKE", ".JNK201120C106.5")</f>
        <v>N/A</v>
      </c>
    </row>
    <row r="382" spans="1:23" x14ac:dyDescent="0.45">
      <c r="A382" t="s">
        <v>403</v>
      </c>
      <c r="B382" t="str">
        <f>RTD("tos.rtd", , "DESCRIPTION", ".JNK201120P106.5")</f>
        <v>N/A</v>
      </c>
      <c r="C382" t="str">
        <f>RTD("tos.rtd", , "PUT_CALL_RATIO", ".JNK201120P106.5")</f>
        <v>N/A</v>
      </c>
      <c r="D382" t="str">
        <f>RTD("tos.rtd", , "IMPL_VOL", ".JNK201120P106.5")</f>
        <v>N/A</v>
      </c>
      <c r="E382" t="str">
        <f>RTD("tos.rtd", , "LAST", ".JNK201120P106.5")</f>
        <v>N/A</v>
      </c>
      <c r="F382" t="str">
        <f>RTD("tos.rtd", , "VOLUME", ".JNK201120P106.5")</f>
        <v>N/A</v>
      </c>
      <c r="G382" t="str">
        <f>RTD("tos.rtd", , "OPEN_INT", ".JNK201120P106.5")</f>
        <v>N/A</v>
      </c>
      <c r="H382" t="str">
        <f>RTD("tos.rtd", , "BID", ".JNK201120P106.5")</f>
        <v>N/A</v>
      </c>
      <c r="I382" t="str">
        <f>RTD("tos.rtd", , "ASK", ".JNK201120P106.5")</f>
        <v>N/A</v>
      </c>
      <c r="J382" t="str">
        <f>RTD("tos.rtd", , "HIGH", ".JNK201120P106.5")</f>
        <v>N/A</v>
      </c>
      <c r="K382" t="str">
        <f>RTD("tos.rtd", , "LOW", ".JNK201120P106.5")</f>
        <v>N/A</v>
      </c>
      <c r="L382" t="str">
        <f>RTD("tos.rtd", , "OPEN", ".JNK201120P106.5")</f>
        <v>N/A</v>
      </c>
      <c r="M382" t="str">
        <f>RTD("tos.rtd", , "DELTA", ".JNK201120P106.5")</f>
        <v>N/A</v>
      </c>
      <c r="N382" t="str">
        <f>RTD("tos.rtd", , "GAMMA", ".JNK201120P106.5")</f>
        <v>N/A</v>
      </c>
      <c r="O382" t="str">
        <f>RTD("tos.rtd", , "THETA", ".JNK201120P106.5")</f>
        <v>N/A</v>
      </c>
      <c r="P382" t="str">
        <f>RTD("tos.rtd", , "VEGA", ".JNK201120P106.5")</f>
        <v>N/A</v>
      </c>
      <c r="Q382" t="str">
        <f>RTD("tos.rtd", , "RHO", ".JNK201120P106.5")</f>
        <v>N/A</v>
      </c>
      <c r="R382" t="str">
        <f>RTD("tos.rtd", , "INTRINSIC", ".JNK201120P106.5")</f>
        <v>N/A</v>
      </c>
      <c r="S382" t="str">
        <f>RTD("tos.rtd", , "EXTRINSIC", ".JNK201120P106.5")</f>
        <v>N/A</v>
      </c>
      <c r="T382" t="str">
        <f>RTD("tos.rtd", , "PROB_OF_EXPIRING", ".JNK201120P106.5")</f>
        <v>N/A</v>
      </c>
      <c r="U382" t="str">
        <f>RTD("tos.rtd", , "PROB_OTM", ".JNK201120P106.5")</f>
        <v>N/A</v>
      </c>
      <c r="V382" t="str">
        <f>RTD("tos.rtd", , "PROB_OF_TOUCHING", ".JNK201120P106.5")</f>
        <v>N/A</v>
      </c>
      <c r="W382" t="str">
        <f>RTD("tos.rtd", , "STRIKE", ".JNK201120P106.5")</f>
        <v>N/A</v>
      </c>
    </row>
    <row r="383" spans="1:23" x14ac:dyDescent="0.45">
      <c r="A383" t="s">
        <v>404</v>
      </c>
      <c r="B383" t="str">
        <f>RTD("tos.rtd", , "DESCRIPTION", ".JNK201120C107")</f>
        <v>N/A</v>
      </c>
      <c r="C383" t="str">
        <f>RTD("tos.rtd", , "PUT_CALL_RATIO", ".JNK201120C107")</f>
        <v>N/A</v>
      </c>
      <c r="D383" t="str">
        <f>RTD("tos.rtd", , "IMPL_VOL", ".JNK201120C107")</f>
        <v>N/A</v>
      </c>
      <c r="E383">
        <f>RTD("tos.rtd", , "LAST", ".JNK201120C107")</f>
        <v>0</v>
      </c>
      <c r="F383" t="str">
        <f>RTD("tos.rtd", , "VOLUME", ".JNK201120C107")</f>
        <v>N/A</v>
      </c>
      <c r="G383" t="str">
        <f>RTD("tos.rtd", , "OPEN_INT", ".JNK201120C107")</f>
        <v>N/A</v>
      </c>
      <c r="H383">
        <f>RTD("tos.rtd", , "BID", ".JNK201120C107")</f>
        <v>0.2</v>
      </c>
      <c r="I383">
        <f>RTD("tos.rtd", , "ASK", ".JNK201120C107")</f>
        <v>0.4</v>
      </c>
      <c r="J383" t="str">
        <f>RTD("tos.rtd", , "HIGH", ".JNK201120C107")</f>
        <v>N/A</v>
      </c>
      <c r="K383" t="str">
        <f>RTD("tos.rtd", , "LOW", ".JNK201120C107")</f>
        <v>N/A</v>
      </c>
      <c r="L383" t="str">
        <f>RTD("tos.rtd", , "OPEN", ".JNK201120C107")</f>
        <v>N/A</v>
      </c>
      <c r="M383" t="str">
        <f>RTD("tos.rtd", , "DELTA", ".JNK201120C107")</f>
        <v>N/A</v>
      </c>
      <c r="N383" t="str">
        <f>RTD("tos.rtd", , "GAMMA", ".JNK201120C107")</f>
        <v>N/A</v>
      </c>
      <c r="O383" t="str">
        <f>RTD("tos.rtd", , "THETA", ".JNK201120C107")</f>
        <v>N/A</v>
      </c>
      <c r="P383" t="str">
        <f>RTD("tos.rtd", , "VEGA", ".JNK201120C107")</f>
        <v>N/A</v>
      </c>
      <c r="Q383" t="str">
        <f>RTD("tos.rtd", , "RHO", ".JNK201120C107")</f>
        <v>N/A</v>
      </c>
      <c r="R383" t="str">
        <f>RTD("tos.rtd", , "INTRINSIC", ".JNK201120C107")</f>
        <v>N/A</v>
      </c>
      <c r="S383" t="str">
        <f>RTD("tos.rtd", , "EXTRINSIC", ".JNK201120C107")</f>
        <v>N/A</v>
      </c>
      <c r="T383" t="str">
        <f>RTD("tos.rtd", , "PROB_OF_EXPIRING", ".JNK201120C107")</f>
        <v>N/A</v>
      </c>
      <c r="U383" t="str">
        <f>RTD("tos.rtd", , "PROB_OTM", ".JNK201120C107")</f>
        <v>N/A</v>
      </c>
      <c r="V383" t="str">
        <f>RTD("tos.rtd", , "PROB_OF_TOUCHING", ".JNK201120C107")</f>
        <v>N/A</v>
      </c>
      <c r="W383" t="str">
        <f>RTD("tos.rtd", , "STRIKE", ".JNK201120C107")</f>
        <v>N/A</v>
      </c>
    </row>
    <row r="384" spans="1:23" x14ac:dyDescent="0.45">
      <c r="A384" t="s">
        <v>405</v>
      </c>
      <c r="B384" t="str">
        <f>RTD("tos.rtd", , "DESCRIPTION", ".JNK201120P107")</f>
        <v>N/A</v>
      </c>
      <c r="C384" t="str">
        <f>RTD("tos.rtd", , "PUT_CALL_RATIO", ".JNK201120P107")</f>
        <v>N/A</v>
      </c>
      <c r="D384" t="str">
        <f>RTD("tos.rtd", , "IMPL_VOL", ".JNK201120P107")</f>
        <v>N/A</v>
      </c>
      <c r="E384" t="str">
        <f>RTD("tos.rtd", , "LAST", ".JNK201120P107")</f>
        <v>N/A</v>
      </c>
      <c r="F384" t="str">
        <f>RTD("tos.rtd", , "VOLUME", ".JNK201120P107")</f>
        <v>N/A</v>
      </c>
      <c r="G384" t="str">
        <f>RTD("tos.rtd", , "OPEN_INT", ".JNK201120P107")</f>
        <v>N/A</v>
      </c>
      <c r="H384" t="str">
        <f>RTD("tos.rtd", , "BID", ".JNK201120P107")</f>
        <v>N/A</v>
      </c>
      <c r="I384" t="str">
        <f>RTD("tos.rtd", , "ASK", ".JNK201120P107")</f>
        <v>N/A</v>
      </c>
      <c r="J384" t="str">
        <f>RTD("tos.rtd", , "HIGH", ".JNK201120P107")</f>
        <v>N/A</v>
      </c>
      <c r="K384" t="str">
        <f>RTD("tos.rtd", , "LOW", ".JNK201120P107")</f>
        <v>N/A</v>
      </c>
      <c r="L384" t="str">
        <f>RTD("tos.rtd", , "OPEN", ".JNK201120P107")</f>
        <v>N/A</v>
      </c>
      <c r="M384" t="str">
        <f>RTD("tos.rtd", , "DELTA", ".JNK201120P107")</f>
        <v>N/A</v>
      </c>
      <c r="N384" t="str">
        <f>RTD("tos.rtd", , "GAMMA", ".JNK201120P107")</f>
        <v>N/A</v>
      </c>
      <c r="O384" t="str">
        <f>RTD("tos.rtd", , "THETA", ".JNK201120P107")</f>
        <v>N/A</v>
      </c>
      <c r="P384" t="str">
        <f>RTD("tos.rtd", , "VEGA", ".JNK201120P107")</f>
        <v>N/A</v>
      </c>
      <c r="Q384" t="str">
        <f>RTD("tos.rtd", , "RHO", ".JNK201120P107")</f>
        <v>N/A</v>
      </c>
      <c r="R384" t="str">
        <f>RTD("tos.rtd", , "INTRINSIC", ".JNK201120P107")</f>
        <v>N/A</v>
      </c>
      <c r="S384" t="str">
        <f>RTD("tos.rtd", , "EXTRINSIC", ".JNK201120P107")</f>
        <v>N/A</v>
      </c>
      <c r="T384" t="str">
        <f>RTD("tos.rtd", , "PROB_OF_EXPIRING", ".JNK201120P107")</f>
        <v>N/A</v>
      </c>
      <c r="U384" t="str">
        <f>RTD("tos.rtd", , "PROB_OTM", ".JNK201120P107")</f>
        <v>N/A</v>
      </c>
      <c r="V384" t="str">
        <f>RTD("tos.rtd", , "PROB_OF_TOUCHING", ".JNK201120P107")</f>
        <v>N/A</v>
      </c>
      <c r="W384" t="str">
        <f>RTD("tos.rtd", , "STRIKE", ".JNK201120P107")</f>
        <v>N/A</v>
      </c>
    </row>
    <row r="385" spans="1:23" x14ac:dyDescent="0.45">
      <c r="A385" t="s">
        <v>406</v>
      </c>
      <c r="B385" t="str">
        <f>RTD("tos.rtd", , "DESCRIPTION", "KBE")</f>
        <v>SPDR SERIES TRUST S&amp;P BK ETF</v>
      </c>
      <c r="C385">
        <f>RTD("tos.rtd", , "PUT_CALL_RATIO", "KBE")</f>
        <v>0.33400000000000002</v>
      </c>
      <c r="D385" t="str">
        <f>RTD("tos.rtd", , "IMPL_VOL", "KBE")</f>
        <v>40.43%</v>
      </c>
      <c r="E385">
        <f>RTD("tos.rtd", , "LAST", "KBE")</f>
        <v>37.04</v>
      </c>
      <c r="F385">
        <f>RTD("tos.rtd", , "VOLUME", "KBE")</f>
        <v>5521565</v>
      </c>
      <c r="G385">
        <f>RTD("tos.rtd", , "OPEN_INT", "KBE")</f>
        <v>0</v>
      </c>
      <c r="H385">
        <f>RTD("tos.rtd", , "BID", "KBE")</f>
        <v>36.86</v>
      </c>
      <c r="I385">
        <f>RTD("tos.rtd", , "ASK", "KBE")</f>
        <v>37.19</v>
      </c>
      <c r="J385">
        <f>RTD("tos.rtd", , "HIGH", "KBE")</f>
        <v>37.445</v>
      </c>
      <c r="K385">
        <f>RTD("tos.rtd", , "LOW", "KBE")</f>
        <v>36.56</v>
      </c>
      <c r="L385">
        <f>RTD("tos.rtd", , "OPEN", "KBE")</f>
        <v>37.17</v>
      </c>
      <c r="M385">
        <f>RTD("tos.rtd", , "DELTA", "KBE")</f>
        <v>1</v>
      </c>
      <c r="N385">
        <f>RTD("tos.rtd", , "GAMMA", "KBE")</f>
        <v>0</v>
      </c>
      <c r="O385">
        <f>RTD("tos.rtd", , "THETA", "KBE")</f>
        <v>0</v>
      </c>
      <c r="P385">
        <f>RTD("tos.rtd", , "VEGA", "KBE")</f>
        <v>0</v>
      </c>
      <c r="Q385">
        <f>RTD("tos.rtd", , "RHO", "KBE")</f>
        <v>0</v>
      </c>
      <c r="R385" t="str">
        <f>RTD("tos.rtd", , "INTRINSIC", "KBE")</f>
        <v>N/A</v>
      </c>
      <c r="S385" t="str">
        <f>RTD("tos.rtd", , "EXTRINSIC", "KBE")</f>
        <v>N/A</v>
      </c>
      <c r="T385" t="str">
        <f>RTD("tos.rtd", , "PROB_OF_EXPIRING", "KBE")</f>
        <v>N/A</v>
      </c>
      <c r="U385" t="str">
        <f>RTD("tos.rtd", , "PROB_OTM", "KBE")</f>
        <v>N/A</v>
      </c>
      <c r="V385" t="str">
        <f>RTD("tos.rtd", , "PROB_OF_TOUCHING", "KBE")</f>
        <v>N/A</v>
      </c>
      <c r="W385" t="str">
        <f>RTD("tos.rtd", , "STRIKE", "KBE")</f>
        <v>N/A</v>
      </c>
    </row>
    <row r="386" spans="1:23" x14ac:dyDescent="0.45">
      <c r="A386" t="s">
        <v>407</v>
      </c>
      <c r="B386" t="str">
        <f>RTD("tos.rtd", , "DESCRIPTION", ".KBE201120C38")</f>
        <v>N/A</v>
      </c>
      <c r="C386" t="str">
        <f>RTD("tos.rtd", , "PUT_CALL_RATIO", ".KBE201120C38")</f>
        <v>N/A</v>
      </c>
      <c r="D386" t="str">
        <f>RTD("tos.rtd", , "IMPL_VOL", ".KBE201120C38")</f>
        <v>N/A</v>
      </c>
      <c r="E386" t="str">
        <f>RTD("tos.rtd", , "LAST", ".KBE201120C38")</f>
        <v>N/A</v>
      </c>
      <c r="F386" t="str">
        <f>RTD("tos.rtd", , "VOLUME", ".KBE201120C38")</f>
        <v>N/A</v>
      </c>
      <c r="G386" t="str">
        <f>RTD("tos.rtd", , "OPEN_INT", ".KBE201120C38")</f>
        <v>N/A</v>
      </c>
      <c r="H386" t="str">
        <f>RTD("tos.rtd", , "BID", ".KBE201120C38")</f>
        <v>N/A</v>
      </c>
      <c r="I386" t="str">
        <f>RTD("tos.rtd", , "ASK", ".KBE201120C38")</f>
        <v>N/A</v>
      </c>
      <c r="J386" t="str">
        <f>RTD("tos.rtd", , "HIGH", ".KBE201120C38")</f>
        <v>N/A</v>
      </c>
      <c r="K386" t="str">
        <f>RTD("tos.rtd", , "LOW", ".KBE201120C38")</f>
        <v>N/A</v>
      </c>
      <c r="L386" t="str">
        <f>RTD("tos.rtd", , "OPEN", ".KBE201120C38")</f>
        <v>N/A</v>
      </c>
      <c r="M386" t="str">
        <f>RTD("tos.rtd", , "DELTA", ".KBE201120C38")</f>
        <v>N/A</v>
      </c>
      <c r="N386" t="str">
        <f>RTD("tos.rtd", , "GAMMA", ".KBE201120C38")</f>
        <v>N/A</v>
      </c>
      <c r="O386" t="str">
        <f>RTD("tos.rtd", , "THETA", ".KBE201120C38")</f>
        <v>N/A</v>
      </c>
      <c r="P386" t="str">
        <f>RTD("tos.rtd", , "VEGA", ".KBE201120C38")</f>
        <v>N/A</v>
      </c>
      <c r="Q386" t="str">
        <f>RTD("tos.rtd", , "RHO", ".KBE201120C38")</f>
        <v>N/A</v>
      </c>
      <c r="R386" t="str">
        <f>RTD("tos.rtd", , "INTRINSIC", ".KBE201120C38")</f>
        <v>N/A</v>
      </c>
      <c r="S386" t="str">
        <f>RTD("tos.rtd", , "EXTRINSIC", ".KBE201120C38")</f>
        <v>N/A</v>
      </c>
      <c r="T386" t="str">
        <f>RTD("tos.rtd", , "PROB_OF_EXPIRING", ".KBE201120C38")</f>
        <v>N/A</v>
      </c>
      <c r="U386" t="str">
        <f>RTD("tos.rtd", , "PROB_OTM", ".KBE201120C38")</f>
        <v>N/A</v>
      </c>
      <c r="V386" t="str">
        <f>RTD("tos.rtd", , "PROB_OF_TOUCHING", ".KBE201120C38")</f>
        <v>N/A</v>
      </c>
      <c r="W386" t="str">
        <f>RTD("tos.rtd", , "STRIKE", ".KBE201120C38")</f>
        <v>N/A</v>
      </c>
    </row>
    <row r="387" spans="1:23" x14ac:dyDescent="0.45">
      <c r="A387" t="s">
        <v>408</v>
      </c>
      <c r="B387" t="str">
        <f>RTD("tos.rtd", , "DESCRIPTION", ".KBE201120P38")</f>
        <v>N/A</v>
      </c>
      <c r="C387" t="str">
        <f>RTD("tos.rtd", , "PUT_CALL_RATIO", ".KBE201120P38")</f>
        <v>N/A</v>
      </c>
      <c r="D387" t="str">
        <f>RTD("tos.rtd", , "IMPL_VOL", ".KBE201120P38")</f>
        <v>N/A</v>
      </c>
      <c r="E387" t="str">
        <f>RTD("tos.rtd", , "LAST", ".KBE201120P38")</f>
        <v>N/A</v>
      </c>
      <c r="F387" t="str">
        <f>RTD("tos.rtd", , "VOLUME", ".KBE201120P38")</f>
        <v>N/A</v>
      </c>
      <c r="G387" t="str">
        <f>RTD("tos.rtd", , "OPEN_INT", ".KBE201120P38")</f>
        <v>N/A</v>
      </c>
      <c r="H387" t="str">
        <f>RTD("tos.rtd", , "BID", ".KBE201120P38")</f>
        <v>N/A</v>
      </c>
      <c r="I387" t="str">
        <f>RTD("tos.rtd", , "ASK", ".KBE201120P38")</f>
        <v>N/A</v>
      </c>
      <c r="J387" t="str">
        <f>RTD("tos.rtd", , "HIGH", ".KBE201120P38")</f>
        <v>N/A</v>
      </c>
      <c r="K387" t="str">
        <f>RTD("tos.rtd", , "LOW", ".KBE201120P38")</f>
        <v>N/A</v>
      </c>
      <c r="L387" t="str">
        <f>RTD("tos.rtd", , "OPEN", ".KBE201120P38")</f>
        <v>N/A</v>
      </c>
      <c r="M387" t="str">
        <f>RTD("tos.rtd", , "DELTA", ".KBE201120P38")</f>
        <v>N/A</v>
      </c>
      <c r="N387" t="str">
        <f>RTD("tos.rtd", , "GAMMA", ".KBE201120P38")</f>
        <v>N/A</v>
      </c>
      <c r="O387" t="str">
        <f>RTD("tos.rtd", , "THETA", ".KBE201120P38")</f>
        <v>N/A</v>
      </c>
      <c r="P387" t="str">
        <f>RTD("tos.rtd", , "VEGA", ".KBE201120P38")</f>
        <v>N/A</v>
      </c>
      <c r="Q387" t="str">
        <f>RTD("tos.rtd", , "RHO", ".KBE201120P38")</f>
        <v>N/A</v>
      </c>
      <c r="R387" t="str">
        <f>RTD("tos.rtd", , "INTRINSIC", ".KBE201120P38")</f>
        <v>N/A</v>
      </c>
      <c r="S387" t="str">
        <f>RTD("tos.rtd", , "EXTRINSIC", ".KBE201120P38")</f>
        <v>N/A</v>
      </c>
      <c r="T387" t="str">
        <f>RTD("tos.rtd", , "PROB_OF_EXPIRING", ".KBE201120P38")</f>
        <v>N/A</v>
      </c>
      <c r="U387" t="str">
        <f>RTD("tos.rtd", , "PROB_OTM", ".KBE201120P38")</f>
        <v>N/A</v>
      </c>
      <c r="V387" t="str">
        <f>RTD("tos.rtd", , "PROB_OF_TOUCHING", ".KBE201120P38")</f>
        <v>N/A</v>
      </c>
      <c r="W387" t="str">
        <f>RTD("tos.rtd", , "STRIKE", ".KBE201120P38")</f>
        <v>N/A</v>
      </c>
    </row>
    <row r="388" spans="1:23" x14ac:dyDescent="0.45">
      <c r="A388" t="s">
        <v>409</v>
      </c>
      <c r="B388" t="str">
        <f>RTD("tos.rtd", , "DESCRIPTION", "KRE")</f>
        <v>SPDR SERIES TRUST S&amp;P REGL BKG ETF</v>
      </c>
      <c r="C388">
        <f>RTD("tos.rtd", , "PUT_CALL_RATIO", "KRE")</f>
        <v>0.98799999999999999</v>
      </c>
      <c r="D388" t="str">
        <f>RTD("tos.rtd", , "IMPL_VOL", "KRE")</f>
        <v>46.41%</v>
      </c>
      <c r="E388">
        <f>RTD("tos.rtd", , "LAST", "KRE")</f>
        <v>45.81</v>
      </c>
      <c r="F388">
        <f>RTD("tos.rtd", , "VOLUME", "KRE")</f>
        <v>10770721</v>
      </c>
      <c r="G388">
        <f>RTD("tos.rtd", , "OPEN_INT", "KRE")</f>
        <v>0</v>
      </c>
      <c r="H388">
        <f>RTD("tos.rtd", , "BID", "KRE")</f>
        <v>45.49</v>
      </c>
      <c r="I388">
        <f>RTD("tos.rtd", , "ASK", "KRE")</f>
        <v>45.93</v>
      </c>
      <c r="J388">
        <f>RTD("tos.rtd", , "HIGH", "KRE")</f>
        <v>46.33</v>
      </c>
      <c r="K388">
        <f>RTD("tos.rtd", , "LOW", "KRE")</f>
        <v>45.16</v>
      </c>
      <c r="L388">
        <f>RTD("tos.rtd", , "OPEN", "KRE")</f>
        <v>45.93</v>
      </c>
      <c r="M388">
        <f>RTD("tos.rtd", , "DELTA", "KRE")</f>
        <v>1</v>
      </c>
      <c r="N388">
        <f>RTD("tos.rtd", , "GAMMA", "KRE")</f>
        <v>0</v>
      </c>
      <c r="O388">
        <f>RTD("tos.rtd", , "THETA", "KRE")</f>
        <v>0</v>
      </c>
      <c r="P388">
        <f>RTD("tos.rtd", , "VEGA", "KRE")</f>
        <v>0</v>
      </c>
      <c r="Q388">
        <f>RTD("tos.rtd", , "RHO", "KRE")</f>
        <v>0</v>
      </c>
      <c r="R388" t="str">
        <f>RTD("tos.rtd", , "INTRINSIC", "KRE")</f>
        <v>N/A</v>
      </c>
      <c r="S388" t="str">
        <f>RTD("tos.rtd", , "EXTRINSIC", "KRE")</f>
        <v>N/A</v>
      </c>
      <c r="T388" t="str">
        <f>RTD("tos.rtd", , "PROB_OF_EXPIRING", "KRE")</f>
        <v>N/A</v>
      </c>
      <c r="U388" t="str">
        <f>RTD("tos.rtd", , "PROB_OTM", "KRE")</f>
        <v>N/A</v>
      </c>
      <c r="V388" t="str">
        <f>RTD("tos.rtd", , "PROB_OF_TOUCHING", "KRE")</f>
        <v>N/A</v>
      </c>
      <c r="W388" t="str">
        <f>RTD("tos.rtd", , "STRIKE", "KRE")</f>
        <v>N/A</v>
      </c>
    </row>
    <row r="389" spans="1:23" x14ac:dyDescent="0.45">
      <c r="A389" t="s">
        <v>410</v>
      </c>
      <c r="B389" t="str">
        <f>RTD("tos.rtd", , "DESCRIPTION", ".KRE201120C46")</f>
        <v>N/A</v>
      </c>
      <c r="C389" t="str">
        <f>RTD("tos.rtd", , "PUT_CALL_RATIO", ".KRE201120C46")</f>
        <v>N/A</v>
      </c>
      <c r="D389" t="str">
        <f>RTD("tos.rtd", , "IMPL_VOL", ".KRE201120C46")</f>
        <v>N/A</v>
      </c>
      <c r="E389">
        <f>RTD("tos.rtd", , "LAST", ".KRE201120C46")</f>
        <v>1.0900000000000001</v>
      </c>
      <c r="F389">
        <f>RTD("tos.rtd", , "VOLUME", ".KRE201120C46")</f>
        <v>365</v>
      </c>
      <c r="G389">
        <f>RTD("tos.rtd", , "OPEN_INT", ".KRE201120C46")</f>
        <v>5483</v>
      </c>
      <c r="H389">
        <f>RTD("tos.rtd", , "BID", ".KRE201120C46")</f>
        <v>0.7</v>
      </c>
      <c r="I389">
        <f>RTD("tos.rtd", , "ASK", ".KRE201120C46")</f>
        <v>5</v>
      </c>
      <c r="J389">
        <f>RTD("tos.rtd", , "HIGH", ".KRE201120C46")</f>
        <v>1.3</v>
      </c>
      <c r="K389">
        <f>RTD("tos.rtd", , "LOW", ".KRE201120C46")</f>
        <v>0.87</v>
      </c>
      <c r="L389">
        <f>RTD("tos.rtd", , "OPEN", ".KRE201120C46")</f>
        <v>0.94</v>
      </c>
      <c r="M389" t="str">
        <f>RTD("tos.rtd", , "DELTA", ".KRE201120C46")</f>
        <v>N/A</v>
      </c>
      <c r="N389" t="str">
        <f>RTD("tos.rtd", , "GAMMA", ".KRE201120C46")</f>
        <v>N/A</v>
      </c>
      <c r="O389" t="str">
        <f>RTD("tos.rtd", , "THETA", ".KRE201120C46")</f>
        <v>N/A</v>
      </c>
      <c r="P389" t="str">
        <f>RTD("tos.rtd", , "VEGA", ".KRE201120C46")</f>
        <v>N/A</v>
      </c>
      <c r="Q389" t="str">
        <f>RTD("tos.rtd", , "RHO", ".KRE201120C46")</f>
        <v>N/A</v>
      </c>
      <c r="R389" t="str">
        <f>RTD("tos.rtd", , "INTRINSIC", ".KRE201120C46")</f>
        <v>N/A</v>
      </c>
      <c r="S389" t="str">
        <f>RTD("tos.rtd", , "EXTRINSIC", ".KRE201120C46")</f>
        <v>N/A</v>
      </c>
      <c r="T389" t="str">
        <f>RTD("tos.rtd", , "PROB_OF_EXPIRING", ".KRE201120C46")</f>
        <v>N/A</v>
      </c>
      <c r="U389" t="str">
        <f>RTD("tos.rtd", , "PROB_OTM", ".KRE201120C46")</f>
        <v>N/A</v>
      </c>
      <c r="V389" t="str">
        <f>RTD("tos.rtd", , "PROB_OF_TOUCHING", ".KRE201120C46")</f>
        <v>N/A</v>
      </c>
      <c r="W389" t="str">
        <f>RTD("tos.rtd", , "STRIKE", ".KRE201120C46")</f>
        <v>N/A</v>
      </c>
    </row>
    <row r="390" spans="1:23" x14ac:dyDescent="0.45">
      <c r="A390" t="s">
        <v>411</v>
      </c>
      <c r="B390" t="str">
        <f>RTD("tos.rtd", , "DESCRIPTION", ".KRE201120P46")</f>
        <v>N/A</v>
      </c>
      <c r="C390" t="str">
        <f>RTD("tos.rtd", , "PUT_CALL_RATIO", ".KRE201120P46")</f>
        <v>N/A</v>
      </c>
      <c r="D390" t="str">
        <f>RTD("tos.rtd", , "IMPL_VOL", ".KRE201120P46")</f>
        <v>N/A</v>
      </c>
      <c r="E390">
        <f>RTD("tos.rtd", , "LAST", ".KRE201120P46")</f>
        <v>1.3</v>
      </c>
      <c r="F390">
        <f>RTD("tos.rtd", , "VOLUME", ".KRE201120P46")</f>
        <v>41</v>
      </c>
      <c r="G390">
        <f>RTD("tos.rtd", , "OPEN_INT", ".KRE201120P46")</f>
        <v>1484</v>
      </c>
      <c r="H390">
        <f>RTD("tos.rtd", , "BID", ".KRE201120P46")</f>
        <v>0.95</v>
      </c>
      <c r="I390">
        <f>RTD("tos.rtd", , "ASK", ".KRE201120P46")</f>
        <v>5</v>
      </c>
      <c r="J390">
        <f>RTD("tos.rtd", , "HIGH", ".KRE201120P46")</f>
        <v>1.53</v>
      </c>
      <c r="K390">
        <f>RTD("tos.rtd", , "LOW", ".KRE201120P46")</f>
        <v>1.06</v>
      </c>
      <c r="L390">
        <f>RTD("tos.rtd", , "OPEN", ".KRE201120P46")</f>
        <v>1.36</v>
      </c>
      <c r="M390" t="str">
        <f>RTD("tos.rtd", , "DELTA", ".KRE201120P46")</f>
        <v>N/A</v>
      </c>
      <c r="N390" t="str">
        <f>RTD("tos.rtd", , "GAMMA", ".KRE201120P46")</f>
        <v>N/A</v>
      </c>
      <c r="O390" t="str">
        <f>RTD("tos.rtd", , "THETA", ".KRE201120P46")</f>
        <v>N/A</v>
      </c>
      <c r="P390" t="str">
        <f>RTD("tos.rtd", , "VEGA", ".KRE201120P46")</f>
        <v>N/A</v>
      </c>
      <c r="Q390" t="str">
        <f>RTD("tos.rtd", , "RHO", ".KRE201120P46")</f>
        <v>N/A</v>
      </c>
      <c r="R390" t="str">
        <f>RTD("tos.rtd", , "INTRINSIC", ".KRE201120P46")</f>
        <v>N/A</v>
      </c>
      <c r="S390" t="str">
        <f>RTD("tos.rtd", , "EXTRINSIC", ".KRE201120P46")</f>
        <v>N/A</v>
      </c>
      <c r="T390" t="str">
        <f>RTD("tos.rtd", , "PROB_OF_EXPIRING", ".KRE201120P46")</f>
        <v>N/A</v>
      </c>
      <c r="U390" t="str">
        <f>RTD("tos.rtd", , "PROB_OTM", ".KRE201120P46")</f>
        <v>N/A</v>
      </c>
      <c r="V390" t="str">
        <f>RTD("tos.rtd", , "PROB_OF_TOUCHING", ".KRE201120P46")</f>
        <v>N/A</v>
      </c>
      <c r="W390" t="str">
        <f>RTD("tos.rtd", , "STRIKE", ".KRE201120P46")</f>
        <v>N/A</v>
      </c>
    </row>
    <row r="391" spans="1:23" x14ac:dyDescent="0.45">
      <c r="A391" t="s">
        <v>412</v>
      </c>
      <c r="B391" t="str">
        <f>RTD("tos.rtd", , "DESCRIPTION", ".KRE201120C46.5")</f>
        <v>N/A</v>
      </c>
      <c r="C391" t="str">
        <f>RTD("tos.rtd", , "PUT_CALL_RATIO", ".KRE201120C46.5")</f>
        <v>N/A</v>
      </c>
      <c r="D391" t="str">
        <f>RTD("tos.rtd", , "IMPL_VOL", ".KRE201120C46.5")</f>
        <v>N/A</v>
      </c>
      <c r="E391">
        <f>RTD("tos.rtd", , "LAST", ".KRE201120C46.5")</f>
        <v>0.8</v>
      </c>
      <c r="F391">
        <f>RTD("tos.rtd", , "VOLUME", ".KRE201120C46.5")</f>
        <v>18</v>
      </c>
      <c r="G391">
        <f>RTD("tos.rtd", , "OPEN_INT", ".KRE201120C46.5")</f>
        <v>4</v>
      </c>
      <c r="H391">
        <f>RTD("tos.rtd", , "BID", ".KRE201120C46.5")</f>
        <v>0.1</v>
      </c>
      <c r="I391">
        <f>RTD("tos.rtd", , "ASK", ".KRE201120C46.5")</f>
        <v>2.08</v>
      </c>
      <c r="J391">
        <f>RTD("tos.rtd", , "HIGH", ".KRE201120C46.5")</f>
        <v>0.83</v>
      </c>
      <c r="K391">
        <f>RTD("tos.rtd", , "LOW", ".KRE201120C46.5")</f>
        <v>0.72</v>
      </c>
      <c r="L391">
        <f>RTD("tos.rtd", , "OPEN", ".KRE201120C46.5")</f>
        <v>0.82</v>
      </c>
      <c r="M391" t="str">
        <f>RTD("tos.rtd", , "DELTA", ".KRE201120C46.5")</f>
        <v>N/A</v>
      </c>
      <c r="N391" t="str">
        <f>RTD("tos.rtd", , "GAMMA", ".KRE201120C46.5")</f>
        <v>N/A</v>
      </c>
      <c r="O391" t="str">
        <f>RTD("tos.rtd", , "THETA", ".KRE201120C46.5")</f>
        <v>N/A</v>
      </c>
      <c r="P391" t="str">
        <f>RTD("tos.rtd", , "VEGA", ".KRE201120C46.5")</f>
        <v>N/A</v>
      </c>
      <c r="Q391" t="str">
        <f>RTD("tos.rtd", , "RHO", ".KRE201120C46.5")</f>
        <v>N/A</v>
      </c>
      <c r="R391" t="str">
        <f>RTD("tos.rtd", , "INTRINSIC", ".KRE201120C46.5")</f>
        <v>N/A</v>
      </c>
      <c r="S391" t="str">
        <f>RTD("tos.rtd", , "EXTRINSIC", ".KRE201120C46.5")</f>
        <v>N/A</v>
      </c>
      <c r="T391" t="str">
        <f>RTD("tos.rtd", , "PROB_OF_EXPIRING", ".KRE201120C46.5")</f>
        <v>N/A</v>
      </c>
      <c r="U391" t="str">
        <f>RTD("tos.rtd", , "PROB_OTM", ".KRE201120C46.5")</f>
        <v>N/A</v>
      </c>
      <c r="V391" t="str">
        <f>RTD("tos.rtd", , "PROB_OF_TOUCHING", ".KRE201120C46.5")</f>
        <v>N/A</v>
      </c>
      <c r="W391" t="str">
        <f>RTD("tos.rtd", , "STRIKE", ".KRE201120C46.5")</f>
        <v>N/A</v>
      </c>
    </row>
    <row r="392" spans="1:23" x14ac:dyDescent="0.45">
      <c r="A392" t="s">
        <v>413</v>
      </c>
      <c r="B392" t="str">
        <f>RTD("tos.rtd", , "DESCRIPTION", ".KRE201120P46.5")</f>
        <v>N/A</v>
      </c>
      <c r="C392" t="str">
        <f>RTD("tos.rtd", , "PUT_CALL_RATIO", ".KRE201120P46.5")</f>
        <v>N/A</v>
      </c>
      <c r="D392" t="str">
        <f>RTD("tos.rtd", , "IMPL_VOL", ".KRE201120P46.5")</f>
        <v>N/A</v>
      </c>
      <c r="E392">
        <f>RTD("tos.rtd", , "LAST", ".KRE201120P46.5")</f>
        <v>1.05</v>
      </c>
      <c r="F392">
        <f>RTD("tos.rtd", , "VOLUME", ".KRE201120P46.5")</f>
        <v>0</v>
      </c>
      <c r="G392">
        <f>RTD("tos.rtd", , "OPEN_INT", ".KRE201120P46.5")</f>
        <v>26</v>
      </c>
      <c r="H392">
        <f>RTD("tos.rtd", , "BID", ".KRE201120P46.5")</f>
        <v>0.95</v>
      </c>
      <c r="I392">
        <f>RTD("tos.rtd", , "ASK", ".KRE201120P46.5")</f>
        <v>4.05</v>
      </c>
      <c r="J392">
        <f>RTD("tos.rtd", , "HIGH", ".KRE201120P46.5")</f>
        <v>0</v>
      </c>
      <c r="K392">
        <f>RTD("tos.rtd", , "LOW", ".KRE201120P46.5")</f>
        <v>0</v>
      </c>
      <c r="L392">
        <f>RTD("tos.rtd", , "OPEN", ".KRE201120P46.5")</f>
        <v>0</v>
      </c>
      <c r="M392" t="str">
        <f>RTD("tos.rtd", , "DELTA", ".KRE201120P46.5")</f>
        <v>N/A</v>
      </c>
      <c r="N392" t="str">
        <f>RTD("tos.rtd", , "GAMMA", ".KRE201120P46.5")</f>
        <v>N/A</v>
      </c>
      <c r="O392" t="str">
        <f>RTD("tos.rtd", , "THETA", ".KRE201120P46.5")</f>
        <v>N/A</v>
      </c>
      <c r="P392" t="str">
        <f>RTD("tos.rtd", , "VEGA", ".KRE201120P46.5")</f>
        <v>N/A</v>
      </c>
      <c r="Q392" t="str">
        <f>RTD("tos.rtd", , "RHO", ".KRE201120P46.5")</f>
        <v>N/A</v>
      </c>
      <c r="R392" t="str">
        <f>RTD("tos.rtd", , "INTRINSIC", ".KRE201120P46.5")</f>
        <v>N/A</v>
      </c>
      <c r="S392" t="str">
        <f>RTD("tos.rtd", , "EXTRINSIC", ".KRE201120P46.5")</f>
        <v>N/A</v>
      </c>
      <c r="T392" t="str">
        <f>RTD("tos.rtd", , "PROB_OF_EXPIRING", ".KRE201120P46.5")</f>
        <v>N/A</v>
      </c>
      <c r="U392" t="str">
        <f>RTD("tos.rtd", , "PROB_OTM", ".KRE201120P46.5")</f>
        <v>N/A</v>
      </c>
      <c r="V392" t="str">
        <f>RTD("tos.rtd", , "PROB_OF_TOUCHING", ".KRE201120P46.5")</f>
        <v>N/A</v>
      </c>
      <c r="W392" t="str">
        <f>RTD("tos.rtd", , "STRIKE", ".KRE201120P46.5")</f>
        <v>N/A</v>
      </c>
    </row>
    <row r="393" spans="1:23" x14ac:dyDescent="0.45">
      <c r="A393" t="s">
        <v>414</v>
      </c>
      <c r="B393" t="str">
        <f>RTD("tos.rtd", , "DESCRIPTION", ".KRE201120C47")</f>
        <v>N/A</v>
      </c>
      <c r="C393" t="str">
        <f>RTD("tos.rtd", , "PUT_CALL_RATIO", ".KRE201120C47")</f>
        <v>N/A</v>
      </c>
      <c r="D393" t="str">
        <f>RTD("tos.rtd", , "IMPL_VOL", ".KRE201120C47")</f>
        <v>N/A</v>
      </c>
      <c r="E393">
        <f>RTD("tos.rtd", , "LAST", ".KRE201120C47")</f>
        <v>0.56000000000000005</v>
      </c>
      <c r="F393">
        <f>RTD("tos.rtd", , "VOLUME", ".KRE201120C47")</f>
        <v>531</v>
      </c>
      <c r="G393">
        <f>RTD("tos.rtd", , "OPEN_INT", ".KRE201120C47")</f>
        <v>1775</v>
      </c>
      <c r="H393">
        <f>RTD("tos.rtd", , "BID", ".KRE201120C47")</f>
        <v>0.27</v>
      </c>
      <c r="I393">
        <f>RTD("tos.rtd", , "ASK", ".KRE201120C47")</f>
        <v>1.2</v>
      </c>
      <c r="J393">
        <f>RTD("tos.rtd", , "HIGH", ".KRE201120C47")</f>
        <v>0.88</v>
      </c>
      <c r="K393">
        <f>RTD("tos.rtd", , "LOW", ".KRE201120C47")</f>
        <v>0.56000000000000005</v>
      </c>
      <c r="L393">
        <f>RTD("tos.rtd", , "OPEN", ".KRE201120C47")</f>
        <v>0.67</v>
      </c>
      <c r="M393" t="str">
        <f>RTD("tos.rtd", , "DELTA", ".KRE201120C47")</f>
        <v>N/A</v>
      </c>
      <c r="N393" t="str">
        <f>RTD("tos.rtd", , "GAMMA", ".KRE201120C47")</f>
        <v>N/A</v>
      </c>
      <c r="O393" t="str">
        <f>RTD("tos.rtd", , "THETA", ".KRE201120C47")</f>
        <v>N/A</v>
      </c>
      <c r="P393" t="str">
        <f>RTD("tos.rtd", , "VEGA", ".KRE201120C47")</f>
        <v>N/A</v>
      </c>
      <c r="Q393" t="str">
        <f>RTD("tos.rtd", , "RHO", ".KRE201120C47")</f>
        <v>N/A</v>
      </c>
      <c r="R393" t="str">
        <f>RTD("tos.rtd", , "INTRINSIC", ".KRE201120C47")</f>
        <v>N/A</v>
      </c>
      <c r="S393" t="str">
        <f>RTD("tos.rtd", , "EXTRINSIC", ".KRE201120C47")</f>
        <v>N/A</v>
      </c>
      <c r="T393" t="str">
        <f>RTD("tos.rtd", , "PROB_OF_EXPIRING", ".KRE201120C47")</f>
        <v>N/A</v>
      </c>
      <c r="U393" t="str">
        <f>RTD("tos.rtd", , "PROB_OTM", ".KRE201120C47")</f>
        <v>N/A</v>
      </c>
      <c r="V393" t="str">
        <f>RTD("tos.rtd", , "PROB_OF_TOUCHING", ".KRE201120C47")</f>
        <v>N/A</v>
      </c>
      <c r="W393" t="str">
        <f>RTD("tos.rtd", , "STRIKE", ".KRE201120C47")</f>
        <v>N/A</v>
      </c>
    </row>
    <row r="394" spans="1:23" x14ac:dyDescent="0.45">
      <c r="A394" t="s">
        <v>415</v>
      </c>
      <c r="B394" t="str">
        <f>RTD("tos.rtd", , "DESCRIPTION", ".KRE201120P47")</f>
        <v>N/A</v>
      </c>
      <c r="C394" t="str">
        <f>RTD("tos.rtd", , "PUT_CALL_RATIO", ".KRE201120P47")</f>
        <v>N/A</v>
      </c>
      <c r="D394" t="str">
        <f>RTD("tos.rtd", , "IMPL_VOL", ".KRE201120P47")</f>
        <v>N/A</v>
      </c>
      <c r="E394">
        <f>RTD("tos.rtd", , "LAST", ".KRE201120P47")</f>
        <v>2.11</v>
      </c>
      <c r="F394">
        <f>RTD("tos.rtd", , "VOLUME", ".KRE201120P47")</f>
        <v>144</v>
      </c>
      <c r="G394">
        <f>RTD("tos.rtd", , "OPEN_INT", ".KRE201120P47")</f>
        <v>144</v>
      </c>
      <c r="H394">
        <f>RTD("tos.rtd", , "BID", ".KRE201120P47")</f>
        <v>0.64</v>
      </c>
      <c r="I394">
        <f>RTD("tos.rtd", , "ASK", ".KRE201120P47")</f>
        <v>5</v>
      </c>
      <c r="J394">
        <f>RTD("tos.rtd", , "HIGH", ".KRE201120P47")</f>
        <v>2.12</v>
      </c>
      <c r="K394">
        <f>RTD("tos.rtd", , "LOW", ".KRE201120P47")</f>
        <v>1.86</v>
      </c>
      <c r="L394">
        <f>RTD("tos.rtd", , "OPEN", ".KRE201120P47")</f>
        <v>1.89</v>
      </c>
      <c r="M394" t="str">
        <f>RTD("tos.rtd", , "DELTA", ".KRE201120P47")</f>
        <v>N/A</v>
      </c>
      <c r="N394" t="str">
        <f>RTD("tos.rtd", , "GAMMA", ".KRE201120P47")</f>
        <v>N/A</v>
      </c>
      <c r="O394" t="str">
        <f>RTD("tos.rtd", , "THETA", ".KRE201120P47")</f>
        <v>N/A</v>
      </c>
      <c r="P394" t="str">
        <f>RTD("tos.rtd", , "VEGA", ".KRE201120P47")</f>
        <v>N/A</v>
      </c>
      <c r="Q394" t="str">
        <f>RTD("tos.rtd", , "RHO", ".KRE201120P47")</f>
        <v>N/A</v>
      </c>
      <c r="R394" t="str">
        <f>RTD("tos.rtd", , "INTRINSIC", ".KRE201120P47")</f>
        <v>N/A</v>
      </c>
      <c r="S394" t="str">
        <f>RTD("tos.rtd", , "EXTRINSIC", ".KRE201120P47")</f>
        <v>N/A</v>
      </c>
      <c r="T394" t="str">
        <f>RTD("tos.rtd", , "PROB_OF_EXPIRING", ".KRE201120P47")</f>
        <v>N/A</v>
      </c>
      <c r="U394" t="str">
        <f>RTD("tos.rtd", , "PROB_OTM", ".KRE201120P47")</f>
        <v>N/A</v>
      </c>
      <c r="V394" t="str">
        <f>RTD("tos.rtd", , "PROB_OF_TOUCHING", ".KRE201120P47")</f>
        <v>N/A</v>
      </c>
      <c r="W394" t="str">
        <f>RTD("tos.rtd", , "STRIKE", ".KRE201120P47")</f>
        <v>N/A</v>
      </c>
    </row>
    <row r="395" spans="1:23" x14ac:dyDescent="0.45">
      <c r="A395" t="s">
        <v>416</v>
      </c>
      <c r="B395" t="str">
        <f>RTD("tos.rtd", , "DESCRIPTION", ".KRE201120C47.5")</f>
        <v>N/A</v>
      </c>
      <c r="C395" t="str">
        <f>RTD("tos.rtd", , "PUT_CALL_RATIO", ".KRE201120C47.5")</f>
        <v>N/A</v>
      </c>
      <c r="D395" t="str">
        <f>RTD("tos.rtd", , "IMPL_VOL", ".KRE201120C47.5")</f>
        <v>N/A</v>
      </c>
      <c r="E395">
        <f>RTD("tos.rtd", , "LAST", ".KRE201120C47.5")</f>
        <v>0.5</v>
      </c>
      <c r="F395">
        <f>RTD("tos.rtd", , "VOLUME", ".KRE201120C47.5")</f>
        <v>31</v>
      </c>
      <c r="G395">
        <f>RTD("tos.rtd", , "OPEN_INT", ".KRE201120C47.5")</f>
        <v>24</v>
      </c>
      <c r="H395">
        <f>RTD("tos.rtd", , "BID", ".KRE201120C47.5")</f>
        <v>7.0000000000000007E-2</v>
      </c>
      <c r="I395">
        <f>RTD("tos.rtd", , "ASK", ".KRE201120C47.5")</f>
        <v>1.1000000000000001</v>
      </c>
      <c r="J395">
        <f>RTD("tos.rtd", , "HIGH", ".KRE201120C47.5")</f>
        <v>0.68</v>
      </c>
      <c r="K395">
        <f>RTD("tos.rtd", , "LOW", ".KRE201120C47.5")</f>
        <v>0.44</v>
      </c>
      <c r="L395">
        <f>RTD("tos.rtd", , "OPEN", ".KRE201120C47.5")</f>
        <v>0.44</v>
      </c>
      <c r="M395" t="str">
        <f>RTD("tos.rtd", , "DELTA", ".KRE201120C47.5")</f>
        <v>N/A</v>
      </c>
      <c r="N395" t="str">
        <f>RTD("tos.rtd", , "GAMMA", ".KRE201120C47.5")</f>
        <v>N/A</v>
      </c>
      <c r="O395" t="str">
        <f>RTD("tos.rtd", , "THETA", ".KRE201120C47.5")</f>
        <v>N/A</v>
      </c>
      <c r="P395" t="str">
        <f>RTD("tos.rtd", , "VEGA", ".KRE201120C47.5")</f>
        <v>N/A</v>
      </c>
      <c r="Q395" t="str">
        <f>RTD("tos.rtd", , "RHO", ".KRE201120C47.5")</f>
        <v>N/A</v>
      </c>
      <c r="R395" t="str">
        <f>RTD("tos.rtd", , "INTRINSIC", ".KRE201120C47.5")</f>
        <v>N/A</v>
      </c>
      <c r="S395" t="str">
        <f>RTD("tos.rtd", , "EXTRINSIC", ".KRE201120C47.5")</f>
        <v>N/A</v>
      </c>
      <c r="T395" t="str">
        <f>RTD("tos.rtd", , "PROB_OF_EXPIRING", ".KRE201120C47.5")</f>
        <v>N/A</v>
      </c>
      <c r="U395" t="str">
        <f>RTD("tos.rtd", , "PROB_OTM", ".KRE201120C47.5")</f>
        <v>N/A</v>
      </c>
      <c r="V395" t="str">
        <f>RTD("tos.rtd", , "PROB_OF_TOUCHING", ".KRE201120C47.5")</f>
        <v>N/A</v>
      </c>
      <c r="W395" t="str">
        <f>RTD("tos.rtd", , "STRIKE", ".KRE201120C47.5")</f>
        <v>N/A</v>
      </c>
    </row>
    <row r="396" spans="1:23" x14ac:dyDescent="0.45">
      <c r="A396" t="s">
        <v>417</v>
      </c>
      <c r="B396" t="str">
        <f>RTD("tos.rtd", , "DESCRIPTION", ".KRE201120P47.5")</f>
        <v>N/A</v>
      </c>
      <c r="C396" t="str">
        <f>RTD("tos.rtd", , "PUT_CALL_RATIO", ".KRE201120P47.5")</f>
        <v>N/A</v>
      </c>
      <c r="D396" t="str">
        <f>RTD("tos.rtd", , "IMPL_VOL", ".KRE201120P47.5")</f>
        <v>N/A</v>
      </c>
      <c r="E396">
        <f>RTD("tos.rtd", , "LAST", ".KRE201120P47.5")</f>
        <v>2.61</v>
      </c>
      <c r="F396">
        <f>RTD("tos.rtd", , "VOLUME", ".KRE201120P47.5")</f>
        <v>31</v>
      </c>
      <c r="G396">
        <f>RTD("tos.rtd", , "OPEN_INT", ".KRE201120P47.5")</f>
        <v>26</v>
      </c>
      <c r="H396">
        <f>RTD("tos.rtd", , "BID", ".KRE201120P47.5")</f>
        <v>1.07</v>
      </c>
      <c r="I396">
        <f>RTD("tos.rtd", , "ASK", ".KRE201120P47.5")</f>
        <v>5</v>
      </c>
      <c r="J396">
        <f>RTD("tos.rtd", , "HIGH", ".KRE201120P47.5")</f>
        <v>2.61</v>
      </c>
      <c r="K396">
        <f>RTD("tos.rtd", , "LOW", ".KRE201120P47.5")</f>
        <v>2.41</v>
      </c>
      <c r="L396">
        <f>RTD("tos.rtd", , "OPEN", ".KRE201120P47.5")</f>
        <v>2.41</v>
      </c>
      <c r="M396" t="str">
        <f>RTD("tos.rtd", , "DELTA", ".KRE201120P47.5")</f>
        <v>N/A</v>
      </c>
      <c r="N396" t="str">
        <f>RTD("tos.rtd", , "GAMMA", ".KRE201120P47.5")</f>
        <v>N/A</v>
      </c>
      <c r="O396" t="str">
        <f>RTD("tos.rtd", , "THETA", ".KRE201120P47.5")</f>
        <v>N/A</v>
      </c>
      <c r="P396" t="str">
        <f>RTD("tos.rtd", , "VEGA", ".KRE201120P47.5")</f>
        <v>N/A</v>
      </c>
      <c r="Q396" t="str">
        <f>RTD("tos.rtd", , "RHO", ".KRE201120P47.5")</f>
        <v>N/A</v>
      </c>
      <c r="R396" t="str">
        <f>RTD("tos.rtd", , "INTRINSIC", ".KRE201120P47.5")</f>
        <v>N/A</v>
      </c>
      <c r="S396" t="str">
        <f>RTD("tos.rtd", , "EXTRINSIC", ".KRE201120P47.5")</f>
        <v>N/A</v>
      </c>
      <c r="T396" t="str">
        <f>RTD("tos.rtd", , "PROB_OF_EXPIRING", ".KRE201120P47.5")</f>
        <v>N/A</v>
      </c>
      <c r="U396" t="str">
        <f>RTD("tos.rtd", , "PROB_OTM", ".KRE201120P47.5")</f>
        <v>N/A</v>
      </c>
      <c r="V396" t="str">
        <f>RTD("tos.rtd", , "PROB_OF_TOUCHING", ".KRE201120P47.5")</f>
        <v>N/A</v>
      </c>
      <c r="W396" t="str">
        <f>RTD("tos.rtd", , "STRIKE", ".KRE201120P47.5")</f>
        <v>N/A</v>
      </c>
    </row>
    <row r="397" spans="1:23" x14ac:dyDescent="0.45">
      <c r="A397" t="s">
        <v>418</v>
      </c>
      <c r="B397" t="str">
        <f>RTD("tos.rtd", , "DESCRIPTION", "KWEB")</f>
        <v>N/A</v>
      </c>
      <c r="C397">
        <f>RTD("tos.rtd", , "PUT_CALL_RATIO", "KWEB")</f>
        <v>0.74399999999999999</v>
      </c>
      <c r="D397" t="str">
        <f>RTD("tos.rtd", , "IMPL_VOL", "KWEB")</f>
        <v>40.96%</v>
      </c>
      <c r="E397">
        <f>RTD("tos.rtd", , "LAST", "KWEB")</f>
        <v>74.709999999999994</v>
      </c>
      <c r="F397">
        <f>RTD("tos.rtd", , "VOLUME", "KWEB")</f>
        <v>3156311</v>
      </c>
      <c r="G397">
        <f>RTD("tos.rtd", , "OPEN_INT", "KWEB")</f>
        <v>0</v>
      </c>
      <c r="H397">
        <f>RTD("tos.rtd", , "BID", "KWEB")</f>
        <v>74.709999999999994</v>
      </c>
      <c r="I397">
        <f>RTD("tos.rtd", , "ASK", "KWEB")</f>
        <v>76.27</v>
      </c>
      <c r="J397">
        <f>RTD("tos.rtd", , "HIGH", "KWEB")</f>
        <v>76.265000000000001</v>
      </c>
      <c r="K397">
        <f>RTD("tos.rtd", , "LOW", "KWEB")</f>
        <v>74.569999999999993</v>
      </c>
      <c r="L397">
        <f>RTD("tos.rtd", , "OPEN", "KWEB")</f>
        <v>75.69</v>
      </c>
      <c r="M397">
        <f>RTD("tos.rtd", , "DELTA", "KWEB")</f>
        <v>1</v>
      </c>
      <c r="N397">
        <f>RTD("tos.rtd", , "GAMMA", "KWEB")</f>
        <v>0</v>
      </c>
      <c r="O397">
        <f>RTD("tos.rtd", , "THETA", "KWEB")</f>
        <v>0</v>
      </c>
      <c r="P397">
        <f>RTD("tos.rtd", , "VEGA", "KWEB")</f>
        <v>0</v>
      </c>
      <c r="Q397">
        <f>RTD("tos.rtd", , "RHO", "KWEB")</f>
        <v>0</v>
      </c>
      <c r="R397" t="str">
        <f>RTD("tos.rtd", , "INTRINSIC", "KWEB")</f>
        <v>N/A</v>
      </c>
      <c r="S397" t="str">
        <f>RTD("tos.rtd", , "EXTRINSIC", "KWEB")</f>
        <v>N/A</v>
      </c>
      <c r="T397" t="str">
        <f>RTD("tos.rtd", , "PROB_OF_EXPIRING", "KWEB")</f>
        <v>N/A</v>
      </c>
      <c r="U397" t="str">
        <f>RTD("tos.rtd", , "PROB_OTM", "KWEB")</f>
        <v>N/A</v>
      </c>
      <c r="V397" t="str">
        <f>RTD("tos.rtd", , "PROB_OF_TOUCHING", "KWEB")</f>
        <v>N/A</v>
      </c>
      <c r="W397" t="str">
        <f>RTD("tos.rtd", , "STRIKE", "KWEB")</f>
        <v>N/A</v>
      </c>
    </row>
    <row r="398" spans="1:23" x14ac:dyDescent="0.45">
      <c r="A398" t="s">
        <v>419</v>
      </c>
      <c r="B398" t="str">
        <f>RTD("tos.rtd", , "DESCRIPTION", ".KWEB201120C72")</f>
        <v>N/A</v>
      </c>
      <c r="C398" t="str">
        <f>RTD("tos.rtd", , "PUT_CALL_RATIO", ".KWEB201120C72")</f>
        <v>N/A</v>
      </c>
      <c r="D398" t="str">
        <f>RTD("tos.rtd", , "IMPL_VOL", ".KWEB201120C72")</f>
        <v>N/A</v>
      </c>
      <c r="E398" t="str">
        <f>RTD("tos.rtd", , "LAST", ".KWEB201120C72")</f>
        <v>N/A</v>
      </c>
      <c r="F398" t="str">
        <f>RTD("tos.rtd", , "VOLUME", ".KWEB201120C72")</f>
        <v>N/A</v>
      </c>
      <c r="G398" t="str">
        <f>RTD("tos.rtd", , "OPEN_INT", ".KWEB201120C72")</f>
        <v>N/A</v>
      </c>
      <c r="H398" t="str">
        <f>RTD("tos.rtd", , "BID", ".KWEB201120C72")</f>
        <v>N/A</v>
      </c>
      <c r="I398" t="str">
        <f>RTD("tos.rtd", , "ASK", ".KWEB201120C72")</f>
        <v>N/A</v>
      </c>
      <c r="J398" t="str">
        <f>RTD("tos.rtd", , "HIGH", ".KWEB201120C72")</f>
        <v>N/A</v>
      </c>
      <c r="K398" t="str">
        <f>RTD("tos.rtd", , "LOW", ".KWEB201120C72")</f>
        <v>N/A</v>
      </c>
      <c r="L398" t="str">
        <f>RTD("tos.rtd", , "OPEN", ".KWEB201120C72")</f>
        <v>N/A</v>
      </c>
      <c r="M398" t="str">
        <f>RTD("tos.rtd", , "DELTA", ".KWEB201120C72")</f>
        <v>N/A</v>
      </c>
      <c r="N398" t="str">
        <f>RTD("tos.rtd", , "GAMMA", ".KWEB201120C72")</f>
        <v>N/A</v>
      </c>
      <c r="O398" t="str">
        <f>RTD("tos.rtd", , "THETA", ".KWEB201120C72")</f>
        <v>N/A</v>
      </c>
      <c r="P398" t="str">
        <f>RTD("tos.rtd", , "VEGA", ".KWEB201120C72")</f>
        <v>N/A</v>
      </c>
      <c r="Q398" t="str">
        <f>RTD("tos.rtd", , "RHO", ".KWEB201120C72")</f>
        <v>N/A</v>
      </c>
      <c r="R398" t="str">
        <f>RTD("tos.rtd", , "INTRINSIC", ".KWEB201120C72")</f>
        <v>N/A</v>
      </c>
      <c r="S398" t="str">
        <f>RTD("tos.rtd", , "EXTRINSIC", ".KWEB201120C72")</f>
        <v>N/A</v>
      </c>
      <c r="T398" t="str">
        <f>RTD("tos.rtd", , "PROB_OF_EXPIRING", ".KWEB201120C72")</f>
        <v>N/A</v>
      </c>
      <c r="U398" t="str">
        <f>RTD("tos.rtd", , "PROB_OTM", ".KWEB201120C72")</f>
        <v>N/A</v>
      </c>
      <c r="V398" t="str">
        <f>RTD("tos.rtd", , "PROB_OF_TOUCHING", ".KWEB201120C72")</f>
        <v>N/A</v>
      </c>
      <c r="W398" t="str">
        <f>RTD("tos.rtd", , "STRIKE", ".KWEB201120C72")</f>
        <v>N/A</v>
      </c>
    </row>
    <row r="399" spans="1:23" x14ac:dyDescent="0.45">
      <c r="A399" t="s">
        <v>420</v>
      </c>
      <c r="B399" t="str">
        <f>RTD("tos.rtd", , "DESCRIPTION", ".KWEB201120P72")</f>
        <v>N/A</v>
      </c>
      <c r="C399" t="str">
        <f>RTD("tos.rtd", , "PUT_CALL_RATIO", ".KWEB201120P72")</f>
        <v>N/A</v>
      </c>
      <c r="D399" t="str">
        <f>RTD("tos.rtd", , "IMPL_VOL", ".KWEB201120P72")</f>
        <v>N/A</v>
      </c>
      <c r="E399" t="str">
        <f>RTD("tos.rtd", , "LAST", ".KWEB201120P72")</f>
        <v>N/A</v>
      </c>
      <c r="F399" t="str">
        <f>RTD("tos.rtd", , "VOLUME", ".KWEB201120P72")</f>
        <v>N/A</v>
      </c>
      <c r="G399" t="str">
        <f>RTD("tos.rtd", , "OPEN_INT", ".KWEB201120P72")</f>
        <v>N/A</v>
      </c>
      <c r="H399" t="str">
        <f>RTD("tos.rtd", , "BID", ".KWEB201120P72")</f>
        <v>N/A</v>
      </c>
      <c r="I399" t="str">
        <f>RTD("tos.rtd", , "ASK", ".KWEB201120P72")</f>
        <v>N/A</v>
      </c>
      <c r="J399" t="str">
        <f>RTD("tos.rtd", , "HIGH", ".KWEB201120P72")</f>
        <v>N/A</v>
      </c>
      <c r="K399" t="str">
        <f>RTD("tos.rtd", , "LOW", ".KWEB201120P72")</f>
        <v>N/A</v>
      </c>
      <c r="L399" t="str">
        <f>RTD("tos.rtd", , "OPEN", ".KWEB201120P72")</f>
        <v>N/A</v>
      </c>
      <c r="M399" t="str">
        <f>RTD("tos.rtd", , "DELTA", ".KWEB201120P72")</f>
        <v>N/A</v>
      </c>
      <c r="N399" t="str">
        <f>RTD("tos.rtd", , "GAMMA", ".KWEB201120P72")</f>
        <v>N/A</v>
      </c>
      <c r="O399" t="str">
        <f>RTD("tos.rtd", , "THETA", ".KWEB201120P72")</f>
        <v>N/A</v>
      </c>
      <c r="P399" t="str">
        <f>RTD("tos.rtd", , "VEGA", ".KWEB201120P72")</f>
        <v>N/A</v>
      </c>
      <c r="Q399" t="str">
        <f>RTD("tos.rtd", , "RHO", ".KWEB201120P72")</f>
        <v>N/A</v>
      </c>
      <c r="R399" t="str">
        <f>RTD("tos.rtd", , "INTRINSIC", ".KWEB201120P72")</f>
        <v>N/A</v>
      </c>
      <c r="S399" t="str">
        <f>RTD("tos.rtd", , "EXTRINSIC", ".KWEB201120P72")</f>
        <v>N/A</v>
      </c>
      <c r="T399" t="str">
        <f>RTD("tos.rtd", , "PROB_OF_EXPIRING", ".KWEB201120P72")</f>
        <v>N/A</v>
      </c>
      <c r="U399" t="str">
        <f>RTD("tos.rtd", , "PROB_OTM", ".KWEB201120P72")</f>
        <v>N/A</v>
      </c>
      <c r="V399" t="str">
        <f>RTD("tos.rtd", , "PROB_OF_TOUCHING", ".KWEB201120P72")</f>
        <v>N/A</v>
      </c>
      <c r="W399" t="str">
        <f>RTD("tos.rtd", , "STRIKE", ".KWEB201120P72")</f>
        <v>N/A</v>
      </c>
    </row>
    <row r="400" spans="1:23" x14ac:dyDescent="0.45">
      <c r="A400" t="s">
        <v>421</v>
      </c>
      <c r="B400" t="str">
        <f>RTD("tos.rtd", , "DESCRIPTION", ".KWEB201120C73")</f>
        <v>N/A</v>
      </c>
      <c r="C400" t="str">
        <f>RTD("tos.rtd", , "PUT_CALL_RATIO", ".KWEB201120C73")</f>
        <v>N/A</v>
      </c>
      <c r="D400" t="str">
        <f>RTD("tos.rtd", , "IMPL_VOL", ".KWEB201120C73")</f>
        <v>N/A</v>
      </c>
      <c r="E400" t="str">
        <f>RTD("tos.rtd", , "LAST", ".KWEB201120C73")</f>
        <v>N/A</v>
      </c>
      <c r="F400" t="str">
        <f>RTD("tos.rtd", , "VOLUME", ".KWEB201120C73")</f>
        <v>N/A</v>
      </c>
      <c r="G400" t="str">
        <f>RTD("tos.rtd", , "OPEN_INT", ".KWEB201120C73")</f>
        <v>N/A</v>
      </c>
      <c r="H400" t="str">
        <f>RTD("tos.rtd", , "BID", ".KWEB201120C73")</f>
        <v>N/A</v>
      </c>
      <c r="I400" t="str">
        <f>RTD("tos.rtd", , "ASK", ".KWEB201120C73")</f>
        <v>N/A</v>
      </c>
      <c r="J400" t="str">
        <f>RTD("tos.rtd", , "HIGH", ".KWEB201120C73")</f>
        <v>N/A</v>
      </c>
      <c r="K400" t="str">
        <f>RTD("tos.rtd", , "LOW", ".KWEB201120C73")</f>
        <v>N/A</v>
      </c>
      <c r="L400" t="str">
        <f>RTD("tos.rtd", , "OPEN", ".KWEB201120C73")</f>
        <v>N/A</v>
      </c>
      <c r="M400" t="str">
        <f>RTD("tos.rtd", , "DELTA", ".KWEB201120C73")</f>
        <v>N/A</v>
      </c>
      <c r="N400" t="str">
        <f>RTD("tos.rtd", , "GAMMA", ".KWEB201120C73")</f>
        <v>N/A</v>
      </c>
      <c r="O400" t="str">
        <f>RTD("tos.rtd", , "THETA", ".KWEB201120C73")</f>
        <v>N/A</v>
      </c>
      <c r="P400" t="str">
        <f>RTD("tos.rtd", , "VEGA", ".KWEB201120C73")</f>
        <v>N/A</v>
      </c>
      <c r="Q400" t="str">
        <f>RTD("tos.rtd", , "RHO", ".KWEB201120C73")</f>
        <v>N/A</v>
      </c>
      <c r="R400" t="str">
        <f>RTD("tos.rtd", , "INTRINSIC", ".KWEB201120C73")</f>
        <v>N/A</v>
      </c>
      <c r="S400" t="str">
        <f>RTD("tos.rtd", , "EXTRINSIC", ".KWEB201120C73")</f>
        <v>N/A</v>
      </c>
      <c r="T400" t="str">
        <f>RTD("tos.rtd", , "PROB_OF_EXPIRING", ".KWEB201120C73")</f>
        <v>N/A</v>
      </c>
      <c r="U400" t="str">
        <f>RTD("tos.rtd", , "PROB_OTM", ".KWEB201120C73")</f>
        <v>N/A</v>
      </c>
      <c r="V400" t="str">
        <f>RTD("tos.rtd", , "PROB_OF_TOUCHING", ".KWEB201120C73")</f>
        <v>N/A</v>
      </c>
      <c r="W400" t="str">
        <f>RTD("tos.rtd", , "STRIKE", ".KWEB201120C73")</f>
        <v>N/A</v>
      </c>
    </row>
    <row r="401" spans="1:23" x14ac:dyDescent="0.45">
      <c r="A401" t="s">
        <v>422</v>
      </c>
      <c r="B401" t="str">
        <f>RTD("tos.rtd", , "DESCRIPTION", ".KWEB201120P73")</f>
        <v>N/A</v>
      </c>
      <c r="C401" t="str">
        <f>RTD("tos.rtd", , "PUT_CALL_RATIO", ".KWEB201120P73")</f>
        <v>N/A</v>
      </c>
      <c r="D401" t="str">
        <f>RTD("tos.rtd", , "IMPL_VOL", ".KWEB201120P73")</f>
        <v>N/A</v>
      </c>
      <c r="E401" t="str">
        <f>RTD("tos.rtd", , "LAST", ".KWEB201120P73")</f>
        <v>N/A</v>
      </c>
      <c r="F401" t="str">
        <f>RTD("tos.rtd", , "VOLUME", ".KWEB201120P73")</f>
        <v>N/A</v>
      </c>
      <c r="G401" t="str">
        <f>RTD("tos.rtd", , "OPEN_INT", ".KWEB201120P73")</f>
        <v>N/A</v>
      </c>
      <c r="H401" t="str">
        <f>RTD("tos.rtd", , "BID", ".KWEB201120P73")</f>
        <v>N/A</v>
      </c>
      <c r="I401" t="str">
        <f>RTD("tos.rtd", , "ASK", ".KWEB201120P73")</f>
        <v>N/A</v>
      </c>
      <c r="J401" t="str">
        <f>RTD("tos.rtd", , "HIGH", ".KWEB201120P73")</f>
        <v>N/A</v>
      </c>
      <c r="K401" t="str">
        <f>RTD("tos.rtd", , "LOW", ".KWEB201120P73")</f>
        <v>N/A</v>
      </c>
      <c r="L401" t="str">
        <f>RTD("tos.rtd", , "OPEN", ".KWEB201120P73")</f>
        <v>N/A</v>
      </c>
      <c r="M401" t="str">
        <f>RTD("tos.rtd", , "DELTA", ".KWEB201120P73")</f>
        <v>N/A</v>
      </c>
      <c r="N401" t="str">
        <f>RTD("tos.rtd", , "GAMMA", ".KWEB201120P73")</f>
        <v>N/A</v>
      </c>
      <c r="O401" t="str">
        <f>RTD("tos.rtd", , "THETA", ".KWEB201120P73")</f>
        <v>N/A</v>
      </c>
      <c r="P401" t="str">
        <f>RTD("tos.rtd", , "VEGA", ".KWEB201120P73")</f>
        <v>N/A</v>
      </c>
      <c r="Q401" t="str">
        <f>RTD("tos.rtd", , "RHO", ".KWEB201120P73")</f>
        <v>N/A</v>
      </c>
      <c r="R401" t="str">
        <f>RTD("tos.rtd", , "INTRINSIC", ".KWEB201120P73")</f>
        <v>N/A</v>
      </c>
      <c r="S401" t="str">
        <f>RTD("tos.rtd", , "EXTRINSIC", ".KWEB201120P73")</f>
        <v>N/A</v>
      </c>
      <c r="T401" t="str">
        <f>RTD("tos.rtd", , "PROB_OF_EXPIRING", ".KWEB201120P73")</f>
        <v>N/A</v>
      </c>
      <c r="U401" t="str">
        <f>RTD("tos.rtd", , "PROB_OTM", ".KWEB201120P73")</f>
        <v>N/A</v>
      </c>
      <c r="V401" t="str">
        <f>RTD("tos.rtd", , "PROB_OF_TOUCHING", ".KWEB201120P73")</f>
        <v>N/A</v>
      </c>
      <c r="W401" t="str">
        <f>RTD("tos.rtd", , "STRIKE", ".KWEB201120P73")</f>
        <v>N/A</v>
      </c>
    </row>
    <row r="402" spans="1:23" x14ac:dyDescent="0.45">
      <c r="A402" t="s">
        <v>423</v>
      </c>
      <c r="B402" t="str">
        <f>RTD("tos.rtd", , "DESCRIPTION", ".KWEB201120C74")</f>
        <v>N/A</v>
      </c>
      <c r="C402" t="str">
        <f>RTD("tos.rtd", , "PUT_CALL_RATIO", ".KWEB201120C74")</f>
        <v>N/A</v>
      </c>
      <c r="D402" t="str">
        <f>RTD("tos.rtd", , "IMPL_VOL", ".KWEB201120C74")</f>
        <v>N/A</v>
      </c>
      <c r="E402" t="str">
        <f>RTD("tos.rtd", , "LAST", ".KWEB201120C74")</f>
        <v>N/A</v>
      </c>
      <c r="F402" t="str">
        <f>RTD("tos.rtd", , "VOLUME", ".KWEB201120C74")</f>
        <v>N/A</v>
      </c>
      <c r="G402" t="str">
        <f>RTD("tos.rtd", , "OPEN_INT", ".KWEB201120C74")</f>
        <v>N/A</v>
      </c>
      <c r="H402" t="str">
        <f>RTD("tos.rtd", , "BID", ".KWEB201120C74")</f>
        <v>N/A</v>
      </c>
      <c r="I402" t="str">
        <f>RTD("tos.rtd", , "ASK", ".KWEB201120C74")</f>
        <v>N/A</v>
      </c>
      <c r="J402" t="str">
        <f>RTD("tos.rtd", , "HIGH", ".KWEB201120C74")</f>
        <v>N/A</v>
      </c>
      <c r="K402" t="str">
        <f>RTD("tos.rtd", , "LOW", ".KWEB201120C74")</f>
        <v>N/A</v>
      </c>
      <c r="L402" t="str">
        <f>RTD("tos.rtd", , "OPEN", ".KWEB201120C74")</f>
        <v>N/A</v>
      </c>
      <c r="M402" t="str">
        <f>RTD("tos.rtd", , "DELTA", ".KWEB201120C74")</f>
        <v>N/A</v>
      </c>
      <c r="N402" t="str">
        <f>RTD("tos.rtd", , "GAMMA", ".KWEB201120C74")</f>
        <v>N/A</v>
      </c>
      <c r="O402" t="str">
        <f>RTD("tos.rtd", , "THETA", ".KWEB201120C74")</f>
        <v>N/A</v>
      </c>
      <c r="P402" t="str">
        <f>RTD("tos.rtd", , "VEGA", ".KWEB201120C74")</f>
        <v>N/A</v>
      </c>
      <c r="Q402" t="str">
        <f>RTD("tos.rtd", , "RHO", ".KWEB201120C74")</f>
        <v>N/A</v>
      </c>
      <c r="R402" t="str">
        <f>RTD("tos.rtd", , "INTRINSIC", ".KWEB201120C74")</f>
        <v>N/A</v>
      </c>
      <c r="S402" t="str">
        <f>RTD("tos.rtd", , "EXTRINSIC", ".KWEB201120C74")</f>
        <v>N/A</v>
      </c>
      <c r="T402" t="str">
        <f>RTD("tos.rtd", , "PROB_OF_EXPIRING", ".KWEB201120C74")</f>
        <v>N/A</v>
      </c>
      <c r="U402" t="str">
        <f>RTD("tos.rtd", , "PROB_OTM", ".KWEB201120C74")</f>
        <v>N/A</v>
      </c>
      <c r="V402" t="str">
        <f>RTD("tos.rtd", , "PROB_OF_TOUCHING", ".KWEB201120C74")</f>
        <v>N/A</v>
      </c>
      <c r="W402" t="str">
        <f>RTD("tos.rtd", , "STRIKE", ".KWEB201120C74")</f>
        <v>N/A</v>
      </c>
    </row>
    <row r="403" spans="1:23" x14ac:dyDescent="0.45">
      <c r="A403" t="s">
        <v>424</v>
      </c>
      <c r="B403" t="str">
        <f>RTD("tos.rtd", , "DESCRIPTION", ".KWEB201120P74")</f>
        <v>N/A</v>
      </c>
      <c r="C403" t="str">
        <f>RTD("tos.rtd", , "PUT_CALL_RATIO", ".KWEB201120P74")</f>
        <v>N/A</v>
      </c>
      <c r="D403" t="str">
        <f>RTD("tos.rtd", , "IMPL_VOL", ".KWEB201120P74")</f>
        <v>N/A</v>
      </c>
      <c r="E403">
        <f>RTD("tos.rtd", , "LAST", ".KWEB201120P74")</f>
        <v>1.53</v>
      </c>
      <c r="F403">
        <f>RTD("tos.rtd", , "VOLUME", ".KWEB201120P74")</f>
        <v>159</v>
      </c>
      <c r="G403">
        <f>RTD("tos.rtd", , "OPEN_INT", ".KWEB201120P74")</f>
        <v>106</v>
      </c>
      <c r="H403">
        <f>RTD("tos.rtd", , "BID", ".KWEB201120P74")</f>
        <v>1.45</v>
      </c>
      <c r="I403">
        <f>RTD("tos.rtd", , "ASK", ".KWEB201120P74")</f>
        <v>1.61</v>
      </c>
      <c r="J403">
        <f>RTD("tos.rtd", , "HIGH", ".KWEB201120P74")</f>
        <v>1.53</v>
      </c>
      <c r="K403">
        <f>RTD("tos.rtd", , "LOW", ".KWEB201120P74")</f>
        <v>1.01</v>
      </c>
      <c r="L403">
        <f>RTD("tos.rtd", , "OPEN", ".KWEB201120P74")</f>
        <v>1.3</v>
      </c>
      <c r="M403" t="str">
        <f>RTD("tos.rtd", , "DELTA", ".KWEB201120P74")</f>
        <v>N/A</v>
      </c>
      <c r="N403" t="str">
        <f>RTD("tos.rtd", , "GAMMA", ".KWEB201120P74")</f>
        <v>N/A</v>
      </c>
      <c r="O403" t="str">
        <f>RTD("tos.rtd", , "THETA", ".KWEB201120P74")</f>
        <v>N/A</v>
      </c>
      <c r="P403" t="str">
        <f>RTD("tos.rtd", , "VEGA", ".KWEB201120P74")</f>
        <v>N/A</v>
      </c>
      <c r="Q403" t="str">
        <f>RTD("tos.rtd", , "RHO", ".KWEB201120P74")</f>
        <v>N/A</v>
      </c>
      <c r="R403" t="str">
        <f>RTD("tos.rtd", , "INTRINSIC", ".KWEB201120P74")</f>
        <v>N/A</v>
      </c>
      <c r="S403" t="str">
        <f>RTD("tos.rtd", , "EXTRINSIC", ".KWEB201120P74")</f>
        <v>N/A</v>
      </c>
      <c r="T403" t="str">
        <f>RTD("tos.rtd", , "PROB_OF_EXPIRING", ".KWEB201120P74")</f>
        <v>N/A</v>
      </c>
      <c r="U403" t="str">
        <f>RTD("tos.rtd", , "PROB_OTM", ".KWEB201120P74")</f>
        <v>N/A</v>
      </c>
      <c r="V403" t="str">
        <f>RTD("tos.rtd", , "PROB_OF_TOUCHING", ".KWEB201120P74")</f>
        <v>N/A</v>
      </c>
      <c r="W403" t="str">
        <f>RTD("tos.rtd", , "STRIKE", ".KWEB201120P74")</f>
        <v>N/A</v>
      </c>
    </row>
    <row r="404" spans="1:23" x14ac:dyDescent="0.45">
      <c r="A404" t="s">
        <v>425</v>
      </c>
      <c r="B404" t="str">
        <f>RTD("tos.rtd", , "DESCRIPTION", "LQD")</f>
        <v>ISHARES TRUST IBOXX INV CP ETF</v>
      </c>
      <c r="C404">
        <f>RTD("tos.rtd", , "PUT_CALL_RATIO", "LQD")</f>
        <v>4.4740000000000002</v>
      </c>
      <c r="D404" t="str">
        <f>RTD("tos.rtd", , "IMPL_VOL", "LQD")</f>
        <v>10.97%</v>
      </c>
      <c r="E404">
        <f>RTD("tos.rtd", , "LAST", "LQD")</f>
        <v>135.6</v>
      </c>
      <c r="F404">
        <f>RTD("tos.rtd", , "VOLUME", "LQD")</f>
        <v>16891516</v>
      </c>
      <c r="G404">
        <f>RTD("tos.rtd", , "OPEN_INT", "LQD")</f>
        <v>0</v>
      </c>
      <c r="H404">
        <f>RTD("tos.rtd", , "BID", "LQD")</f>
        <v>134.56</v>
      </c>
      <c r="I404">
        <f>RTD("tos.rtd", , "ASK", "LQD")</f>
        <v>135.75</v>
      </c>
      <c r="J404">
        <f>RTD("tos.rtd", , "HIGH", "LQD")</f>
        <v>135.6</v>
      </c>
      <c r="K404">
        <f>RTD("tos.rtd", , "LOW", "LQD")</f>
        <v>135.07</v>
      </c>
      <c r="L404">
        <f>RTD("tos.rtd", , "OPEN", "LQD")</f>
        <v>135.18</v>
      </c>
      <c r="M404">
        <f>RTD("tos.rtd", , "DELTA", "LQD")</f>
        <v>1</v>
      </c>
      <c r="N404">
        <f>RTD("tos.rtd", , "GAMMA", "LQD")</f>
        <v>0</v>
      </c>
      <c r="O404">
        <f>RTD("tos.rtd", , "THETA", "LQD")</f>
        <v>0</v>
      </c>
      <c r="P404">
        <f>RTD("tos.rtd", , "VEGA", "LQD")</f>
        <v>0</v>
      </c>
      <c r="Q404">
        <f>RTD("tos.rtd", , "RHO", "LQD")</f>
        <v>0</v>
      </c>
      <c r="R404" t="str">
        <f>RTD("tos.rtd", , "INTRINSIC", "LQD")</f>
        <v>N/A</v>
      </c>
      <c r="S404" t="str">
        <f>RTD("tos.rtd", , "EXTRINSIC", "LQD")</f>
        <v>N/A</v>
      </c>
      <c r="T404" t="str">
        <f>RTD("tos.rtd", , "PROB_OF_EXPIRING", "LQD")</f>
        <v>N/A</v>
      </c>
      <c r="U404" t="str">
        <f>RTD("tos.rtd", , "PROB_OTM", "LQD")</f>
        <v>N/A</v>
      </c>
      <c r="V404" t="str">
        <f>RTD("tos.rtd", , "PROB_OF_TOUCHING", "LQD")</f>
        <v>N/A</v>
      </c>
      <c r="W404" t="str">
        <f>RTD("tos.rtd", , "STRIKE", "LQD")</f>
        <v>N/A</v>
      </c>
    </row>
    <row r="405" spans="1:23" x14ac:dyDescent="0.45">
      <c r="A405" t="s">
        <v>426</v>
      </c>
      <c r="B405" t="str">
        <f>RTD("tos.rtd", , "DESCRIPTION", ".LQD201120C134.5")</f>
        <v>N/A</v>
      </c>
      <c r="C405" t="str">
        <f>RTD("tos.rtd", , "PUT_CALL_RATIO", ".LQD201120C134.5")</f>
        <v>N/A</v>
      </c>
      <c r="D405" t="str">
        <f>RTD("tos.rtd", , "IMPL_VOL", ".LQD201120C134.5")</f>
        <v>N/A</v>
      </c>
      <c r="E405" t="str">
        <f>RTD("tos.rtd", , "LAST", ".LQD201120C134.5")</f>
        <v>N/A</v>
      </c>
      <c r="F405" t="str">
        <f>RTD("tos.rtd", , "VOLUME", ".LQD201120C134.5")</f>
        <v>N/A</v>
      </c>
      <c r="G405" t="str">
        <f>RTD("tos.rtd", , "OPEN_INT", ".LQD201120C134.5")</f>
        <v>N/A</v>
      </c>
      <c r="H405" t="str">
        <f>RTD("tos.rtd", , "BID", ".LQD201120C134.5")</f>
        <v>N/A</v>
      </c>
      <c r="I405" t="str">
        <f>RTD("tos.rtd", , "ASK", ".LQD201120C134.5")</f>
        <v>N/A</v>
      </c>
      <c r="J405" t="str">
        <f>RTD("tos.rtd", , "HIGH", ".LQD201120C134.5")</f>
        <v>N/A</v>
      </c>
      <c r="K405" t="str">
        <f>RTD("tos.rtd", , "LOW", ".LQD201120C134.5")</f>
        <v>N/A</v>
      </c>
      <c r="L405" t="str">
        <f>RTD("tos.rtd", , "OPEN", ".LQD201120C134.5")</f>
        <v>N/A</v>
      </c>
      <c r="M405" t="str">
        <f>RTD("tos.rtd", , "DELTA", ".LQD201120C134.5")</f>
        <v>N/A</v>
      </c>
      <c r="N405" t="str">
        <f>RTD("tos.rtd", , "GAMMA", ".LQD201120C134.5")</f>
        <v>N/A</v>
      </c>
      <c r="O405" t="str">
        <f>RTD("tos.rtd", , "THETA", ".LQD201120C134.5")</f>
        <v>N/A</v>
      </c>
      <c r="P405" t="str">
        <f>RTD("tos.rtd", , "VEGA", ".LQD201120C134.5")</f>
        <v>N/A</v>
      </c>
      <c r="Q405" t="str">
        <f>RTD("tos.rtd", , "RHO", ".LQD201120C134.5")</f>
        <v>N/A</v>
      </c>
      <c r="R405" t="str">
        <f>RTD("tos.rtd", , "INTRINSIC", ".LQD201120C134.5")</f>
        <v>N/A</v>
      </c>
      <c r="S405" t="str">
        <f>RTD("tos.rtd", , "EXTRINSIC", ".LQD201120C134.5")</f>
        <v>N/A</v>
      </c>
      <c r="T405" t="str">
        <f>RTD("tos.rtd", , "PROB_OF_EXPIRING", ".LQD201120C134.5")</f>
        <v>N/A</v>
      </c>
      <c r="U405" t="str">
        <f>RTD("tos.rtd", , "PROB_OTM", ".LQD201120C134.5")</f>
        <v>N/A</v>
      </c>
      <c r="V405" t="str">
        <f>RTD("tos.rtd", , "PROB_OF_TOUCHING", ".LQD201120C134.5")</f>
        <v>N/A</v>
      </c>
      <c r="W405" t="str">
        <f>RTD("tos.rtd", , "STRIKE", ".LQD201120C134.5")</f>
        <v>N/A</v>
      </c>
    </row>
    <row r="406" spans="1:23" x14ac:dyDescent="0.45">
      <c r="A406" t="s">
        <v>427</v>
      </c>
      <c r="B406" t="str">
        <f>RTD("tos.rtd", , "DESCRIPTION", ".LQD201120P134.5")</f>
        <v>N/A</v>
      </c>
      <c r="C406" t="str">
        <f>RTD("tos.rtd", , "PUT_CALL_RATIO", ".LQD201120P134.5")</f>
        <v>N/A</v>
      </c>
      <c r="D406" t="str">
        <f>RTD("tos.rtd", , "IMPL_VOL", ".LQD201120P134.5")</f>
        <v>N/A</v>
      </c>
      <c r="E406" t="str">
        <f>RTD("tos.rtd", , "LAST", ".LQD201120P134.5")</f>
        <v>N/A</v>
      </c>
      <c r="F406" t="str">
        <f>RTD("tos.rtd", , "VOLUME", ".LQD201120P134.5")</f>
        <v>N/A</v>
      </c>
      <c r="G406" t="str">
        <f>RTD("tos.rtd", , "OPEN_INT", ".LQD201120P134.5")</f>
        <v>N/A</v>
      </c>
      <c r="H406" t="str">
        <f>RTD("tos.rtd", , "BID", ".LQD201120P134.5")</f>
        <v>N/A</v>
      </c>
      <c r="I406" t="str">
        <f>RTD("tos.rtd", , "ASK", ".LQD201120P134.5")</f>
        <v>N/A</v>
      </c>
      <c r="J406" t="str">
        <f>RTD("tos.rtd", , "HIGH", ".LQD201120P134.5")</f>
        <v>N/A</v>
      </c>
      <c r="K406" t="str">
        <f>RTD("tos.rtd", , "LOW", ".LQD201120P134.5")</f>
        <v>N/A</v>
      </c>
      <c r="L406" t="str">
        <f>RTD("tos.rtd", , "OPEN", ".LQD201120P134.5")</f>
        <v>N/A</v>
      </c>
      <c r="M406" t="str">
        <f>RTD("tos.rtd", , "DELTA", ".LQD201120P134.5")</f>
        <v>N/A</v>
      </c>
      <c r="N406" t="str">
        <f>RTD("tos.rtd", , "GAMMA", ".LQD201120P134.5")</f>
        <v>N/A</v>
      </c>
      <c r="O406" t="str">
        <f>RTD("tos.rtd", , "THETA", ".LQD201120P134.5")</f>
        <v>N/A</v>
      </c>
      <c r="P406" t="str">
        <f>RTD("tos.rtd", , "VEGA", ".LQD201120P134.5")</f>
        <v>N/A</v>
      </c>
      <c r="Q406" t="str">
        <f>RTD("tos.rtd", , "RHO", ".LQD201120P134.5")</f>
        <v>N/A</v>
      </c>
      <c r="R406" t="str">
        <f>RTD("tos.rtd", , "INTRINSIC", ".LQD201120P134.5")</f>
        <v>N/A</v>
      </c>
      <c r="S406" t="str">
        <f>RTD("tos.rtd", , "EXTRINSIC", ".LQD201120P134.5")</f>
        <v>N/A</v>
      </c>
      <c r="T406" t="str">
        <f>RTD("tos.rtd", , "PROB_OF_EXPIRING", ".LQD201120P134.5")</f>
        <v>N/A</v>
      </c>
      <c r="U406" t="str">
        <f>RTD("tos.rtd", , "PROB_OTM", ".LQD201120P134.5")</f>
        <v>N/A</v>
      </c>
      <c r="V406" t="str">
        <f>RTD("tos.rtd", , "PROB_OF_TOUCHING", ".LQD201120P134.5")</f>
        <v>N/A</v>
      </c>
      <c r="W406" t="str">
        <f>RTD("tos.rtd", , "STRIKE", ".LQD201120P134.5")</f>
        <v>N/A</v>
      </c>
    </row>
    <row r="407" spans="1:23" x14ac:dyDescent="0.45">
      <c r="A407" t="s">
        <v>428</v>
      </c>
      <c r="B407" t="str">
        <f>RTD("tos.rtd", , "DESCRIPTION", ".LQD201120C135")</f>
        <v>N/A</v>
      </c>
      <c r="C407" t="str">
        <f>RTD("tos.rtd", , "PUT_CALL_RATIO", ".LQD201120C135")</f>
        <v>N/A</v>
      </c>
      <c r="D407" t="str">
        <f>RTD("tos.rtd", , "IMPL_VOL", ".LQD201120C135")</f>
        <v>N/A</v>
      </c>
      <c r="E407" t="str">
        <f>RTD("tos.rtd", , "LAST", ".LQD201120C135")</f>
        <v>N/A</v>
      </c>
      <c r="F407" t="str">
        <f>RTD("tos.rtd", , "VOLUME", ".LQD201120C135")</f>
        <v>N/A</v>
      </c>
      <c r="G407" t="str">
        <f>RTD("tos.rtd", , "OPEN_INT", ".LQD201120C135")</f>
        <v>N/A</v>
      </c>
      <c r="H407" t="str">
        <f>RTD("tos.rtd", , "BID", ".LQD201120C135")</f>
        <v>N/A</v>
      </c>
      <c r="I407" t="str">
        <f>RTD("tos.rtd", , "ASK", ".LQD201120C135")</f>
        <v>N/A</v>
      </c>
      <c r="J407" t="str">
        <f>RTD("tos.rtd", , "HIGH", ".LQD201120C135")</f>
        <v>N/A</v>
      </c>
      <c r="K407" t="str">
        <f>RTD("tos.rtd", , "LOW", ".LQD201120C135")</f>
        <v>N/A</v>
      </c>
      <c r="L407" t="str">
        <f>RTD("tos.rtd", , "OPEN", ".LQD201120C135")</f>
        <v>N/A</v>
      </c>
      <c r="M407" t="str">
        <f>RTD("tos.rtd", , "DELTA", ".LQD201120C135")</f>
        <v>N/A</v>
      </c>
      <c r="N407" t="str">
        <f>RTD("tos.rtd", , "GAMMA", ".LQD201120C135")</f>
        <v>N/A</v>
      </c>
      <c r="O407" t="str">
        <f>RTD("tos.rtd", , "THETA", ".LQD201120C135")</f>
        <v>N/A</v>
      </c>
      <c r="P407" t="str">
        <f>RTD("tos.rtd", , "VEGA", ".LQD201120C135")</f>
        <v>N/A</v>
      </c>
      <c r="Q407" t="str">
        <f>RTD("tos.rtd", , "RHO", ".LQD201120C135")</f>
        <v>N/A</v>
      </c>
      <c r="R407" t="str">
        <f>RTD("tos.rtd", , "INTRINSIC", ".LQD201120C135")</f>
        <v>N/A</v>
      </c>
      <c r="S407" t="str">
        <f>RTD("tos.rtd", , "EXTRINSIC", ".LQD201120C135")</f>
        <v>N/A</v>
      </c>
      <c r="T407" t="str">
        <f>RTD("tos.rtd", , "PROB_OF_EXPIRING", ".LQD201120C135")</f>
        <v>N/A</v>
      </c>
      <c r="U407" t="str">
        <f>RTD("tos.rtd", , "PROB_OTM", ".LQD201120C135")</f>
        <v>N/A</v>
      </c>
      <c r="V407" t="str">
        <f>RTD("tos.rtd", , "PROB_OF_TOUCHING", ".LQD201120C135")</f>
        <v>N/A</v>
      </c>
      <c r="W407" t="str">
        <f>RTD("tos.rtd", , "STRIKE", ".LQD201120C135")</f>
        <v>N/A</v>
      </c>
    </row>
    <row r="408" spans="1:23" x14ac:dyDescent="0.45">
      <c r="A408" t="s">
        <v>429</v>
      </c>
      <c r="B408" t="str">
        <f>RTD("tos.rtd", , "DESCRIPTION", ".LQD201120P135")</f>
        <v>N/A</v>
      </c>
      <c r="C408" t="str">
        <f>RTD("tos.rtd", , "PUT_CALL_RATIO", ".LQD201120P135")</f>
        <v>N/A</v>
      </c>
      <c r="D408" t="str">
        <f>RTD("tos.rtd", , "IMPL_VOL", ".LQD201120P135")</f>
        <v>N/A</v>
      </c>
      <c r="E408">
        <f>RTD("tos.rtd", , "LAST", ".LQD201120P135")</f>
        <v>0.42</v>
      </c>
      <c r="F408">
        <f>RTD("tos.rtd", , "VOLUME", ".LQD201120P135")</f>
        <v>1113</v>
      </c>
      <c r="G408">
        <f>RTD("tos.rtd", , "OPEN_INT", ".LQD201120P135")</f>
        <v>8800</v>
      </c>
      <c r="H408">
        <f>RTD("tos.rtd", , "BID", ".LQD201120P135")</f>
        <v>0.37</v>
      </c>
      <c r="I408">
        <f>RTD("tos.rtd", , "ASK", ".LQD201120P135")</f>
        <v>0.49</v>
      </c>
      <c r="J408">
        <f>RTD("tos.rtd", , "HIGH", ".LQD201120P135")</f>
        <v>0.47</v>
      </c>
      <c r="K408">
        <f>RTD("tos.rtd", , "LOW", ".LQD201120P135")</f>
        <v>0.35</v>
      </c>
      <c r="L408">
        <f>RTD("tos.rtd", , "OPEN", ".LQD201120P135")</f>
        <v>0.46</v>
      </c>
      <c r="M408" t="str">
        <f>RTD("tos.rtd", , "DELTA", ".LQD201120P135")</f>
        <v>N/A</v>
      </c>
      <c r="N408" t="str">
        <f>RTD("tos.rtd", , "GAMMA", ".LQD201120P135")</f>
        <v>N/A</v>
      </c>
      <c r="O408" t="str">
        <f>RTD("tos.rtd", , "THETA", ".LQD201120P135")</f>
        <v>N/A</v>
      </c>
      <c r="P408" t="str">
        <f>RTD("tos.rtd", , "VEGA", ".LQD201120P135")</f>
        <v>N/A</v>
      </c>
      <c r="Q408" t="str">
        <f>RTD("tos.rtd", , "RHO", ".LQD201120P135")</f>
        <v>N/A</v>
      </c>
      <c r="R408" t="str">
        <f>RTD("tos.rtd", , "INTRINSIC", ".LQD201120P135")</f>
        <v>N/A</v>
      </c>
      <c r="S408" t="str">
        <f>RTD("tos.rtd", , "EXTRINSIC", ".LQD201120P135")</f>
        <v>N/A</v>
      </c>
      <c r="T408" t="str">
        <f>RTD("tos.rtd", , "PROB_OF_EXPIRING", ".LQD201120P135")</f>
        <v>N/A</v>
      </c>
      <c r="U408" t="str">
        <f>RTD("tos.rtd", , "PROB_OTM", ".LQD201120P135")</f>
        <v>N/A</v>
      </c>
      <c r="V408" t="str">
        <f>RTD("tos.rtd", , "PROB_OF_TOUCHING", ".LQD201120P135")</f>
        <v>N/A</v>
      </c>
      <c r="W408" t="str">
        <f>RTD("tos.rtd", , "STRIKE", ".LQD201120P135")</f>
        <v>N/A</v>
      </c>
    </row>
    <row r="409" spans="1:23" x14ac:dyDescent="0.45">
      <c r="A409" t="s">
        <v>430</v>
      </c>
      <c r="B409" t="str">
        <f>RTD("tos.rtd", , "DESCRIPTION", ".LQD201120C135.5")</f>
        <v>N/A</v>
      </c>
      <c r="C409" t="str">
        <f>RTD("tos.rtd", , "PUT_CALL_RATIO", ".LQD201120C135.5")</f>
        <v>N/A</v>
      </c>
      <c r="D409" t="str">
        <f>RTD("tos.rtd", , "IMPL_VOL", ".LQD201120C135.5")</f>
        <v>N/A</v>
      </c>
      <c r="E409">
        <f>RTD("tos.rtd", , "LAST", ".LQD201120C135.5")</f>
        <v>0.6</v>
      </c>
      <c r="F409">
        <f>RTD("tos.rtd", , "VOLUME", ".LQD201120C135.5")</f>
        <v>315</v>
      </c>
      <c r="G409">
        <f>RTD("tos.rtd", , "OPEN_INT", ".LQD201120C135.5")</f>
        <v>8559</v>
      </c>
      <c r="H409">
        <f>RTD("tos.rtd", , "BID", ".LQD201120C135.5")</f>
        <v>0.59</v>
      </c>
      <c r="I409">
        <f>RTD("tos.rtd", , "ASK", ".LQD201120C135.5")</f>
        <v>0.71</v>
      </c>
      <c r="J409">
        <f>RTD("tos.rtd", , "HIGH", ".LQD201120C135.5")</f>
        <v>0.6</v>
      </c>
      <c r="K409">
        <f>RTD("tos.rtd", , "LOW", ".LQD201120C135.5")</f>
        <v>0.36</v>
      </c>
      <c r="L409">
        <f>RTD("tos.rtd", , "OPEN", ".LQD201120C135.5")</f>
        <v>0.38</v>
      </c>
      <c r="M409" t="str">
        <f>RTD("tos.rtd", , "DELTA", ".LQD201120C135.5")</f>
        <v>N/A</v>
      </c>
      <c r="N409" t="str">
        <f>RTD("tos.rtd", , "GAMMA", ".LQD201120C135.5")</f>
        <v>N/A</v>
      </c>
      <c r="O409" t="str">
        <f>RTD("tos.rtd", , "THETA", ".LQD201120C135.5")</f>
        <v>N/A</v>
      </c>
      <c r="P409" t="str">
        <f>RTD("tos.rtd", , "VEGA", ".LQD201120C135.5")</f>
        <v>N/A</v>
      </c>
      <c r="Q409" t="str">
        <f>RTD("tos.rtd", , "RHO", ".LQD201120C135.5")</f>
        <v>N/A</v>
      </c>
      <c r="R409" t="str">
        <f>RTD("tos.rtd", , "INTRINSIC", ".LQD201120C135.5")</f>
        <v>N/A</v>
      </c>
      <c r="S409" t="str">
        <f>RTD("tos.rtd", , "EXTRINSIC", ".LQD201120C135.5")</f>
        <v>N/A</v>
      </c>
      <c r="T409" t="str">
        <f>RTD("tos.rtd", , "PROB_OF_EXPIRING", ".LQD201120C135.5")</f>
        <v>N/A</v>
      </c>
      <c r="U409" t="str">
        <f>RTD("tos.rtd", , "PROB_OTM", ".LQD201120C135.5")</f>
        <v>N/A</v>
      </c>
      <c r="V409" t="str">
        <f>RTD("tos.rtd", , "PROB_OF_TOUCHING", ".LQD201120C135.5")</f>
        <v>N/A</v>
      </c>
      <c r="W409" t="str">
        <f>RTD("tos.rtd", , "STRIKE", ".LQD201120C135.5")</f>
        <v>N/A</v>
      </c>
    </row>
    <row r="410" spans="1:23" x14ac:dyDescent="0.45">
      <c r="A410" t="s">
        <v>431</v>
      </c>
      <c r="B410" t="str">
        <f>RTD("tos.rtd", , "DESCRIPTION", ".LQD201120P135.5")</f>
        <v>N/A</v>
      </c>
      <c r="C410" t="str">
        <f>RTD("tos.rtd", , "PUT_CALL_RATIO", ".LQD201120P135.5")</f>
        <v>N/A</v>
      </c>
      <c r="D410" t="str">
        <f>RTD("tos.rtd", , "IMPL_VOL", ".LQD201120P135.5")</f>
        <v>N/A</v>
      </c>
      <c r="E410" t="str">
        <f>RTD("tos.rtd", , "LAST", ".LQD201120P135.5")</f>
        <v>N/A</v>
      </c>
      <c r="F410" t="str">
        <f>RTD("tos.rtd", , "VOLUME", ".LQD201120P135.5")</f>
        <v>N/A</v>
      </c>
      <c r="G410" t="str">
        <f>RTD("tos.rtd", , "OPEN_INT", ".LQD201120P135.5")</f>
        <v>N/A</v>
      </c>
      <c r="H410" t="str">
        <f>RTD("tos.rtd", , "BID", ".LQD201120P135.5")</f>
        <v>N/A</v>
      </c>
      <c r="I410" t="str">
        <f>RTD("tos.rtd", , "ASK", ".LQD201120P135.5")</f>
        <v>N/A</v>
      </c>
      <c r="J410" t="str">
        <f>RTD("tos.rtd", , "HIGH", ".LQD201120P135.5")</f>
        <v>N/A</v>
      </c>
      <c r="K410" t="str">
        <f>RTD("tos.rtd", , "LOW", ".LQD201120P135.5")</f>
        <v>N/A</v>
      </c>
      <c r="L410" t="str">
        <f>RTD("tos.rtd", , "OPEN", ".LQD201120P135.5")</f>
        <v>N/A</v>
      </c>
      <c r="M410" t="str">
        <f>RTD("tos.rtd", , "DELTA", ".LQD201120P135.5")</f>
        <v>N/A</v>
      </c>
      <c r="N410" t="str">
        <f>RTD("tos.rtd", , "GAMMA", ".LQD201120P135.5")</f>
        <v>N/A</v>
      </c>
      <c r="O410" t="str">
        <f>RTD("tos.rtd", , "THETA", ".LQD201120P135.5")</f>
        <v>N/A</v>
      </c>
      <c r="P410" t="str">
        <f>RTD("tos.rtd", , "VEGA", ".LQD201120P135.5")</f>
        <v>N/A</v>
      </c>
      <c r="Q410" t="str">
        <f>RTD("tos.rtd", , "RHO", ".LQD201120P135.5")</f>
        <v>N/A</v>
      </c>
      <c r="R410" t="str">
        <f>RTD("tos.rtd", , "INTRINSIC", ".LQD201120P135.5")</f>
        <v>N/A</v>
      </c>
      <c r="S410" t="str">
        <f>RTD("tos.rtd", , "EXTRINSIC", ".LQD201120P135.5")</f>
        <v>N/A</v>
      </c>
      <c r="T410" t="str">
        <f>RTD("tos.rtd", , "PROB_OF_EXPIRING", ".LQD201120P135.5")</f>
        <v>N/A</v>
      </c>
      <c r="U410" t="str">
        <f>RTD("tos.rtd", , "PROB_OTM", ".LQD201120P135.5")</f>
        <v>N/A</v>
      </c>
      <c r="V410" t="str">
        <f>RTD("tos.rtd", , "PROB_OF_TOUCHING", ".LQD201120P135.5")</f>
        <v>N/A</v>
      </c>
      <c r="W410" t="str">
        <f>RTD("tos.rtd", , "STRIKE", ".LQD201120P135.5")</f>
        <v>N/A</v>
      </c>
    </row>
    <row r="411" spans="1:23" x14ac:dyDescent="0.45">
      <c r="A411" t="s">
        <v>432</v>
      </c>
      <c r="B411" t="str">
        <f>RTD("tos.rtd", , "DESCRIPTION", "MCHI")</f>
        <v>N/A</v>
      </c>
      <c r="C411">
        <f>RTD("tos.rtd", , "PUT_CALL_RATIO", "MCHI")</f>
        <v>6.6000000000000003E-2</v>
      </c>
      <c r="D411" t="str">
        <f>RTD("tos.rtd", , "IMPL_VOL", "MCHI")</f>
        <v>29.06%</v>
      </c>
      <c r="E411">
        <f>RTD("tos.rtd", , "LAST", "MCHI")</f>
        <v>79.739999999999995</v>
      </c>
      <c r="F411">
        <f>RTD("tos.rtd", , "VOLUME", "MCHI")</f>
        <v>4288718</v>
      </c>
      <c r="G411">
        <f>RTD("tos.rtd", , "OPEN_INT", "MCHI")</f>
        <v>0</v>
      </c>
      <c r="H411">
        <f>RTD("tos.rtd", , "BID", "MCHI")</f>
        <v>79.8</v>
      </c>
      <c r="I411">
        <f>RTD("tos.rtd", , "ASK", "MCHI")</f>
        <v>80.489999999999995</v>
      </c>
      <c r="J411">
        <f>RTD("tos.rtd", , "HIGH", "MCHI")</f>
        <v>81.12</v>
      </c>
      <c r="K411">
        <f>RTD("tos.rtd", , "LOW", "MCHI")</f>
        <v>79.540000000000006</v>
      </c>
      <c r="L411">
        <f>RTD("tos.rtd", , "OPEN", "MCHI")</f>
        <v>80.69</v>
      </c>
      <c r="M411">
        <f>RTD("tos.rtd", , "DELTA", "MCHI")</f>
        <v>1</v>
      </c>
      <c r="N411">
        <f>RTD("tos.rtd", , "GAMMA", "MCHI")</f>
        <v>0</v>
      </c>
      <c r="O411">
        <f>RTD("tos.rtd", , "THETA", "MCHI")</f>
        <v>0</v>
      </c>
      <c r="P411">
        <f>RTD("tos.rtd", , "VEGA", "MCHI")</f>
        <v>0</v>
      </c>
      <c r="Q411">
        <f>RTD("tos.rtd", , "RHO", "MCHI")</f>
        <v>0</v>
      </c>
      <c r="R411" t="str">
        <f>RTD("tos.rtd", , "INTRINSIC", "MCHI")</f>
        <v>N/A</v>
      </c>
      <c r="S411" t="str">
        <f>RTD("tos.rtd", , "EXTRINSIC", "MCHI")</f>
        <v>N/A</v>
      </c>
      <c r="T411" t="str">
        <f>RTD("tos.rtd", , "PROB_OF_EXPIRING", "MCHI")</f>
        <v>N/A</v>
      </c>
      <c r="U411" t="str">
        <f>RTD("tos.rtd", , "PROB_OTM", "MCHI")</f>
        <v>N/A</v>
      </c>
      <c r="V411" t="str">
        <f>RTD("tos.rtd", , "PROB_OF_TOUCHING", "MCHI")</f>
        <v>N/A</v>
      </c>
      <c r="W411" t="str">
        <f>RTD("tos.rtd", , "STRIKE", "MCHI")</f>
        <v>N/A</v>
      </c>
    </row>
    <row r="412" spans="1:23" x14ac:dyDescent="0.45">
      <c r="A412" t="s">
        <v>433</v>
      </c>
      <c r="B412" t="str">
        <f>RTD("tos.rtd", , "DESCRIPTION", ".MCHI201120C80")</f>
        <v>N/A</v>
      </c>
      <c r="C412" t="str">
        <f>RTD("tos.rtd", , "PUT_CALL_RATIO", ".MCHI201120C80")</f>
        <v>N/A</v>
      </c>
      <c r="D412" t="str">
        <f>RTD("tos.rtd", , "IMPL_VOL", ".MCHI201120C80")</f>
        <v>N/A</v>
      </c>
      <c r="E412">
        <f>RTD("tos.rtd", , "LAST", ".MCHI201120C80")</f>
        <v>0</v>
      </c>
      <c r="F412" t="str">
        <f>RTD("tos.rtd", , "VOLUME", ".MCHI201120C80")</f>
        <v>N/A</v>
      </c>
      <c r="G412" t="str">
        <f>RTD("tos.rtd", , "OPEN_INT", ".MCHI201120C80")</f>
        <v>N/A</v>
      </c>
      <c r="H412">
        <f>RTD("tos.rtd", , "BID", ".MCHI201120C80")</f>
        <v>1.05</v>
      </c>
      <c r="I412">
        <f>RTD("tos.rtd", , "ASK", ".MCHI201120C80")</f>
        <v>1.2</v>
      </c>
      <c r="J412" t="str">
        <f>RTD("tos.rtd", , "HIGH", ".MCHI201120C80")</f>
        <v>N/A</v>
      </c>
      <c r="K412" t="str">
        <f>RTD("tos.rtd", , "LOW", ".MCHI201120C80")</f>
        <v>N/A</v>
      </c>
      <c r="L412" t="str">
        <f>RTD("tos.rtd", , "OPEN", ".MCHI201120C80")</f>
        <v>N/A</v>
      </c>
      <c r="M412" t="str">
        <f>RTD("tos.rtd", , "DELTA", ".MCHI201120C80")</f>
        <v>N/A</v>
      </c>
      <c r="N412" t="str">
        <f>RTD("tos.rtd", , "GAMMA", ".MCHI201120C80")</f>
        <v>N/A</v>
      </c>
      <c r="O412" t="str">
        <f>RTD("tos.rtd", , "THETA", ".MCHI201120C80")</f>
        <v>N/A</v>
      </c>
      <c r="P412" t="str">
        <f>RTD("tos.rtd", , "VEGA", ".MCHI201120C80")</f>
        <v>N/A</v>
      </c>
      <c r="Q412" t="str">
        <f>RTD("tos.rtd", , "RHO", ".MCHI201120C80")</f>
        <v>N/A</v>
      </c>
      <c r="R412" t="str">
        <f>RTD("tos.rtd", , "INTRINSIC", ".MCHI201120C80")</f>
        <v>N/A</v>
      </c>
      <c r="S412" t="str">
        <f>RTD("tos.rtd", , "EXTRINSIC", ".MCHI201120C80")</f>
        <v>N/A</v>
      </c>
      <c r="T412" t="str">
        <f>RTD("tos.rtd", , "PROB_OF_EXPIRING", ".MCHI201120C80")</f>
        <v>N/A</v>
      </c>
      <c r="U412" t="str">
        <f>RTD("tos.rtd", , "PROB_OTM", ".MCHI201120C80")</f>
        <v>N/A</v>
      </c>
      <c r="V412" t="str">
        <f>RTD("tos.rtd", , "PROB_OF_TOUCHING", ".MCHI201120C80")</f>
        <v>N/A</v>
      </c>
      <c r="W412" t="str">
        <f>RTD("tos.rtd", , "STRIKE", ".MCHI201120C80")</f>
        <v>N/A</v>
      </c>
    </row>
    <row r="413" spans="1:23" x14ac:dyDescent="0.45">
      <c r="A413" t="s">
        <v>434</v>
      </c>
      <c r="B413" t="str">
        <f>RTD("tos.rtd", , "DESCRIPTION", ".MCHI201120P80")</f>
        <v>N/A</v>
      </c>
      <c r="C413" t="str">
        <f>RTD("tos.rtd", , "PUT_CALL_RATIO", ".MCHI201120P80")</f>
        <v>N/A</v>
      </c>
      <c r="D413" t="str">
        <f>RTD("tos.rtd", , "IMPL_VOL", ".MCHI201120P80")</f>
        <v>N/A</v>
      </c>
      <c r="E413">
        <f>RTD("tos.rtd", , "LAST", ".MCHI201120P80")</f>
        <v>1.3</v>
      </c>
      <c r="F413">
        <f>RTD("tos.rtd", , "VOLUME", ".MCHI201120P80")</f>
        <v>9</v>
      </c>
      <c r="G413">
        <f>RTD("tos.rtd", , "OPEN_INT", ".MCHI201120P80")</f>
        <v>126</v>
      </c>
      <c r="H413">
        <f>RTD("tos.rtd", , "BID", ".MCHI201120P80")</f>
        <v>1.3</v>
      </c>
      <c r="I413">
        <f>RTD("tos.rtd", , "ASK", ".MCHI201120P80")</f>
        <v>1.55</v>
      </c>
      <c r="J413">
        <f>RTD("tos.rtd", , "HIGH", ".MCHI201120P80")</f>
        <v>1.33</v>
      </c>
      <c r="K413">
        <f>RTD("tos.rtd", , "LOW", ".MCHI201120P80")</f>
        <v>0.9</v>
      </c>
      <c r="L413">
        <f>RTD("tos.rtd", , "OPEN", ".MCHI201120P80")</f>
        <v>0.95</v>
      </c>
      <c r="M413" t="str">
        <f>RTD("tos.rtd", , "DELTA", ".MCHI201120P80")</f>
        <v>N/A</v>
      </c>
      <c r="N413" t="str">
        <f>RTD("tos.rtd", , "GAMMA", ".MCHI201120P80")</f>
        <v>N/A</v>
      </c>
      <c r="O413" t="str">
        <f>RTD("tos.rtd", , "THETA", ".MCHI201120P80")</f>
        <v>N/A</v>
      </c>
      <c r="P413" t="str">
        <f>RTD("tos.rtd", , "VEGA", ".MCHI201120P80")</f>
        <v>N/A</v>
      </c>
      <c r="Q413" t="str">
        <f>RTD("tos.rtd", , "RHO", ".MCHI201120P80")</f>
        <v>N/A</v>
      </c>
      <c r="R413" t="str">
        <f>RTD("tos.rtd", , "INTRINSIC", ".MCHI201120P80")</f>
        <v>N/A</v>
      </c>
      <c r="S413" t="str">
        <f>RTD("tos.rtd", , "EXTRINSIC", ".MCHI201120P80")</f>
        <v>N/A</v>
      </c>
      <c r="T413" t="str">
        <f>RTD("tos.rtd", , "PROB_OF_EXPIRING", ".MCHI201120P80")</f>
        <v>N/A</v>
      </c>
      <c r="U413" t="str">
        <f>RTD("tos.rtd", , "PROB_OTM", ".MCHI201120P80")</f>
        <v>N/A</v>
      </c>
      <c r="V413" t="str">
        <f>RTD("tos.rtd", , "PROB_OF_TOUCHING", ".MCHI201120P80")</f>
        <v>N/A</v>
      </c>
      <c r="W413" t="str">
        <f>RTD("tos.rtd", , "STRIKE", ".MCHI201120P80")</f>
        <v>N/A</v>
      </c>
    </row>
    <row r="414" spans="1:23" x14ac:dyDescent="0.45">
      <c r="A414" t="s">
        <v>435</v>
      </c>
      <c r="B414" t="str">
        <f>RTD("tos.rtd", , "DESCRIPTION", "MDY")</f>
        <v>N/A</v>
      </c>
      <c r="C414">
        <f>RTD("tos.rtd", , "PUT_CALL_RATIO", "MDY")</f>
        <v>0.16800000000000001</v>
      </c>
      <c r="D414" t="str">
        <f>RTD("tos.rtd", , "IMPL_VOL", "MDY")</f>
        <v>28.60%</v>
      </c>
      <c r="E414">
        <f>RTD("tos.rtd", , "LAST", "MDY")</f>
        <v>377.47</v>
      </c>
      <c r="F414">
        <f>RTD("tos.rtd", , "VOLUME", "MDY")</f>
        <v>1139698</v>
      </c>
      <c r="G414">
        <f>RTD("tos.rtd", , "OPEN_INT", "MDY")</f>
        <v>0</v>
      </c>
      <c r="H414">
        <f>RTD("tos.rtd", , "BID", "MDY")</f>
        <v>350</v>
      </c>
      <c r="I414">
        <f>RTD("tos.rtd", , "ASK", "MDY")</f>
        <v>376.97</v>
      </c>
      <c r="J414">
        <f>RTD("tos.rtd", , "HIGH", "MDY")</f>
        <v>382.1</v>
      </c>
      <c r="K414">
        <f>RTD("tos.rtd", , "LOW", "MDY")</f>
        <v>374.72</v>
      </c>
      <c r="L414">
        <f>RTD("tos.rtd", , "OPEN", "MDY")</f>
        <v>382.1</v>
      </c>
      <c r="M414">
        <f>RTD("tos.rtd", , "DELTA", "MDY")</f>
        <v>1</v>
      </c>
      <c r="N414">
        <f>RTD("tos.rtd", , "GAMMA", "MDY")</f>
        <v>0</v>
      </c>
      <c r="O414">
        <f>RTD("tos.rtd", , "THETA", "MDY")</f>
        <v>0</v>
      </c>
      <c r="P414">
        <f>RTD("tos.rtd", , "VEGA", "MDY")</f>
        <v>0</v>
      </c>
      <c r="Q414">
        <f>RTD("tos.rtd", , "RHO", "MDY")</f>
        <v>0</v>
      </c>
      <c r="R414" t="str">
        <f>RTD("tos.rtd", , "INTRINSIC", "MDY")</f>
        <v>N/A</v>
      </c>
      <c r="S414" t="str">
        <f>RTD("tos.rtd", , "EXTRINSIC", "MDY")</f>
        <v>N/A</v>
      </c>
      <c r="T414" t="str">
        <f>RTD("tos.rtd", , "PROB_OF_EXPIRING", "MDY")</f>
        <v>N/A</v>
      </c>
      <c r="U414" t="str">
        <f>RTD("tos.rtd", , "PROB_OTM", "MDY")</f>
        <v>N/A</v>
      </c>
      <c r="V414" t="str">
        <f>RTD("tos.rtd", , "PROB_OF_TOUCHING", "MDY")</f>
        <v>N/A</v>
      </c>
      <c r="W414" t="str">
        <f>RTD("tos.rtd", , "STRIKE", "MDY")</f>
        <v>N/A</v>
      </c>
    </row>
    <row r="415" spans="1:23" x14ac:dyDescent="0.45">
      <c r="A415" t="s">
        <v>436</v>
      </c>
      <c r="B415" t="str">
        <f>RTD("tos.rtd", , "DESCRIPTION", ".MDY201120C380")</f>
        <v>N/A</v>
      </c>
      <c r="C415" t="str">
        <f>RTD("tos.rtd", , "PUT_CALL_RATIO", ".MDY201120C380")</f>
        <v>N/A</v>
      </c>
      <c r="D415" t="str">
        <f>RTD("tos.rtd", , "IMPL_VOL", ".MDY201120C380")</f>
        <v>N/A</v>
      </c>
      <c r="E415" t="str">
        <f>RTD("tos.rtd", , "LAST", ".MDY201120C380")</f>
        <v>N/A</v>
      </c>
      <c r="F415" t="str">
        <f>RTD("tos.rtd", , "VOLUME", ".MDY201120C380")</f>
        <v>N/A</v>
      </c>
      <c r="G415" t="str">
        <f>RTD("tos.rtd", , "OPEN_INT", ".MDY201120C380")</f>
        <v>N/A</v>
      </c>
      <c r="H415" t="str">
        <f>RTD("tos.rtd", , "BID", ".MDY201120C380")</f>
        <v>N/A</v>
      </c>
      <c r="I415" t="str">
        <f>RTD("tos.rtd", , "ASK", ".MDY201120C380")</f>
        <v>N/A</v>
      </c>
      <c r="J415" t="str">
        <f>RTD("tos.rtd", , "HIGH", ".MDY201120C380")</f>
        <v>N/A</v>
      </c>
      <c r="K415" t="str">
        <f>RTD("tos.rtd", , "LOW", ".MDY201120C380")</f>
        <v>N/A</v>
      </c>
      <c r="L415" t="str">
        <f>RTD("tos.rtd", , "OPEN", ".MDY201120C380")</f>
        <v>N/A</v>
      </c>
      <c r="M415" t="str">
        <f>RTD("tos.rtd", , "DELTA", ".MDY201120C380")</f>
        <v>N/A</v>
      </c>
      <c r="N415" t="str">
        <f>RTD("tos.rtd", , "GAMMA", ".MDY201120C380")</f>
        <v>N/A</v>
      </c>
      <c r="O415" t="str">
        <f>RTD("tos.rtd", , "THETA", ".MDY201120C380")</f>
        <v>N/A</v>
      </c>
      <c r="P415" t="str">
        <f>RTD("tos.rtd", , "VEGA", ".MDY201120C380")</f>
        <v>N/A</v>
      </c>
      <c r="Q415" t="str">
        <f>RTD("tos.rtd", , "RHO", ".MDY201120C380")</f>
        <v>N/A</v>
      </c>
      <c r="R415" t="str">
        <f>RTD("tos.rtd", , "INTRINSIC", ".MDY201120C380")</f>
        <v>N/A</v>
      </c>
      <c r="S415" t="str">
        <f>RTD("tos.rtd", , "EXTRINSIC", ".MDY201120C380")</f>
        <v>N/A</v>
      </c>
      <c r="T415" t="str">
        <f>RTD("tos.rtd", , "PROB_OF_EXPIRING", ".MDY201120C380")</f>
        <v>N/A</v>
      </c>
      <c r="U415" t="str">
        <f>RTD("tos.rtd", , "PROB_OTM", ".MDY201120C380")</f>
        <v>N/A</v>
      </c>
      <c r="V415" t="str">
        <f>RTD("tos.rtd", , "PROB_OF_TOUCHING", ".MDY201120C380")</f>
        <v>N/A</v>
      </c>
      <c r="W415" t="str">
        <f>RTD("tos.rtd", , "STRIKE", ".MDY201120C380")</f>
        <v>N/A</v>
      </c>
    </row>
    <row r="416" spans="1:23" x14ac:dyDescent="0.45">
      <c r="A416" t="s">
        <v>437</v>
      </c>
      <c r="B416" t="str">
        <f>RTD("tos.rtd", , "DESCRIPTION", ".MDY201120P380")</f>
        <v>N/A</v>
      </c>
      <c r="C416" t="str">
        <f>RTD("tos.rtd", , "PUT_CALL_RATIO", ".MDY201120P380")</f>
        <v>N/A</v>
      </c>
      <c r="D416" t="str">
        <f>RTD("tos.rtd", , "IMPL_VOL", ".MDY201120P380")</f>
        <v>N/A</v>
      </c>
      <c r="E416" t="str">
        <f>RTD("tos.rtd", , "LAST", ".MDY201120P380")</f>
        <v>N/A</v>
      </c>
      <c r="F416" t="str">
        <f>RTD("tos.rtd", , "VOLUME", ".MDY201120P380")</f>
        <v>N/A</v>
      </c>
      <c r="G416" t="str">
        <f>RTD("tos.rtd", , "OPEN_INT", ".MDY201120P380")</f>
        <v>N/A</v>
      </c>
      <c r="H416" t="str">
        <f>RTD("tos.rtd", , "BID", ".MDY201120P380")</f>
        <v>N/A</v>
      </c>
      <c r="I416" t="str">
        <f>RTD("tos.rtd", , "ASK", ".MDY201120P380")</f>
        <v>N/A</v>
      </c>
      <c r="J416" t="str">
        <f>RTD("tos.rtd", , "HIGH", ".MDY201120P380")</f>
        <v>N/A</v>
      </c>
      <c r="K416" t="str">
        <f>RTD("tos.rtd", , "LOW", ".MDY201120P380")</f>
        <v>N/A</v>
      </c>
      <c r="L416" t="str">
        <f>RTD("tos.rtd", , "OPEN", ".MDY201120P380")</f>
        <v>N/A</v>
      </c>
      <c r="M416" t="str">
        <f>RTD("tos.rtd", , "DELTA", ".MDY201120P380")</f>
        <v>N/A</v>
      </c>
      <c r="N416" t="str">
        <f>RTD("tos.rtd", , "GAMMA", ".MDY201120P380")</f>
        <v>N/A</v>
      </c>
      <c r="O416" t="str">
        <f>RTD("tos.rtd", , "THETA", ".MDY201120P380")</f>
        <v>N/A</v>
      </c>
      <c r="P416" t="str">
        <f>RTD("tos.rtd", , "VEGA", ".MDY201120P380")</f>
        <v>N/A</v>
      </c>
      <c r="Q416" t="str">
        <f>RTD("tos.rtd", , "RHO", ".MDY201120P380")</f>
        <v>N/A</v>
      </c>
      <c r="R416" t="str">
        <f>RTD("tos.rtd", , "INTRINSIC", ".MDY201120P380")</f>
        <v>N/A</v>
      </c>
      <c r="S416" t="str">
        <f>RTD("tos.rtd", , "EXTRINSIC", ".MDY201120P380")</f>
        <v>N/A</v>
      </c>
      <c r="T416" t="str">
        <f>RTD("tos.rtd", , "PROB_OF_EXPIRING", ".MDY201120P380")</f>
        <v>N/A</v>
      </c>
      <c r="U416" t="str">
        <f>RTD("tos.rtd", , "PROB_OTM", ".MDY201120P380")</f>
        <v>N/A</v>
      </c>
      <c r="V416" t="str">
        <f>RTD("tos.rtd", , "PROB_OF_TOUCHING", ".MDY201120P380")</f>
        <v>N/A</v>
      </c>
      <c r="W416" t="str">
        <f>RTD("tos.rtd", , "STRIKE", ".MDY201120P380")</f>
        <v>N/A</v>
      </c>
    </row>
    <row r="417" spans="1:23" x14ac:dyDescent="0.45">
      <c r="A417" t="s">
        <v>438</v>
      </c>
      <c r="B417" t="str">
        <f>RTD("tos.rtd", , "DESCRIPTION", ".MDY201120C382.5")</f>
        <v>N/A</v>
      </c>
      <c r="C417" t="str">
        <f>RTD("tos.rtd", , "PUT_CALL_RATIO", ".MDY201120C382.5")</f>
        <v>N/A</v>
      </c>
      <c r="D417" t="str">
        <f>RTD("tos.rtd", , "IMPL_VOL", ".MDY201120C382.5")</f>
        <v>N/A</v>
      </c>
      <c r="E417" t="str">
        <f>RTD("tos.rtd", , "LAST", ".MDY201120C382.5")</f>
        <v>N/A</v>
      </c>
      <c r="F417" t="str">
        <f>RTD("tos.rtd", , "VOLUME", ".MDY201120C382.5")</f>
        <v>N/A</v>
      </c>
      <c r="G417" t="str">
        <f>RTD("tos.rtd", , "OPEN_INT", ".MDY201120C382.5")</f>
        <v>N/A</v>
      </c>
      <c r="H417" t="str">
        <f>RTD("tos.rtd", , "BID", ".MDY201120C382.5")</f>
        <v>N/A</v>
      </c>
      <c r="I417" t="str">
        <f>RTD("tos.rtd", , "ASK", ".MDY201120C382.5")</f>
        <v>N/A</v>
      </c>
      <c r="J417" t="str">
        <f>RTD("tos.rtd", , "HIGH", ".MDY201120C382.5")</f>
        <v>N/A</v>
      </c>
      <c r="K417" t="str">
        <f>RTD("tos.rtd", , "LOW", ".MDY201120C382.5")</f>
        <v>N/A</v>
      </c>
      <c r="L417" t="str">
        <f>RTD("tos.rtd", , "OPEN", ".MDY201120C382.5")</f>
        <v>N/A</v>
      </c>
      <c r="M417" t="str">
        <f>RTD("tos.rtd", , "DELTA", ".MDY201120C382.5")</f>
        <v>N/A</v>
      </c>
      <c r="N417" t="str">
        <f>RTD("tos.rtd", , "GAMMA", ".MDY201120C382.5")</f>
        <v>N/A</v>
      </c>
      <c r="O417" t="str">
        <f>RTD("tos.rtd", , "THETA", ".MDY201120C382.5")</f>
        <v>N/A</v>
      </c>
      <c r="P417" t="str">
        <f>RTD("tos.rtd", , "VEGA", ".MDY201120C382.5")</f>
        <v>N/A</v>
      </c>
      <c r="Q417" t="str">
        <f>RTD("tos.rtd", , "RHO", ".MDY201120C382.5")</f>
        <v>N/A</v>
      </c>
      <c r="R417" t="str">
        <f>RTD("tos.rtd", , "INTRINSIC", ".MDY201120C382.5")</f>
        <v>N/A</v>
      </c>
      <c r="S417" t="str">
        <f>RTD("tos.rtd", , "EXTRINSIC", ".MDY201120C382.5")</f>
        <v>N/A</v>
      </c>
      <c r="T417" t="str">
        <f>RTD("tos.rtd", , "PROB_OF_EXPIRING", ".MDY201120C382.5")</f>
        <v>N/A</v>
      </c>
      <c r="U417" t="str">
        <f>RTD("tos.rtd", , "PROB_OTM", ".MDY201120C382.5")</f>
        <v>N/A</v>
      </c>
      <c r="V417" t="str">
        <f>RTD("tos.rtd", , "PROB_OF_TOUCHING", ".MDY201120C382.5")</f>
        <v>N/A</v>
      </c>
      <c r="W417" t="str">
        <f>RTD("tos.rtd", , "STRIKE", ".MDY201120C382.5")</f>
        <v>N/A</v>
      </c>
    </row>
    <row r="418" spans="1:23" x14ac:dyDescent="0.45">
      <c r="A418" t="s">
        <v>439</v>
      </c>
      <c r="B418" t="str">
        <f>RTD("tos.rtd", , "DESCRIPTION", ".MDY201120P382.5")</f>
        <v>N/A</v>
      </c>
      <c r="C418" t="str">
        <f>RTD("tos.rtd", , "PUT_CALL_RATIO", ".MDY201120P382.5")</f>
        <v>N/A</v>
      </c>
      <c r="D418" t="str">
        <f>RTD("tos.rtd", , "IMPL_VOL", ".MDY201120P382.5")</f>
        <v>N/A</v>
      </c>
      <c r="E418" t="str">
        <f>RTD("tos.rtd", , "LAST", ".MDY201120P382.5")</f>
        <v>N/A</v>
      </c>
      <c r="F418" t="str">
        <f>RTD("tos.rtd", , "VOLUME", ".MDY201120P382.5")</f>
        <v>N/A</v>
      </c>
      <c r="G418" t="str">
        <f>RTD("tos.rtd", , "OPEN_INT", ".MDY201120P382.5")</f>
        <v>N/A</v>
      </c>
      <c r="H418" t="str">
        <f>RTD("tos.rtd", , "BID", ".MDY201120P382.5")</f>
        <v>N/A</v>
      </c>
      <c r="I418" t="str">
        <f>RTD("tos.rtd", , "ASK", ".MDY201120P382.5")</f>
        <v>N/A</v>
      </c>
      <c r="J418" t="str">
        <f>RTD("tos.rtd", , "HIGH", ".MDY201120P382.5")</f>
        <v>N/A</v>
      </c>
      <c r="K418" t="str">
        <f>RTD("tos.rtd", , "LOW", ".MDY201120P382.5")</f>
        <v>N/A</v>
      </c>
      <c r="L418" t="str">
        <f>RTD("tos.rtd", , "OPEN", ".MDY201120P382.5")</f>
        <v>N/A</v>
      </c>
      <c r="M418" t="str">
        <f>RTD("tos.rtd", , "DELTA", ".MDY201120P382.5")</f>
        <v>N/A</v>
      </c>
      <c r="N418" t="str">
        <f>RTD("tos.rtd", , "GAMMA", ".MDY201120P382.5")</f>
        <v>N/A</v>
      </c>
      <c r="O418" t="str">
        <f>RTD("tos.rtd", , "THETA", ".MDY201120P382.5")</f>
        <v>N/A</v>
      </c>
      <c r="P418" t="str">
        <f>RTD("tos.rtd", , "VEGA", ".MDY201120P382.5")</f>
        <v>N/A</v>
      </c>
      <c r="Q418" t="str">
        <f>RTD("tos.rtd", , "RHO", ".MDY201120P382.5")</f>
        <v>N/A</v>
      </c>
      <c r="R418" t="str">
        <f>RTD("tos.rtd", , "INTRINSIC", ".MDY201120P382.5")</f>
        <v>N/A</v>
      </c>
      <c r="S418" t="str">
        <f>RTD("tos.rtd", , "EXTRINSIC", ".MDY201120P382.5")</f>
        <v>N/A</v>
      </c>
      <c r="T418" t="str">
        <f>RTD("tos.rtd", , "PROB_OF_EXPIRING", ".MDY201120P382.5")</f>
        <v>N/A</v>
      </c>
      <c r="U418" t="str">
        <f>RTD("tos.rtd", , "PROB_OTM", ".MDY201120P382.5")</f>
        <v>N/A</v>
      </c>
      <c r="V418" t="str">
        <f>RTD("tos.rtd", , "PROB_OF_TOUCHING", ".MDY201120P382.5")</f>
        <v>N/A</v>
      </c>
      <c r="W418" t="str">
        <f>RTD("tos.rtd", , "STRIKE", ".MDY201120P382.5")</f>
        <v>N/A</v>
      </c>
    </row>
    <row r="419" spans="1:23" x14ac:dyDescent="0.45">
      <c r="A419" t="s">
        <v>440</v>
      </c>
      <c r="B419" t="str">
        <f>RTD("tos.rtd", , "DESCRIPTION", ".MDY201120C385")</f>
        <v>N/A</v>
      </c>
      <c r="C419" t="str">
        <f>RTD("tos.rtd", , "PUT_CALL_RATIO", ".MDY201120C385")</f>
        <v>N/A</v>
      </c>
      <c r="D419" t="str">
        <f>RTD("tos.rtd", , "IMPL_VOL", ".MDY201120C385")</f>
        <v>N/A</v>
      </c>
      <c r="E419" t="str">
        <f>RTD("tos.rtd", , "LAST", ".MDY201120C385")</f>
        <v>N/A</v>
      </c>
      <c r="F419" t="str">
        <f>RTD("tos.rtd", , "VOLUME", ".MDY201120C385")</f>
        <v>N/A</v>
      </c>
      <c r="G419" t="str">
        <f>RTD("tos.rtd", , "OPEN_INT", ".MDY201120C385")</f>
        <v>N/A</v>
      </c>
      <c r="H419" t="str">
        <f>RTD("tos.rtd", , "BID", ".MDY201120C385")</f>
        <v>N/A</v>
      </c>
      <c r="I419" t="str">
        <f>RTD("tos.rtd", , "ASK", ".MDY201120C385")</f>
        <v>N/A</v>
      </c>
      <c r="J419" t="str">
        <f>RTD("tos.rtd", , "HIGH", ".MDY201120C385")</f>
        <v>N/A</v>
      </c>
      <c r="K419" t="str">
        <f>RTD("tos.rtd", , "LOW", ".MDY201120C385")</f>
        <v>N/A</v>
      </c>
      <c r="L419" t="str">
        <f>RTD("tos.rtd", , "OPEN", ".MDY201120C385")</f>
        <v>N/A</v>
      </c>
      <c r="M419" t="str">
        <f>RTD("tos.rtd", , "DELTA", ".MDY201120C385")</f>
        <v>N/A</v>
      </c>
      <c r="N419" t="str">
        <f>RTD("tos.rtd", , "GAMMA", ".MDY201120C385")</f>
        <v>N/A</v>
      </c>
      <c r="O419" t="str">
        <f>RTD("tos.rtd", , "THETA", ".MDY201120C385")</f>
        <v>N/A</v>
      </c>
      <c r="P419" t="str">
        <f>RTD("tos.rtd", , "VEGA", ".MDY201120C385")</f>
        <v>N/A</v>
      </c>
      <c r="Q419" t="str">
        <f>RTD("tos.rtd", , "RHO", ".MDY201120C385")</f>
        <v>N/A</v>
      </c>
      <c r="R419" t="str">
        <f>RTD("tos.rtd", , "INTRINSIC", ".MDY201120C385")</f>
        <v>N/A</v>
      </c>
      <c r="S419" t="str">
        <f>RTD("tos.rtd", , "EXTRINSIC", ".MDY201120C385")</f>
        <v>N/A</v>
      </c>
      <c r="T419" t="str">
        <f>RTD("tos.rtd", , "PROB_OF_EXPIRING", ".MDY201120C385")</f>
        <v>N/A</v>
      </c>
      <c r="U419" t="str">
        <f>RTD("tos.rtd", , "PROB_OTM", ".MDY201120C385")</f>
        <v>N/A</v>
      </c>
      <c r="V419" t="str">
        <f>RTD("tos.rtd", , "PROB_OF_TOUCHING", ".MDY201120C385")</f>
        <v>N/A</v>
      </c>
      <c r="W419" t="str">
        <f>RTD("tos.rtd", , "STRIKE", ".MDY201120C385")</f>
        <v>N/A</v>
      </c>
    </row>
    <row r="420" spans="1:23" x14ac:dyDescent="0.45">
      <c r="A420" t="s">
        <v>441</v>
      </c>
      <c r="B420" t="str">
        <f>RTD("tos.rtd", , "DESCRIPTION", ".MDY201120P385")</f>
        <v>N/A</v>
      </c>
      <c r="C420" t="str">
        <f>RTD("tos.rtd", , "PUT_CALL_RATIO", ".MDY201120P385")</f>
        <v>N/A</v>
      </c>
      <c r="D420" t="str">
        <f>RTD("tos.rtd", , "IMPL_VOL", ".MDY201120P385")</f>
        <v>N/A</v>
      </c>
      <c r="E420">
        <f>RTD("tos.rtd", , "LAST", ".MDY201120P385")</f>
        <v>0</v>
      </c>
      <c r="F420">
        <f>RTD("tos.rtd", , "VOLUME", ".MDY201120P385")</f>
        <v>0</v>
      </c>
      <c r="G420">
        <f>RTD("tos.rtd", , "OPEN_INT", ".MDY201120P385")</f>
        <v>0</v>
      </c>
      <c r="H420">
        <f>RTD("tos.rtd", , "BID", ".MDY201120P385")</f>
        <v>8.6999999999999993</v>
      </c>
      <c r="I420">
        <f>RTD("tos.rtd", , "ASK", ".MDY201120P385")</f>
        <v>12.4</v>
      </c>
      <c r="J420">
        <f>RTD("tos.rtd", , "HIGH", ".MDY201120P385")</f>
        <v>0</v>
      </c>
      <c r="K420">
        <f>RTD("tos.rtd", , "LOW", ".MDY201120P385")</f>
        <v>0</v>
      </c>
      <c r="L420">
        <f>RTD("tos.rtd", , "OPEN", ".MDY201120P385")</f>
        <v>0</v>
      </c>
      <c r="M420" t="str">
        <f>RTD("tos.rtd", , "DELTA", ".MDY201120P385")</f>
        <v>N/A</v>
      </c>
      <c r="N420" t="str">
        <f>RTD("tos.rtd", , "GAMMA", ".MDY201120P385")</f>
        <v>N/A</v>
      </c>
      <c r="O420" t="str">
        <f>RTD("tos.rtd", , "THETA", ".MDY201120P385")</f>
        <v>N/A</v>
      </c>
      <c r="P420" t="str">
        <f>RTD("tos.rtd", , "VEGA", ".MDY201120P385")</f>
        <v>N/A</v>
      </c>
      <c r="Q420" t="str">
        <f>RTD("tos.rtd", , "RHO", ".MDY201120P385")</f>
        <v>N/A</v>
      </c>
      <c r="R420" t="str">
        <f>RTD("tos.rtd", , "INTRINSIC", ".MDY201120P385")</f>
        <v>N/A</v>
      </c>
      <c r="S420" t="str">
        <f>RTD("tos.rtd", , "EXTRINSIC", ".MDY201120P385")</f>
        <v>N/A</v>
      </c>
      <c r="T420" t="str">
        <f>RTD("tos.rtd", , "PROB_OF_EXPIRING", ".MDY201120P385")</f>
        <v>N/A</v>
      </c>
      <c r="U420" t="str">
        <f>RTD("tos.rtd", , "PROB_OTM", ".MDY201120P385")</f>
        <v>N/A</v>
      </c>
      <c r="V420" t="str">
        <f>RTD("tos.rtd", , "PROB_OF_TOUCHING", ".MDY201120P385")</f>
        <v>N/A</v>
      </c>
      <c r="W420" t="str">
        <f>RTD("tos.rtd", , "STRIKE", ".MDY201120P385")</f>
        <v>N/A</v>
      </c>
    </row>
    <row r="421" spans="1:23" x14ac:dyDescent="0.45">
      <c r="A421" t="s">
        <v>442</v>
      </c>
      <c r="B421" t="str">
        <f>RTD("tos.rtd", , "DESCRIPTION", ".MDY201120C387.5")</f>
        <v>N/A</v>
      </c>
      <c r="C421" t="str">
        <f>RTD("tos.rtd", , "PUT_CALL_RATIO", ".MDY201120C387.5")</f>
        <v>N/A</v>
      </c>
      <c r="D421" t="str">
        <f>RTD("tos.rtd", , "IMPL_VOL", ".MDY201120C387.5")</f>
        <v>N/A</v>
      </c>
      <c r="E421" t="str">
        <f>RTD("tos.rtd", , "LAST", ".MDY201120C387.5")</f>
        <v>N/A</v>
      </c>
      <c r="F421" t="str">
        <f>RTD("tos.rtd", , "VOLUME", ".MDY201120C387.5")</f>
        <v>N/A</v>
      </c>
      <c r="G421" t="str">
        <f>RTD("tos.rtd", , "OPEN_INT", ".MDY201120C387.5")</f>
        <v>N/A</v>
      </c>
      <c r="H421" t="str">
        <f>RTD("tos.rtd", , "BID", ".MDY201120C387.5")</f>
        <v>N/A</v>
      </c>
      <c r="I421" t="str">
        <f>RTD("tos.rtd", , "ASK", ".MDY201120C387.5")</f>
        <v>N/A</v>
      </c>
      <c r="J421" t="str">
        <f>RTD("tos.rtd", , "HIGH", ".MDY201120C387.5")</f>
        <v>N/A</v>
      </c>
      <c r="K421" t="str">
        <f>RTD("tos.rtd", , "LOW", ".MDY201120C387.5")</f>
        <v>N/A</v>
      </c>
      <c r="L421" t="str">
        <f>RTD("tos.rtd", , "OPEN", ".MDY201120C387.5")</f>
        <v>N/A</v>
      </c>
      <c r="M421" t="str">
        <f>RTD("tos.rtd", , "DELTA", ".MDY201120C387.5")</f>
        <v>N/A</v>
      </c>
      <c r="N421" t="str">
        <f>RTD("tos.rtd", , "GAMMA", ".MDY201120C387.5")</f>
        <v>N/A</v>
      </c>
      <c r="O421" t="str">
        <f>RTD("tos.rtd", , "THETA", ".MDY201120C387.5")</f>
        <v>N/A</v>
      </c>
      <c r="P421" t="str">
        <f>RTD("tos.rtd", , "VEGA", ".MDY201120C387.5")</f>
        <v>N/A</v>
      </c>
      <c r="Q421" t="str">
        <f>RTD("tos.rtd", , "RHO", ".MDY201120C387.5")</f>
        <v>N/A</v>
      </c>
      <c r="R421" t="str">
        <f>RTD("tos.rtd", , "INTRINSIC", ".MDY201120C387.5")</f>
        <v>N/A</v>
      </c>
      <c r="S421" t="str">
        <f>RTD("tos.rtd", , "EXTRINSIC", ".MDY201120C387.5")</f>
        <v>N/A</v>
      </c>
      <c r="T421" t="str">
        <f>RTD("tos.rtd", , "PROB_OF_EXPIRING", ".MDY201120C387.5")</f>
        <v>N/A</v>
      </c>
      <c r="U421" t="str">
        <f>RTD("tos.rtd", , "PROB_OTM", ".MDY201120C387.5")</f>
        <v>N/A</v>
      </c>
      <c r="V421" t="str">
        <f>RTD("tos.rtd", , "PROB_OF_TOUCHING", ".MDY201120C387.5")</f>
        <v>N/A</v>
      </c>
      <c r="W421" t="str">
        <f>RTD("tos.rtd", , "STRIKE", ".MDY201120C387.5")</f>
        <v>N/A</v>
      </c>
    </row>
    <row r="422" spans="1:23" x14ac:dyDescent="0.45">
      <c r="A422" t="s">
        <v>443</v>
      </c>
      <c r="B422" t="str">
        <f>RTD("tos.rtd", , "DESCRIPTION", ".MDY201120P387.5")</f>
        <v>N/A</v>
      </c>
      <c r="C422" t="str">
        <f>RTD("tos.rtd", , "PUT_CALL_RATIO", ".MDY201120P387.5")</f>
        <v>N/A</v>
      </c>
      <c r="D422" t="str">
        <f>RTD("tos.rtd", , "IMPL_VOL", ".MDY201120P387.5")</f>
        <v>N/A</v>
      </c>
      <c r="E422" t="str">
        <f>RTD("tos.rtd", , "LAST", ".MDY201120P387.5")</f>
        <v>N/A</v>
      </c>
      <c r="F422" t="str">
        <f>RTD("tos.rtd", , "VOLUME", ".MDY201120P387.5")</f>
        <v>N/A</v>
      </c>
      <c r="G422" t="str">
        <f>RTD("tos.rtd", , "OPEN_INT", ".MDY201120P387.5")</f>
        <v>N/A</v>
      </c>
      <c r="H422" t="str">
        <f>RTD("tos.rtd", , "BID", ".MDY201120P387.5")</f>
        <v>N/A</v>
      </c>
      <c r="I422" t="str">
        <f>RTD("tos.rtd", , "ASK", ".MDY201120P387.5")</f>
        <v>N/A</v>
      </c>
      <c r="J422" t="str">
        <f>RTD("tos.rtd", , "HIGH", ".MDY201120P387.5")</f>
        <v>N/A</v>
      </c>
      <c r="K422" t="str">
        <f>RTD("tos.rtd", , "LOW", ".MDY201120P387.5")</f>
        <v>N/A</v>
      </c>
      <c r="L422" t="str">
        <f>RTD("tos.rtd", , "OPEN", ".MDY201120P387.5")</f>
        <v>N/A</v>
      </c>
      <c r="M422" t="str">
        <f>RTD("tos.rtd", , "DELTA", ".MDY201120P387.5")</f>
        <v>N/A</v>
      </c>
      <c r="N422" t="str">
        <f>RTD("tos.rtd", , "GAMMA", ".MDY201120P387.5")</f>
        <v>N/A</v>
      </c>
      <c r="O422" t="str">
        <f>RTD("tos.rtd", , "THETA", ".MDY201120P387.5")</f>
        <v>N/A</v>
      </c>
      <c r="P422" t="str">
        <f>RTD("tos.rtd", , "VEGA", ".MDY201120P387.5")</f>
        <v>N/A</v>
      </c>
      <c r="Q422" t="str">
        <f>RTD("tos.rtd", , "RHO", ".MDY201120P387.5")</f>
        <v>N/A</v>
      </c>
      <c r="R422" t="str">
        <f>RTD("tos.rtd", , "INTRINSIC", ".MDY201120P387.5")</f>
        <v>N/A</v>
      </c>
      <c r="S422" t="str">
        <f>RTD("tos.rtd", , "EXTRINSIC", ".MDY201120P387.5")</f>
        <v>N/A</v>
      </c>
      <c r="T422" t="str">
        <f>RTD("tos.rtd", , "PROB_OF_EXPIRING", ".MDY201120P387.5")</f>
        <v>N/A</v>
      </c>
      <c r="U422" t="str">
        <f>RTD("tos.rtd", , "PROB_OTM", ".MDY201120P387.5")</f>
        <v>N/A</v>
      </c>
      <c r="V422" t="str">
        <f>RTD("tos.rtd", , "PROB_OF_TOUCHING", ".MDY201120P387.5")</f>
        <v>N/A</v>
      </c>
      <c r="W422" t="str">
        <f>RTD("tos.rtd", , "STRIKE", ".MDY201120P387.5")</f>
        <v>N/A</v>
      </c>
    </row>
    <row r="423" spans="1:23" x14ac:dyDescent="0.45">
      <c r="A423" t="s">
        <v>444</v>
      </c>
      <c r="B423" t="str">
        <f>RTD("tos.rtd", , "DESCRIPTION", "MJ")</f>
        <v>N/A</v>
      </c>
      <c r="C423">
        <f>RTD("tos.rtd", , "PUT_CALL_RATIO", "MJ")</f>
        <v>0.16600000000000001</v>
      </c>
      <c r="D423" t="str">
        <f>RTD("tos.rtd", , "IMPL_VOL", "MJ")</f>
        <v>67.04%</v>
      </c>
      <c r="E423">
        <f>RTD("tos.rtd", , "LAST", "MJ")</f>
        <v>12.8</v>
      </c>
      <c r="F423">
        <f>RTD("tos.rtd", , "VOLUME", "MJ")</f>
        <v>1503609</v>
      </c>
      <c r="G423">
        <f>RTD("tos.rtd", , "OPEN_INT", "MJ")</f>
        <v>0</v>
      </c>
      <c r="H423">
        <f>RTD("tos.rtd", , "BID", "MJ")</f>
        <v>12.72</v>
      </c>
      <c r="I423">
        <f>RTD("tos.rtd", , "ASK", "MJ")</f>
        <v>12.85</v>
      </c>
      <c r="J423">
        <f>RTD("tos.rtd", , "HIGH", "MJ")</f>
        <v>13.1999</v>
      </c>
      <c r="K423">
        <f>RTD("tos.rtd", , "LOW", "MJ")</f>
        <v>12.71</v>
      </c>
      <c r="L423">
        <f>RTD("tos.rtd", , "OPEN", "MJ")</f>
        <v>12.98</v>
      </c>
      <c r="M423">
        <f>RTD("tos.rtd", , "DELTA", "MJ")</f>
        <v>1</v>
      </c>
      <c r="N423">
        <f>RTD("tos.rtd", , "GAMMA", "MJ")</f>
        <v>0</v>
      </c>
      <c r="O423">
        <f>RTD("tos.rtd", , "THETA", "MJ")</f>
        <v>0</v>
      </c>
      <c r="P423">
        <f>RTD("tos.rtd", , "VEGA", "MJ")</f>
        <v>0</v>
      </c>
      <c r="Q423">
        <f>RTD("tos.rtd", , "RHO", "MJ")</f>
        <v>0</v>
      </c>
      <c r="R423" t="str">
        <f>RTD("tos.rtd", , "INTRINSIC", "MJ")</f>
        <v>N/A</v>
      </c>
      <c r="S423" t="str">
        <f>RTD("tos.rtd", , "EXTRINSIC", "MJ")</f>
        <v>N/A</v>
      </c>
      <c r="T423" t="str">
        <f>RTD("tos.rtd", , "PROB_OF_EXPIRING", "MJ")</f>
        <v>N/A</v>
      </c>
      <c r="U423" t="str">
        <f>RTD("tos.rtd", , "PROB_OTM", "MJ")</f>
        <v>N/A</v>
      </c>
      <c r="V423" t="str">
        <f>RTD("tos.rtd", , "PROB_OF_TOUCHING", "MJ")</f>
        <v>N/A</v>
      </c>
      <c r="W423" t="str">
        <f>RTD("tos.rtd", , "STRIKE", "MJ")</f>
        <v>N/A</v>
      </c>
    </row>
    <row r="424" spans="1:23" x14ac:dyDescent="0.45">
      <c r="A424" t="s">
        <v>445</v>
      </c>
      <c r="B424" t="str">
        <f>RTD("tos.rtd", , "DESCRIPTION", ".MJ201120C13")</f>
        <v>N/A</v>
      </c>
      <c r="C424" t="str">
        <f>RTD("tos.rtd", , "PUT_CALL_RATIO", ".MJ201120C13")</f>
        <v>N/A</v>
      </c>
      <c r="D424" t="str">
        <f>RTD("tos.rtd", , "IMPL_VOL", ".MJ201120C13")</f>
        <v>N/A</v>
      </c>
      <c r="E424">
        <f>RTD("tos.rtd", , "LAST", ".MJ201120C13")</f>
        <v>0.37</v>
      </c>
      <c r="F424">
        <f>RTD("tos.rtd", , "VOLUME", ".MJ201120C13")</f>
        <v>222</v>
      </c>
      <c r="G424">
        <f>RTD("tos.rtd", , "OPEN_INT", ".MJ201120C13")</f>
        <v>8413</v>
      </c>
      <c r="H424">
        <f>RTD("tos.rtd", , "BID", ".MJ201120C13")</f>
        <v>0.35</v>
      </c>
      <c r="I424">
        <f>RTD("tos.rtd", , "ASK", ".MJ201120C13")</f>
        <v>0.4</v>
      </c>
      <c r="J424">
        <f>RTD("tos.rtd", , "HIGH", ".MJ201120C13")</f>
        <v>0.62</v>
      </c>
      <c r="K424">
        <f>RTD("tos.rtd", , "LOW", ".MJ201120C13")</f>
        <v>0.37</v>
      </c>
      <c r="L424">
        <f>RTD("tos.rtd", , "OPEN", ".MJ201120C13")</f>
        <v>0.41</v>
      </c>
      <c r="M424" t="str">
        <f>RTD("tos.rtd", , "DELTA", ".MJ201120C13")</f>
        <v>N/A</v>
      </c>
      <c r="N424" t="str">
        <f>RTD("tos.rtd", , "GAMMA", ".MJ201120C13")</f>
        <v>N/A</v>
      </c>
      <c r="O424" t="str">
        <f>RTD("tos.rtd", , "THETA", ".MJ201120C13")</f>
        <v>N/A</v>
      </c>
      <c r="P424" t="str">
        <f>RTD("tos.rtd", , "VEGA", ".MJ201120C13")</f>
        <v>N/A</v>
      </c>
      <c r="Q424" t="str">
        <f>RTD("tos.rtd", , "RHO", ".MJ201120C13")</f>
        <v>N/A</v>
      </c>
      <c r="R424" t="str">
        <f>RTD("tos.rtd", , "INTRINSIC", ".MJ201120C13")</f>
        <v>N/A</v>
      </c>
      <c r="S424" t="str">
        <f>RTD("tos.rtd", , "EXTRINSIC", ".MJ201120C13")</f>
        <v>N/A</v>
      </c>
      <c r="T424" t="str">
        <f>RTD("tos.rtd", , "PROB_OF_EXPIRING", ".MJ201120C13")</f>
        <v>N/A</v>
      </c>
      <c r="U424" t="str">
        <f>RTD("tos.rtd", , "PROB_OTM", ".MJ201120C13")</f>
        <v>N/A</v>
      </c>
      <c r="V424" t="str">
        <f>RTD("tos.rtd", , "PROB_OF_TOUCHING", ".MJ201120C13")</f>
        <v>N/A</v>
      </c>
      <c r="W424" t="str">
        <f>RTD("tos.rtd", , "STRIKE", ".MJ201120C13")</f>
        <v>N/A</v>
      </c>
    </row>
    <row r="425" spans="1:23" x14ac:dyDescent="0.45">
      <c r="A425" t="s">
        <v>446</v>
      </c>
      <c r="B425" t="str">
        <f>RTD("tos.rtd", , "DESCRIPTION", ".MJ201120P13")</f>
        <v>N/A</v>
      </c>
      <c r="C425" t="str">
        <f>RTD("tos.rtd", , "PUT_CALL_RATIO", ".MJ201120P13")</f>
        <v>N/A</v>
      </c>
      <c r="D425" t="str">
        <f>RTD("tos.rtd", , "IMPL_VOL", ".MJ201120P13")</f>
        <v>N/A</v>
      </c>
      <c r="E425">
        <f>RTD("tos.rtd", , "LAST", ".MJ201120P13")</f>
        <v>0.6</v>
      </c>
      <c r="F425">
        <f>RTD("tos.rtd", , "VOLUME", ".MJ201120P13")</f>
        <v>66</v>
      </c>
      <c r="G425">
        <f>RTD("tos.rtd", , "OPEN_INT", ".MJ201120P13")</f>
        <v>653</v>
      </c>
      <c r="H425">
        <f>RTD("tos.rtd", , "BID", ".MJ201120P13")</f>
        <v>0.6</v>
      </c>
      <c r="I425">
        <f>RTD("tos.rtd", , "ASK", ".MJ201120P13")</f>
        <v>0.65</v>
      </c>
      <c r="J425">
        <f>RTD("tos.rtd", , "HIGH", ".MJ201120P13")</f>
        <v>0.6</v>
      </c>
      <c r="K425">
        <f>RTD("tos.rtd", , "LOW", ".MJ201120P13")</f>
        <v>0.43</v>
      </c>
      <c r="L425">
        <f>RTD("tos.rtd", , "OPEN", ".MJ201120P13")</f>
        <v>0.55000000000000004</v>
      </c>
      <c r="M425" t="str">
        <f>RTD("tos.rtd", , "DELTA", ".MJ201120P13")</f>
        <v>N/A</v>
      </c>
      <c r="N425" t="str">
        <f>RTD("tos.rtd", , "GAMMA", ".MJ201120P13")</f>
        <v>N/A</v>
      </c>
      <c r="O425" t="str">
        <f>RTD("tos.rtd", , "THETA", ".MJ201120P13")</f>
        <v>N/A</v>
      </c>
      <c r="P425" t="str">
        <f>RTD("tos.rtd", , "VEGA", ".MJ201120P13")</f>
        <v>N/A</v>
      </c>
      <c r="Q425" t="str">
        <f>RTD("tos.rtd", , "RHO", ".MJ201120P13")</f>
        <v>N/A</v>
      </c>
      <c r="R425" t="str">
        <f>RTD("tos.rtd", , "INTRINSIC", ".MJ201120P13")</f>
        <v>N/A</v>
      </c>
      <c r="S425" t="str">
        <f>RTD("tos.rtd", , "EXTRINSIC", ".MJ201120P13")</f>
        <v>N/A</v>
      </c>
      <c r="T425" t="str">
        <f>RTD("tos.rtd", , "PROB_OF_EXPIRING", ".MJ201120P13")</f>
        <v>N/A</v>
      </c>
      <c r="U425" t="str">
        <f>RTD("tos.rtd", , "PROB_OTM", ".MJ201120P13")</f>
        <v>N/A</v>
      </c>
      <c r="V425" t="str">
        <f>RTD("tos.rtd", , "PROB_OF_TOUCHING", ".MJ201120P13")</f>
        <v>N/A</v>
      </c>
      <c r="W425" t="str">
        <f>RTD("tos.rtd", , "STRIKE", ".MJ201120P13")</f>
        <v>N/A</v>
      </c>
    </row>
    <row r="426" spans="1:23" x14ac:dyDescent="0.45">
      <c r="A426" t="s">
        <v>447</v>
      </c>
      <c r="B426" t="str">
        <f>RTD("tos.rtd", , "DESCRIPTION", "MTUM")</f>
        <v>N/A</v>
      </c>
      <c r="C426">
        <f>RTD("tos.rtd", , "PUT_CALL_RATIO", "MTUM")</f>
        <v>5.75</v>
      </c>
      <c r="D426" t="str">
        <f>RTD("tos.rtd", , "IMPL_VOL", "MTUM")</f>
        <v>28.15%</v>
      </c>
      <c r="E426">
        <f>RTD("tos.rtd", , "LAST", "MTUM")</f>
        <v>150.46</v>
      </c>
      <c r="F426">
        <f>RTD("tos.rtd", , "VOLUME", "MTUM")</f>
        <v>2177214</v>
      </c>
      <c r="G426">
        <f>RTD("tos.rtd", , "OPEN_INT", "MTUM")</f>
        <v>0</v>
      </c>
      <c r="H426">
        <f>RTD("tos.rtd", , "BID", "MTUM")</f>
        <v>141.5</v>
      </c>
      <c r="I426">
        <f>RTD("tos.rtd", , "ASK", "MTUM")</f>
        <v>164.8</v>
      </c>
      <c r="J426">
        <f>RTD("tos.rtd", , "HIGH", "MTUM")</f>
        <v>151.86000000000001</v>
      </c>
      <c r="K426">
        <f>RTD("tos.rtd", , "LOW", "MTUM")</f>
        <v>149.77010000000001</v>
      </c>
      <c r="L426">
        <f>RTD("tos.rtd", , "OPEN", "MTUM")</f>
        <v>150.62</v>
      </c>
      <c r="M426">
        <f>RTD("tos.rtd", , "DELTA", "MTUM")</f>
        <v>1</v>
      </c>
      <c r="N426">
        <f>RTD("tos.rtd", , "GAMMA", "MTUM")</f>
        <v>0</v>
      </c>
      <c r="O426">
        <f>RTD("tos.rtd", , "THETA", "MTUM")</f>
        <v>0</v>
      </c>
      <c r="P426">
        <f>RTD("tos.rtd", , "VEGA", "MTUM")</f>
        <v>0</v>
      </c>
      <c r="Q426">
        <f>RTD("tos.rtd", , "RHO", "MTUM")</f>
        <v>0</v>
      </c>
      <c r="R426" t="str">
        <f>RTD("tos.rtd", , "INTRINSIC", "MTUM")</f>
        <v>N/A</v>
      </c>
      <c r="S426" t="str">
        <f>RTD("tos.rtd", , "EXTRINSIC", "MTUM")</f>
        <v>N/A</v>
      </c>
      <c r="T426" t="str">
        <f>RTD("tos.rtd", , "PROB_OF_EXPIRING", "MTUM")</f>
        <v>N/A</v>
      </c>
      <c r="U426" t="str">
        <f>RTD("tos.rtd", , "PROB_OTM", "MTUM")</f>
        <v>N/A</v>
      </c>
      <c r="V426" t="str">
        <f>RTD("tos.rtd", , "PROB_OF_TOUCHING", "MTUM")</f>
        <v>N/A</v>
      </c>
      <c r="W426" t="str">
        <f>RTD("tos.rtd", , "STRIKE", "MTUM")</f>
        <v>N/A</v>
      </c>
    </row>
    <row r="427" spans="1:23" x14ac:dyDescent="0.45">
      <c r="A427" t="s">
        <v>448</v>
      </c>
      <c r="B427" t="str">
        <f>RTD("tos.rtd", , "DESCRIPTION", ".MTUM201120C149")</f>
        <v>N/A</v>
      </c>
      <c r="C427" t="str">
        <f>RTD("tos.rtd", , "PUT_CALL_RATIO", ".MTUM201120C149")</f>
        <v>N/A</v>
      </c>
      <c r="D427" t="str">
        <f>RTD("tos.rtd", , "IMPL_VOL", ".MTUM201120C149")</f>
        <v>N/A</v>
      </c>
      <c r="E427" t="str">
        <f>RTD("tos.rtd", , "LAST", ".MTUM201120C149")</f>
        <v>N/A</v>
      </c>
      <c r="F427">
        <f>RTD("tos.rtd", , "VOLUME", ".MTUM201120C149")</f>
        <v>0</v>
      </c>
      <c r="G427">
        <f>RTD("tos.rtd", , "OPEN_INT", ".MTUM201120C149")</f>
        <v>4</v>
      </c>
      <c r="H427">
        <f>RTD("tos.rtd", , "BID", ".MTUM201120C149")</f>
        <v>1.4</v>
      </c>
      <c r="I427" t="str">
        <f>RTD("tos.rtd", , "ASK", ".MTUM201120C149")</f>
        <v>N/A</v>
      </c>
      <c r="J427">
        <f>RTD("tos.rtd", , "HIGH", ".MTUM201120C149")</f>
        <v>0</v>
      </c>
      <c r="K427" t="str">
        <f>RTD("tos.rtd", , "LOW", ".MTUM201120C149")</f>
        <v>N/A</v>
      </c>
      <c r="L427" t="str">
        <f>RTD("tos.rtd", , "OPEN", ".MTUM201120C149")</f>
        <v>N/A</v>
      </c>
      <c r="M427" t="str">
        <f>RTD("tos.rtd", , "DELTA", ".MTUM201120C149")</f>
        <v>N/A</v>
      </c>
      <c r="N427" t="str">
        <f>RTD("tos.rtd", , "GAMMA", ".MTUM201120C149")</f>
        <v>N/A</v>
      </c>
      <c r="O427" t="str">
        <f>RTD("tos.rtd", , "THETA", ".MTUM201120C149")</f>
        <v>N/A</v>
      </c>
      <c r="P427" t="str">
        <f>RTD("tos.rtd", , "VEGA", ".MTUM201120C149")</f>
        <v>N/A</v>
      </c>
      <c r="Q427" t="str">
        <f>RTD("tos.rtd", , "RHO", ".MTUM201120C149")</f>
        <v>N/A</v>
      </c>
      <c r="R427" t="str">
        <f>RTD("tos.rtd", , "INTRINSIC", ".MTUM201120C149")</f>
        <v>N/A</v>
      </c>
      <c r="S427" t="str">
        <f>RTD("tos.rtd", , "EXTRINSIC", ".MTUM201120C149")</f>
        <v>N/A</v>
      </c>
      <c r="T427" t="str">
        <f>RTD("tos.rtd", , "PROB_OF_EXPIRING", ".MTUM201120C149")</f>
        <v>N/A</v>
      </c>
      <c r="U427" t="str">
        <f>RTD("tos.rtd", , "PROB_OTM", ".MTUM201120C149")</f>
        <v>N/A</v>
      </c>
      <c r="V427" t="str">
        <f>RTD("tos.rtd", , "PROB_OF_TOUCHING", ".MTUM201120C149")</f>
        <v>N/A</v>
      </c>
      <c r="W427" t="str">
        <f>RTD("tos.rtd", , "STRIKE", ".MTUM201120C149")</f>
        <v>N/A</v>
      </c>
    </row>
    <row r="428" spans="1:23" x14ac:dyDescent="0.45">
      <c r="A428" t="s">
        <v>449</v>
      </c>
      <c r="B428" t="str">
        <f>RTD("tos.rtd", , "DESCRIPTION", ".MTUM201120P149")</f>
        <v>N/A</v>
      </c>
      <c r="C428" t="str">
        <f>RTD("tos.rtd", , "PUT_CALL_RATIO", ".MTUM201120P149")</f>
        <v>N/A</v>
      </c>
      <c r="D428" t="str">
        <f>RTD("tos.rtd", , "IMPL_VOL", ".MTUM201120P149")</f>
        <v>N/A</v>
      </c>
      <c r="E428" t="str">
        <f>RTD("tos.rtd", , "LAST", ".MTUM201120P149")</f>
        <v>N/A</v>
      </c>
      <c r="F428" t="str">
        <f>RTD("tos.rtd", , "VOLUME", ".MTUM201120P149")</f>
        <v>N/A</v>
      </c>
      <c r="G428" t="str">
        <f>RTD("tos.rtd", , "OPEN_INT", ".MTUM201120P149")</f>
        <v>N/A</v>
      </c>
      <c r="H428" t="str">
        <f>RTD("tos.rtd", , "BID", ".MTUM201120P149")</f>
        <v>N/A</v>
      </c>
      <c r="I428" t="str">
        <f>RTD("tos.rtd", , "ASK", ".MTUM201120P149")</f>
        <v>N/A</v>
      </c>
      <c r="J428" t="str">
        <f>RTD("tos.rtd", , "HIGH", ".MTUM201120P149")</f>
        <v>N/A</v>
      </c>
      <c r="K428" t="str">
        <f>RTD("tos.rtd", , "LOW", ".MTUM201120P149")</f>
        <v>N/A</v>
      </c>
      <c r="L428" t="str">
        <f>RTD("tos.rtd", , "OPEN", ".MTUM201120P149")</f>
        <v>N/A</v>
      </c>
      <c r="M428" t="str">
        <f>RTD("tos.rtd", , "DELTA", ".MTUM201120P149")</f>
        <v>N/A</v>
      </c>
      <c r="N428" t="str">
        <f>RTD("tos.rtd", , "GAMMA", ".MTUM201120P149")</f>
        <v>N/A</v>
      </c>
      <c r="O428" t="str">
        <f>RTD("tos.rtd", , "THETA", ".MTUM201120P149")</f>
        <v>N/A</v>
      </c>
      <c r="P428" t="str">
        <f>RTD("tos.rtd", , "VEGA", ".MTUM201120P149")</f>
        <v>N/A</v>
      </c>
      <c r="Q428" t="str">
        <f>RTD("tos.rtd", , "RHO", ".MTUM201120P149")</f>
        <v>N/A</v>
      </c>
      <c r="R428" t="str">
        <f>RTD("tos.rtd", , "INTRINSIC", ".MTUM201120P149")</f>
        <v>N/A</v>
      </c>
      <c r="S428" t="str">
        <f>RTD("tos.rtd", , "EXTRINSIC", ".MTUM201120P149")</f>
        <v>N/A</v>
      </c>
      <c r="T428" t="str">
        <f>RTD("tos.rtd", , "PROB_OF_EXPIRING", ".MTUM201120P149")</f>
        <v>N/A</v>
      </c>
      <c r="U428" t="str">
        <f>RTD("tos.rtd", , "PROB_OTM", ".MTUM201120P149")</f>
        <v>N/A</v>
      </c>
      <c r="V428" t="str">
        <f>RTD("tos.rtd", , "PROB_OF_TOUCHING", ".MTUM201120P149")</f>
        <v>N/A</v>
      </c>
      <c r="W428" t="str">
        <f>RTD("tos.rtd", , "STRIKE", ".MTUM201120P149")</f>
        <v>N/A</v>
      </c>
    </row>
    <row r="429" spans="1:23" x14ac:dyDescent="0.45">
      <c r="A429" t="s">
        <v>450</v>
      </c>
      <c r="B429" t="str">
        <f>RTD("tos.rtd", , "DESCRIPTION", ".MTUM201120C150")</f>
        <v>N/A</v>
      </c>
      <c r="C429" t="str">
        <f>RTD("tos.rtd", , "PUT_CALL_RATIO", ".MTUM201120C150")</f>
        <v>N/A</v>
      </c>
      <c r="D429" t="str">
        <f>RTD("tos.rtd", , "IMPL_VOL", ".MTUM201120C150")</f>
        <v>N/A</v>
      </c>
      <c r="E429">
        <f>RTD("tos.rtd", , "LAST", ".MTUM201120C150")</f>
        <v>2.2000000000000002</v>
      </c>
      <c r="F429">
        <f>RTD("tos.rtd", , "VOLUME", ".MTUM201120C150")</f>
        <v>0</v>
      </c>
      <c r="G429">
        <f>RTD("tos.rtd", , "OPEN_INT", ".MTUM201120C150")</f>
        <v>98</v>
      </c>
      <c r="H429">
        <f>RTD("tos.rtd", , "BID", ".MTUM201120C150")</f>
        <v>0.95</v>
      </c>
      <c r="I429">
        <f>RTD("tos.rtd", , "ASK", ".MTUM201120C150")</f>
        <v>4.5999999999999996</v>
      </c>
      <c r="J429">
        <f>RTD("tos.rtd", , "HIGH", ".MTUM201120C150")</f>
        <v>0</v>
      </c>
      <c r="K429">
        <f>RTD("tos.rtd", , "LOW", ".MTUM201120C150")</f>
        <v>0</v>
      </c>
      <c r="L429">
        <f>RTD("tos.rtd", , "OPEN", ".MTUM201120C150")</f>
        <v>0</v>
      </c>
      <c r="M429" t="str">
        <f>RTD("tos.rtd", , "DELTA", ".MTUM201120C150")</f>
        <v>N/A</v>
      </c>
      <c r="N429" t="str">
        <f>RTD("tos.rtd", , "GAMMA", ".MTUM201120C150")</f>
        <v>N/A</v>
      </c>
      <c r="O429" t="str">
        <f>RTD("tos.rtd", , "THETA", ".MTUM201120C150")</f>
        <v>N/A</v>
      </c>
      <c r="P429" t="str">
        <f>RTD("tos.rtd", , "VEGA", ".MTUM201120C150")</f>
        <v>N/A</v>
      </c>
      <c r="Q429" t="str">
        <f>RTD("tos.rtd", , "RHO", ".MTUM201120C150")</f>
        <v>N/A</v>
      </c>
      <c r="R429" t="str">
        <f>RTD("tos.rtd", , "INTRINSIC", ".MTUM201120C150")</f>
        <v>N/A</v>
      </c>
      <c r="S429" t="str">
        <f>RTD("tos.rtd", , "EXTRINSIC", ".MTUM201120C150")</f>
        <v>N/A</v>
      </c>
      <c r="T429" t="str">
        <f>RTD("tos.rtd", , "PROB_OF_EXPIRING", ".MTUM201120C150")</f>
        <v>N/A</v>
      </c>
      <c r="U429" t="str">
        <f>RTD("tos.rtd", , "PROB_OTM", ".MTUM201120C150")</f>
        <v>N/A</v>
      </c>
      <c r="V429" t="str">
        <f>RTD("tos.rtd", , "PROB_OF_TOUCHING", ".MTUM201120C150")</f>
        <v>N/A</v>
      </c>
      <c r="W429" t="str">
        <f>RTD("tos.rtd", , "STRIKE", ".MTUM201120C150")</f>
        <v>N/A</v>
      </c>
    </row>
    <row r="430" spans="1:23" x14ac:dyDescent="0.45">
      <c r="A430" t="s">
        <v>451</v>
      </c>
      <c r="B430" t="str">
        <f>RTD("tos.rtd", , "DESCRIPTION", ".MTUM201120P150")</f>
        <v>N/A</v>
      </c>
      <c r="C430" t="str">
        <f>RTD("tos.rtd", , "PUT_CALL_RATIO", ".MTUM201120P150")</f>
        <v>N/A</v>
      </c>
      <c r="D430" t="str">
        <f>RTD("tos.rtd", , "IMPL_VOL", ".MTUM201120P150")</f>
        <v>N/A</v>
      </c>
      <c r="E430" t="str">
        <f>RTD("tos.rtd", , "LAST", ".MTUM201120P150")</f>
        <v>N/A</v>
      </c>
      <c r="F430" t="str">
        <f>RTD("tos.rtd", , "VOLUME", ".MTUM201120P150")</f>
        <v>N/A</v>
      </c>
      <c r="G430" t="str">
        <f>RTD("tos.rtd", , "OPEN_INT", ".MTUM201120P150")</f>
        <v>N/A</v>
      </c>
      <c r="H430" t="str">
        <f>RTD("tos.rtd", , "BID", ".MTUM201120P150")</f>
        <v>N/A</v>
      </c>
      <c r="I430" t="str">
        <f>RTD("tos.rtd", , "ASK", ".MTUM201120P150")</f>
        <v>N/A</v>
      </c>
      <c r="J430" t="str">
        <f>RTD("tos.rtd", , "HIGH", ".MTUM201120P150")</f>
        <v>N/A</v>
      </c>
      <c r="K430" t="str">
        <f>RTD("tos.rtd", , "LOW", ".MTUM201120P150")</f>
        <v>N/A</v>
      </c>
      <c r="L430" t="str">
        <f>RTD("tos.rtd", , "OPEN", ".MTUM201120P150")</f>
        <v>N/A</v>
      </c>
      <c r="M430" t="str">
        <f>RTD("tos.rtd", , "DELTA", ".MTUM201120P150")</f>
        <v>N/A</v>
      </c>
      <c r="N430" t="str">
        <f>RTD("tos.rtd", , "GAMMA", ".MTUM201120P150")</f>
        <v>N/A</v>
      </c>
      <c r="O430" t="str">
        <f>RTD("tos.rtd", , "THETA", ".MTUM201120P150")</f>
        <v>N/A</v>
      </c>
      <c r="P430" t="str">
        <f>RTD("tos.rtd", , "VEGA", ".MTUM201120P150")</f>
        <v>N/A</v>
      </c>
      <c r="Q430" t="str">
        <f>RTD("tos.rtd", , "RHO", ".MTUM201120P150")</f>
        <v>N/A</v>
      </c>
      <c r="R430" t="str">
        <f>RTD("tos.rtd", , "INTRINSIC", ".MTUM201120P150")</f>
        <v>N/A</v>
      </c>
      <c r="S430" t="str">
        <f>RTD("tos.rtd", , "EXTRINSIC", ".MTUM201120P150")</f>
        <v>N/A</v>
      </c>
      <c r="T430" t="str">
        <f>RTD("tos.rtd", , "PROB_OF_EXPIRING", ".MTUM201120P150")</f>
        <v>N/A</v>
      </c>
      <c r="U430" t="str">
        <f>RTD("tos.rtd", , "PROB_OTM", ".MTUM201120P150")</f>
        <v>N/A</v>
      </c>
      <c r="V430" t="str">
        <f>RTD("tos.rtd", , "PROB_OF_TOUCHING", ".MTUM201120P150")</f>
        <v>N/A</v>
      </c>
      <c r="W430" t="str">
        <f>RTD("tos.rtd", , "STRIKE", ".MTUM201120P150")</f>
        <v>N/A</v>
      </c>
    </row>
    <row r="431" spans="1:23" x14ac:dyDescent="0.45">
      <c r="A431" t="s">
        <v>452</v>
      </c>
      <c r="B431" t="str">
        <f>RTD("tos.rtd", , "DESCRIPTION", ".MTUM201120C151")</f>
        <v>N/A</v>
      </c>
      <c r="C431" t="str">
        <f>RTD("tos.rtd", , "PUT_CALL_RATIO", ".MTUM201120C151")</f>
        <v>N/A</v>
      </c>
      <c r="D431" t="str">
        <f>RTD("tos.rtd", , "IMPL_VOL", ".MTUM201120C151")</f>
        <v>N/A</v>
      </c>
      <c r="E431" t="str">
        <f>RTD("tos.rtd", , "LAST", ".MTUM201120C151")</f>
        <v>N/A</v>
      </c>
      <c r="F431" t="str">
        <f>RTD("tos.rtd", , "VOLUME", ".MTUM201120C151")</f>
        <v>N/A</v>
      </c>
      <c r="G431" t="str">
        <f>RTD("tos.rtd", , "OPEN_INT", ".MTUM201120C151")</f>
        <v>N/A</v>
      </c>
      <c r="H431" t="str">
        <f>RTD("tos.rtd", , "BID", ".MTUM201120C151")</f>
        <v>N/A</v>
      </c>
      <c r="I431" t="str">
        <f>RTD("tos.rtd", , "ASK", ".MTUM201120C151")</f>
        <v>N/A</v>
      </c>
      <c r="J431" t="str">
        <f>RTD("tos.rtd", , "HIGH", ".MTUM201120C151")</f>
        <v>N/A</v>
      </c>
      <c r="K431" t="str">
        <f>RTD("tos.rtd", , "LOW", ".MTUM201120C151")</f>
        <v>N/A</v>
      </c>
      <c r="L431" t="str">
        <f>RTD("tos.rtd", , "OPEN", ".MTUM201120C151")</f>
        <v>N/A</v>
      </c>
      <c r="M431" t="str">
        <f>RTD("tos.rtd", , "DELTA", ".MTUM201120C151")</f>
        <v>N/A</v>
      </c>
      <c r="N431" t="str">
        <f>RTD("tos.rtd", , "GAMMA", ".MTUM201120C151")</f>
        <v>N/A</v>
      </c>
      <c r="O431" t="str">
        <f>RTD("tos.rtd", , "THETA", ".MTUM201120C151")</f>
        <v>N/A</v>
      </c>
      <c r="P431" t="str">
        <f>RTD("tos.rtd", , "VEGA", ".MTUM201120C151")</f>
        <v>N/A</v>
      </c>
      <c r="Q431" t="str">
        <f>RTD("tos.rtd", , "RHO", ".MTUM201120C151")</f>
        <v>N/A</v>
      </c>
      <c r="R431" t="str">
        <f>RTD("tos.rtd", , "INTRINSIC", ".MTUM201120C151")</f>
        <v>N/A</v>
      </c>
      <c r="S431" t="str">
        <f>RTD("tos.rtd", , "EXTRINSIC", ".MTUM201120C151")</f>
        <v>N/A</v>
      </c>
      <c r="T431" t="str">
        <f>RTD("tos.rtd", , "PROB_OF_EXPIRING", ".MTUM201120C151")</f>
        <v>N/A</v>
      </c>
      <c r="U431" t="str">
        <f>RTD("tos.rtd", , "PROB_OTM", ".MTUM201120C151")</f>
        <v>N/A</v>
      </c>
      <c r="V431" t="str">
        <f>RTD("tos.rtd", , "PROB_OF_TOUCHING", ".MTUM201120C151")</f>
        <v>N/A</v>
      </c>
      <c r="W431" t="str">
        <f>RTD("tos.rtd", , "STRIKE", ".MTUM201120C151")</f>
        <v>N/A</v>
      </c>
    </row>
    <row r="432" spans="1:23" x14ac:dyDescent="0.45">
      <c r="A432" t="s">
        <v>453</v>
      </c>
      <c r="B432" t="str">
        <f>RTD("tos.rtd", , "DESCRIPTION", ".MTUM201120P151")</f>
        <v>N/A</v>
      </c>
      <c r="C432" t="str">
        <f>RTD("tos.rtd", , "PUT_CALL_RATIO", ".MTUM201120P151")</f>
        <v>N/A</v>
      </c>
      <c r="D432" t="str">
        <f>RTD("tos.rtd", , "IMPL_VOL", ".MTUM201120P151")</f>
        <v>N/A</v>
      </c>
      <c r="E432" t="str">
        <f>RTD("tos.rtd", , "LAST", ".MTUM201120P151")</f>
        <v>N/A</v>
      </c>
      <c r="F432" t="str">
        <f>RTD("tos.rtd", , "VOLUME", ".MTUM201120P151")</f>
        <v>N/A</v>
      </c>
      <c r="G432" t="str">
        <f>RTD("tos.rtd", , "OPEN_INT", ".MTUM201120P151")</f>
        <v>N/A</v>
      </c>
      <c r="H432" t="str">
        <f>RTD("tos.rtd", , "BID", ".MTUM201120P151")</f>
        <v>N/A</v>
      </c>
      <c r="I432" t="str">
        <f>RTD("tos.rtd", , "ASK", ".MTUM201120P151")</f>
        <v>N/A</v>
      </c>
      <c r="J432" t="str">
        <f>RTD("tos.rtd", , "HIGH", ".MTUM201120P151")</f>
        <v>N/A</v>
      </c>
      <c r="K432" t="str">
        <f>RTD("tos.rtd", , "LOW", ".MTUM201120P151")</f>
        <v>N/A</v>
      </c>
      <c r="L432" t="str">
        <f>RTD("tos.rtd", , "OPEN", ".MTUM201120P151")</f>
        <v>N/A</v>
      </c>
      <c r="M432" t="str">
        <f>RTD("tos.rtd", , "DELTA", ".MTUM201120P151")</f>
        <v>N/A</v>
      </c>
      <c r="N432" t="str">
        <f>RTD("tos.rtd", , "GAMMA", ".MTUM201120P151")</f>
        <v>N/A</v>
      </c>
      <c r="O432" t="str">
        <f>RTD("tos.rtd", , "THETA", ".MTUM201120P151")</f>
        <v>N/A</v>
      </c>
      <c r="P432" t="str">
        <f>RTD("tos.rtd", , "VEGA", ".MTUM201120P151")</f>
        <v>N/A</v>
      </c>
      <c r="Q432" t="str">
        <f>RTD("tos.rtd", , "RHO", ".MTUM201120P151")</f>
        <v>N/A</v>
      </c>
      <c r="R432" t="str">
        <f>RTD("tos.rtd", , "INTRINSIC", ".MTUM201120P151")</f>
        <v>N/A</v>
      </c>
      <c r="S432" t="str">
        <f>RTD("tos.rtd", , "EXTRINSIC", ".MTUM201120P151")</f>
        <v>N/A</v>
      </c>
      <c r="T432" t="str">
        <f>RTD("tos.rtd", , "PROB_OF_EXPIRING", ".MTUM201120P151")</f>
        <v>N/A</v>
      </c>
      <c r="U432" t="str">
        <f>RTD("tos.rtd", , "PROB_OTM", ".MTUM201120P151")</f>
        <v>N/A</v>
      </c>
      <c r="V432" t="str">
        <f>RTD("tos.rtd", , "PROB_OF_TOUCHING", ".MTUM201120P151")</f>
        <v>N/A</v>
      </c>
      <c r="W432" t="str">
        <f>RTD("tos.rtd", , "STRIKE", ".MTUM201120P151")</f>
        <v>N/A</v>
      </c>
    </row>
    <row r="433" spans="1:23" x14ac:dyDescent="0.45">
      <c r="A433" t="s">
        <v>454</v>
      </c>
      <c r="B433" t="str">
        <f>RTD("tos.rtd", , "DESCRIPTION", ".MTUM201120C152")</f>
        <v>N/A</v>
      </c>
      <c r="C433" t="str">
        <f>RTD("tos.rtd", , "PUT_CALL_RATIO", ".MTUM201120C152")</f>
        <v>N/A</v>
      </c>
      <c r="D433" t="str">
        <f>RTD("tos.rtd", , "IMPL_VOL", ".MTUM201120C152")</f>
        <v>N/A</v>
      </c>
      <c r="E433">
        <f>RTD("tos.rtd", , "LAST", ".MTUM201120C152")</f>
        <v>4.92</v>
      </c>
      <c r="F433">
        <f>RTD("tos.rtd", , "VOLUME", ".MTUM201120C152")</f>
        <v>0</v>
      </c>
      <c r="G433">
        <f>RTD("tos.rtd", , "OPEN_INT", ".MTUM201120C152")</f>
        <v>14</v>
      </c>
      <c r="H433">
        <f>RTD("tos.rtd", , "BID", ".MTUM201120C152")</f>
        <v>0.4</v>
      </c>
      <c r="I433">
        <f>RTD("tos.rtd", , "ASK", ".MTUM201120C152")</f>
        <v>4.2</v>
      </c>
      <c r="J433">
        <f>RTD("tos.rtd", , "HIGH", ".MTUM201120C152")</f>
        <v>0</v>
      </c>
      <c r="K433">
        <f>RTD("tos.rtd", , "LOW", ".MTUM201120C152")</f>
        <v>0</v>
      </c>
      <c r="L433">
        <f>RTD("tos.rtd", , "OPEN", ".MTUM201120C152")</f>
        <v>0</v>
      </c>
      <c r="M433" t="str">
        <f>RTD("tos.rtd", , "DELTA", ".MTUM201120C152")</f>
        <v>N/A</v>
      </c>
      <c r="N433" t="str">
        <f>RTD("tos.rtd", , "GAMMA", ".MTUM201120C152")</f>
        <v>N/A</v>
      </c>
      <c r="O433" t="str">
        <f>RTD("tos.rtd", , "THETA", ".MTUM201120C152")</f>
        <v>N/A</v>
      </c>
      <c r="P433" t="str">
        <f>RTD("tos.rtd", , "VEGA", ".MTUM201120C152")</f>
        <v>N/A</v>
      </c>
      <c r="Q433" t="str">
        <f>RTD("tos.rtd", , "RHO", ".MTUM201120C152")</f>
        <v>N/A</v>
      </c>
      <c r="R433" t="str">
        <f>RTD("tos.rtd", , "INTRINSIC", ".MTUM201120C152")</f>
        <v>N/A</v>
      </c>
      <c r="S433" t="str">
        <f>RTD("tos.rtd", , "EXTRINSIC", ".MTUM201120C152")</f>
        <v>N/A</v>
      </c>
      <c r="T433" t="str">
        <f>RTD("tos.rtd", , "PROB_OF_EXPIRING", ".MTUM201120C152")</f>
        <v>N/A</v>
      </c>
      <c r="U433" t="str">
        <f>RTD("tos.rtd", , "PROB_OTM", ".MTUM201120C152")</f>
        <v>N/A</v>
      </c>
      <c r="V433" t="str">
        <f>RTD("tos.rtd", , "PROB_OF_TOUCHING", ".MTUM201120C152")</f>
        <v>N/A</v>
      </c>
      <c r="W433" t="str">
        <f>RTD("tos.rtd", , "STRIKE", ".MTUM201120C152")</f>
        <v>N/A</v>
      </c>
    </row>
    <row r="434" spans="1:23" x14ac:dyDescent="0.45">
      <c r="A434" t="s">
        <v>455</v>
      </c>
      <c r="B434" t="str">
        <f>RTD("tos.rtd", , "DESCRIPTION", ".MTUM201120P152")</f>
        <v>N/A</v>
      </c>
      <c r="C434" t="str">
        <f>RTD("tos.rtd", , "PUT_CALL_RATIO", ".MTUM201120P152")</f>
        <v>N/A</v>
      </c>
      <c r="D434" t="str">
        <f>RTD("tos.rtd", , "IMPL_VOL", ".MTUM201120P152")</f>
        <v>N/A</v>
      </c>
      <c r="E434" t="str">
        <f>RTD("tos.rtd", , "LAST", ".MTUM201120P152")</f>
        <v>N/A</v>
      </c>
      <c r="F434" t="str">
        <f>RTD("tos.rtd", , "VOLUME", ".MTUM201120P152")</f>
        <v>N/A</v>
      </c>
      <c r="G434" t="str">
        <f>RTD("tos.rtd", , "OPEN_INT", ".MTUM201120P152")</f>
        <v>N/A</v>
      </c>
      <c r="H434" t="str">
        <f>RTD("tos.rtd", , "BID", ".MTUM201120P152")</f>
        <v>N/A</v>
      </c>
      <c r="I434" t="str">
        <f>RTD("tos.rtd", , "ASK", ".MTUM201120P152")</f>
        <v>N/A</v>
      </c>
      <c r="J434" t="str">
        <f>RTD("tos.rtd", , "HIGH", ".MTUM201120P152")</f>
        <v>N/A</v>
      </c>
      <c r="K434" t="str">
        <f>RTD("tos.rtd", , "LOW", ".MTUM201120P152")</f>
        <v>N/A</v>
      </c>
      <c r="L434" t="str">
        <f>RTD("tos.rtd", , "OPEN", ".MTUM201120P152")</f>
        <v>N/A</v>
      </c>
      <c r="M434" t="str">
        <f>RTD("tos.rtd", , "DELTA", ".MTUM201120P152")</f>
        <v>N/A</v>
      </c>
      <c r="N434" t="str">
        <f>RTD("tos.rtd", , "GAMMA", ".MTUM201120P152")</f>
        <v>N/A</v>
      </c>
      <c r="O434" t="str">
        <f>RTD("tos.rtd", , "THETA", ".MTUM201120P152")</f>
        <v>N/A</v>
      </c>
      <c r="P434" t="str">
        <f>RTD("tos.rtd", , "VEGA", ".MTUM201120P152")</f>
        <v>N/A</v>
      </c>
      <c r="Q434" t="str">
        <f>RTD("tos.rtd", , "RHO", ".MTUM201120P152")</f>
        <v>N/A</v>
      </c>
      <c r="R434" t="str">
        <f>RTD("tos.rtd", , "INTRINSIC", ".MTUM201120P152")</f>
        <v>N/A</v>
      </c>
      <c r="S434" t="str">
        <f>RTD("tos.rtd", , "EXTRINSIC", ".MTUM201120P152")</f>
        <v>N/A</v>
      </c>
      <c r="T434" t="str">
        <f>RTD("tos.rtd", , "PROB_OF_EXPIRING", ".MTUM201120P152")</f>
        <v>N/A</v>
      </c>
      <c r="U434" t="str">
        <f>RTD("tos.rtd", , "PROB_OTM", ".MTUM201120P152")</f>
        <v>N/A</v>
      </c>
      <c r="V434" t="str">
        <f>RTD("tos.rtd", , "PROB_OF_TOUCHING", ".MTUM201120P152")</f>
        <v>N/A</v>
      </c>
      <c r="W434" t="str">
        <f>RTD("tos.rtd", , "STRIKE", ".MTUM201120P152")</f>
        <v>N/A</v>
      </c>
    </row>
    <row r="435" spans="1:23" x14ac:dyDescent="0.45">
      <c r="A435" t="s">
        <v>456</v>
      </c>
      <c r="B435" t="str">
        <f>RTD("tos.rtd", , "DESCRIPTION", "MUB")</f>
        <v>N/A</v>
      </c>
      <c r="C435">
        <f>RTD("tos.rtd", , "PUT_CALL_RATIO", "MUB")</f>
        <v>7</v>
      </c>
      <c r="D435" t="str">
        <f>RTD("tos.rtd", , "IMPL_VOL", "MUB")</f>
        <v>4.41%</v>
      </c>
      <c r="E435">
        <f>RTD("tos.rtd", , "LAST", "MUB")</f>
        <v>115.95</v>
      </c>
      <c r="F435">
        <f>RTD("tos.rtd", , "VOLUME", "MUB")</f>
        <v>1901052</v>
      </c>
      <c r="G435">
        <f>RTD("tos.rtd", , "OPEN_INT", "MUB")</f>
        <v>0</v>
      </c>
      <c r="H435">
        <f>RTD("tos.rtd", , "BID", "MUB")</f>
        <v>115.8</v>
      </c>
      <c r="I435">
        <f>RTD("tos.rtd", , "ASK", "MUB")</f>
        <v>116.03</v>
      </c>
      <c r="J435">
        <f>RTD("tos.rtd", , "HIGH", "MUB")</f>
        <v>116.09</v>
      </c>
      <c r="K435">
        <f>RTD("tos.rtd", , "LOW", "MUB")</f>
        <v>115.88</v>
      </c>
      <c r="L435">
        <f>RTD("tos.rtd", , "OPEN", "MUB")</f>
        <v>115.89</v>
      </c>
      <c r="M435">
        <f>RTD("tos.rtd", , "DELTA", "MUB")</f>
        <v>1</v>
      </c>
      <c r="N435">
        <f>RTD("tos.rtd", , "GAMMA", "MUB")</f>
        <v>0</v>
      </c>
      <c r="O435">
        <f>RTD("tos.rtd", , "THETA", "MUB")</f>
        <v>0</v>
      </c>
      <c r="P435">
        <f>RTD("tos.rtd", , "VEGA", "MUB")</f>
        <v>0</v>
      </c>
      <c r="Q435">
        <f>RTD("tos.rtd", , "RHO", "MUB")</f>
        <v>0</v>
      </c>
      <c r="R435" t="str">
        <f>RTD("tos.rtd", , "INTRINSIC", "MUB")</f>
        <v>N/A</v>
      </c>
      <c r="S435" t="str">
        <f>RTD("tos.rtd", , "EXTRINSIC", "MUB")</f>
        <v>N/A</v>
      </c>
      <c r="T435" t="str">
        <f>RTD("tos.rtd", , "PROB_OF_EXPIRING", "MUB")</f>
        <v>N/A</v>
      </c>
      <c r="U435" t="str">
        <f>RTD("tos.rtd", , "PROB_OTM", "MUB")</f>
        <v>N/A</v>
      </c>
      <c r="V435" t="str">
        <f>RTD("tos.rtd", , "PROB_OF_TOUCHING", "MUB")</f>
        <v>N/A</v>
      </c>
      <c r="W435" t="str">
        <f>RTD("tos.rtd", , "STRIKE", "MUB")</f>
        <v>N/A</v>
      </c>
    </row>
    <row r="436" spans="1:23" x14ac:dyDescent="0.45">
      <c r="A436" t="s">
        <v>457</v>
      </c>
      <c r="B436" t="str">
        <f>RTD("tos.rtd", , "DESCRIPTION", ".MUB201120C116")</f>
        <v>N/A</v>
      </c>
      <c r="C436" t="str">
        <f>RTD("tos.rtd", , "PUT_CALL_RATIO", ".MUB201120C116")</f>
        <v>N/A</v>
      </c>
      <c r="D436" t="str">
        <f>RTD("tos.rtd", , "IMPL_VOL", ".MUB201120C116")</f>
        <v>N/A</v>
      </c>
      <c r="E436" t="str">
        <f>RTD("tos.rtd", , "LAST", ".MUB201120C116")</f>
        <v>N/A</v>
      </c>
      <c r="F436" t="str">
        <f>RTD("tos.rtd", , "VOLUME", ".MUB201120C116")</f>
        <v>N/A</v>
      </c>
      <c r="G436" t="str">
        <f>RTD("tos.rtd", , "OPEN_INT", ".MUB201120C116")</f>
        <v>N/A</v>
      </c>
      <c r="H436" t="str">
        <f>RTD("tos.rtd", , "BID", ".MUB201120C116")</f>
        <v>N/A</v>
      </c>
      <c r="I436" t="str">
        <f>RTD("tos.rtd", , "ASK", ".MUB201120C116")</f>
        <v>N/A</v>
      </c>
      <c r="J436" t="str">
        <f>RTD("tos.rtd", , "HIGH", ".MUB201120C116")</f>
        <v>N/A</v>
      </c>
      <c r="K436" t="str">
        <f>RTD("tos.rtd", , "LOW", ".MUB201120C116")</f>
        <v>N/A</v>
      </c>
      <c r="L436" t="str">
        <f>RTD("tos.rtd", , "OPEN", ".MUB201120C116")</f>
        <v>N/A</v>
      </c>
      <c r="M436" t="str">
        <f>RTD("tos.rtd", , "DELTA", ".MUB201120C116")</f>
        <v>N/A</v>
      </c>
      <c r="N436" t="str">
        <f>RTD("tos.rtd", , "GAMMA", ".MUB201120C116")</f>
        <v>N/A</v>
      </c>
      <c r="O436" t="str">
        <f>RTD("tos.rtd", , "THETA", ".MUB201120C116")</f>
        <v>N/A</v>
      </c>
      <c r="P436" t="str">
        <f>RTD("tos.rtd", , "VEGA", ".MUB201120C116")</f>
        <v>N/A</v>
      </c>
      <c r="Q436" t="str">
        <f>RTD("tos.rtd", , "RHO", ".MUB201120C116")</f>
        <v>N/A</v>
      </c>
      <c r="R436" t="str">
        <f>RTD("tos.rtd", , "INTRINSIC", ".MUB201120C116")</f>
        <v>N/A</v>
      </c>
      <c r="S436" t="str">
        <f>RTD("tos.rtd", , "EXTRINSIC", ".MUB201120C116")</f>
        <v>N/A</v>
      </c>
      <c r="T436" t="str">
        <f>RTD("tos.rtd", , "PROB_OF_EXPIRING", ".MUB201120C116")</f>
        <v>N/A</v>
      </c>
      <c r="U436" t="str">
        <f>RTD("tos.rtd", , "PROB_OTM", ".MUB201120C116")</f>
        <v>N/A</v>
      </c>
      <c r="V436" t="str">
        <f>RTD("tos.rtd", , "PROB_OF_TOUCHING", ".MUB201120C116")</f>
        <v>N/A</v>
      </c>
      <c r="W436" t="str">
        <f>RTD("tos.rtd", , "STRIKE", ".MUB201120C116")</f>
        <v>N/A</v>
      </c>
    </row>
    <row r="437" spans="1:23" x14ac:dyDescent="0.45">
      <c r="A437" t="s">
        <v>458</v>
      </c>
      <c r="B437" t="str">
        <f>RTD("tos.rtd", , "DESCRIPTION", ".MUB201120P116")</f>
        <v>N/A</v>
      </c>
      <c r="C437" t="str">
        <f>RTD("tos.rtd", , "PUT_CALL_RATIO", ".MUB201120P116")</f>
        <v>N/A</v>
      </c>
      <c r="D437" t="str">
        <f>RTD("tos.rtd", , "IMPL_VOL", ".MUB201120P116")</f>
        <v>N/A</v>
      </c>
      <c r="E437" t="str">
        <f>RTD("tos.rtd", , "LAST", ".MUB201120P116")</f>
        <v>N/A</v>
      </c>
      <c r="F437" t="str">
        <f>RTD("tos.rtd", , "VOLUME", ".MUB201120P116")</f>
        <v>N/A</v>
      </c>
      <c r="G437" t="str">
        <f>RTD("tos.rtd", , "OPEN_INT", ".MUB201120P116")</f>
        <v>N/A</v>
      </c>
      <c r="H437" t="str">
        <f>RTD("tos.rtd", , "BID", ".MUB201120P116")</f>
        <v>N/A</v>
      </c>
      <c r="I437" t="str">
        <f>RTD("tos.rtd", , "ASK", ".MUB201120P116")</f>
        <v>N/A</v>
      </c>
      <c r="J437" t="str">
        <f>RTD("tos.rtd", , "HIGH", ".MUB201120P116")</f>
        <v>N/A</v>
      </c>
      <c r="K437" t="str">
        <f>RTD("tos.rtd", , "LOW", ".MUB201120P116")</f>
        <v>N/A</v>
      </c>
      <c r="L437" t="str">
        <f>RTD("tos.rtd", , "OPEN", ".MUB201120P116")</f>
        <v>N/A</v>
      </c>
      <c r="M437" t="str">
        <f>RTD("tos.rtd", , "DELTA", ".MUB201120P116")</f>
        <v>N/A</v>
      </c>
      <c r="N437" t="str">
        <f>RTD("tos.rtd", , "GAMMA", ".MUB201120P116")</f>
        <v>N/A</v>
      </c>
      <c r="O437" t="str">
        <f>RTD("tos.rtd", , "THETA", ".MUB201120P116")</f>
        <v>N/A</v>
      </c>
      <c r="P437" t="str">
        <f>RTD("tos.rtd", , "VEGA", ".MUB201120P116")</f>
        <v>N/A</v>
      </c>
      <c r="Q437" t="str">
        <f>RTD("tos.rtd", , "RHO", ".MUB201120P116")</f>
        <v>N/A</v>
      </c>
      <c r="R437" t="str">
        <f>RTD("tos.rtd", , "INTRINSIC", ".MUB201120P116")</f>
        <v>N/A</v>
      </c>
      <c r="S437" t="str">
        <f>RTD("tos.rtd", , "EXTRINSIC", ".MUB201120P116")</f>
        <v>N/A</v>
      </c>
      <c r="T437" t="str">
        <f>RTD("tos.rtd", , "PROB_OF_EXPIRING", ".MUB201120P116")</f>
        <v>N/A</v>
      </c>
      <c r="U437" t="str">
        <f>RTD("tos.rtd", , "PROB_OTM", ".MUB201120P116")</f>
        <v>N/A</v>
      </c>
      <c r="V437" t="str">
        <f>RTD("tos.rtd", , "PROB_OF_TOUCHING", ".MUB201120P116")</f>
        <v>N/A</v>
      </c>
      <c r="W437" t="str">
        <f>RTD("tos.rtd", , "STRIKE", ".MUB201120P116")</f>
        <v>N/A</v>
      </c>
    </row>
    <row r="438" spans="1:23" x14ac:dyDescent="0.45">
      <c r="A438" t="s">
        <v>459</v>
      </c>
      <c r="B438" t="str">
        <f>RTD("tos.rtd", , "DESCRIPTION", "NAIL")</f>
        <v>N/A</v>
      </c>
      <c r="C438">
        <f>RTD("tos.rtd", , "PUT_CALL_RATIO", "NAIL")</f>
        <v>0.313</v>
      </c>
      <c r="D438" t="str">
        <f>RTD("tos.rtd", , "IMPL_VOL", "NAIL")</f>
        <v>114.45%</v>
      </c>
      <c r="E438">
        <f>RTD("tos.rtd", , "LAST", "NAIL")</f>
        <v>43.81</v>
      </c>
      <c r="F438">
        <f>RTD("tos.rtd", , "VOLUME", "NAIL")</f>
        <v>1268517</v>
      </c>
      <c r="G438">
        <f>RTD("tos.rtd", , "OPEN_INT", "NAIL")</f>
        <v>0</v>
      </c>
      <c r="H438">
        <f>RTD("tos.rtd", , "BID", "NAIL")</f>
        <v>43.36</v>
      </c>
      <c r="I438">
        <f>RTD("tos.rtd", , "ASK", "NAIL")</f>
        <v>44.14</v>
      </c>
      <c r="J438">
        <f>RTD("tos.rtd", , "HIGH", "NAIL")</f>
        <v>47.2</v>
      </c>
      <c r="K438">
        <f>RTD("tos.rtd", , "LOW", "NAIL")</f>
        <v>42.37</v>
      </c>
      <c r="L438">
        <f>RTD("tos.rtd", , "OPEN", "NAIL")</f>
        <v>45.61</v>
      </c>
      <c r="M438">
        <f>RTD("tos.rtd", , "DELTA", "NAIL")</f>
        <v>1</v>
      </c>
      <c r="N438">
        <f>RTD("tos.rtd", , "GAMMA", "NAIL")</f>
        <v>0</v>
      </c>
      <c r="O438">
        <f>RTD("tos.rtd", , "THETA", "NAIL")</f>
        <v>0</v>
      </c>
      <c r="P438">
        <f>RTD("tos.rtd", , "VEGA", "NAIL")</f>
        <v>0</v>
      </c>
      <c r="Q438">
        <f>RTD("tos.rtd", , "RHO", "NAIL")</f>
        <v>0</v>
      </c>
      <c r="R438" t="str">
        <f>RTD("tos.rtd", , "INTRINSIC", "NAIL")</f>
        <v>N/A</v>
      </c>
      <c r="S438" t="str">
        <f>RTD("tos.rtd", , "EXTRINSIC", "NAIL")</f>
        <v>N/A</v>
      </c>
      <c r="T438" t="str">
        <f>RTD("tos.rtd", , "PROB_OF_EXPIRING", "NAIL")</f>
        <v>N/A</v>
      </c>
      <c r="U438" t="str">
        <f>RTD("tos.rtd", , "PROB_OTM", "NAIL")</f>
        <v>N/A</v>
      </c>
      <c r="V438" t="str">
        <f>RTD("tos.rtd", , "PROB_OF_TOUCHING", "NAIL")</f>
        <v>N/A</v>
      </c>
      <c r="W438" t="str">
        <f>RTD("tos.rtd", , "STRIKE", "NAIL")</f>
        <v>N/A</v>
      </c>
    </row>
    <row r="439" spans="1:23" x14ac:dyDescent="0.45">
      <c r="A439" t="s">
        <v>460</v>
      </c>
      <c r="B439" t="str">
        <f>RTD("tos.rtd", , "DESCRIPTION", ".NAIL201120C44")</f>
        <v>N/A</v>
      </c>
      <c r="C439" t="str">
        <f>RTD("tos.rtd", , "PUT_CALL_RATIO", ".NAIL201120C44")</f>
        <v>N/A</v>
      </c>
      <c r="D439" t="str">
        <f>RTD("tos.rtd", , "IMPL_VOL", ".NAIL201120C44")</f>
        <v>N/A</v>
      </c>
      <c r="E439">
        <f>RTD("tos.rtd", , "LAST", ".NAIL201120C44")</f>
        <v>2.5499999999999998</v>
      </c>
      <c r="F439">
        <f>RTD("tos.rtd", , "VOLUME", ".NAIL201120C44")</f>
        <v>28</v>
      </c>
      <c r="G439">
        <f>RTD("tos.rtd", , "OPEN_INT", ".NAIL201120C44")</f>
        <v>101</v>
      </c>
      <c r="H439">
        <f>RTD("tos.rtd", , "BID", ".NAIL201120C44")</f>
        <v>2.2999999999999998</v>
      </c>
      <c r="I439">
        <f>RTD("tos.rtd", , "ASK", ".NAIL201120C44")</f>
        <v>2.85</v>
      </c>
      <c r="J439">
        <f>RTD("tos.rtd", , "HIGH", ".NAIL201120C44")</f>
        <v>4.5999999999999996</v>
      </c>
      <c r="K439">
        <f>RTD("tos.rtd", , "LOW", ".NAIL201120C44")</f>
        <v>2.2000000000000002</v>
      </c>
      <c r="L439">
        <f>RTD("tos.rtd", , "OPEN", ".NAIL201120C44")</f>
        <v>3.98</v>
      </c>
      <c r="M439" t="str">
        <f>RTD("tos.rtd", , "DELTA", ".NAIL201120C44")</f>
        <v>N/A</v>
      </c>
      <c r="N439" t="str">
        <f>RTD("tos.rtd", , "GAMMA", ".NAIL201120C44")</f>
        <v>N/A</v>
      </c>
      <c r="O439" t="str">
        <f>RTD("tos.rtd", , "THETA", ".NAIL201120C44")</f>
        <v>N/A</v>
      </c>
      <c r="P439" t="str">
        <f>RTD("tos.rtd", , "VEGA", ".NAIL201120C44")</f>
        <v>N/A</v>
      </c>
      <c r="Q439" t="str">
        <f>RTD("tos.rtd", , "RHO", ".NAIL201120C44")</f>
        <v>N/A</v>
      </c>
      <c r="R439" t="str">
        <f>RTD("tos.rtd", , "INTRINSIC", ".NAIL201120C44")</f>
        <v>N/A</v>
      </c>
      <c r="S439" t="str">
        <f>RTD("tos.rtd", , "EXTRINSIC", ".NAIL201120C44")</f>
        <v>N/A</v>
      </c>
      <c r="T439" t="str">
        <f>RTD("tos.rtd", , "PROB_OF_EXPIRING", ".NAIL201120C44")</f>
        <v>N/A</v>
      </c>
      <c r="U439" t="str">
        <f>RTD("tos.rtd", , "PROB_OTM", ".NAIL201120C44")</f>
        <v>N/A</v>
      </c>
      <c r="V439" t="str">
        <f>RTD("tos.rtd", , "PROB_OF_TOUCHING", ".NAIL201120C44")</f>
        <v>N/A</v>
      </c>
      <c r="W439" t="str">
        <f>RTD("tos.rtd", , "STRIKE", ".NAIL201120C44")</f>
        <v>N/A</v>
      </c>
    </row>
    <row r="440" spans="1:23" x14ac:dyDescent="0.45">
      <c r="A440" t="s">
        <v>461</v>
      </c>
      <c r="B440" t="str">
        <f>RTD("tos.rtd", , "DESCRIPTION", ".NAIL201120P44")</f>
        <v>N/A</v>
      </c>
      <c r="C440" t="str">
        <f>RTD("tos.rtd", , "PUT_CALL_RATIO", ".NAIL201120P44")</f>
        <v>N/A</v>
      </c>
      <c r="D440" t="str">
        <f>RTD("tos.rtd", , "IMPL_VOL", ".NAIL201120P44")</f>
        <v>N/A</v>
      </c>
      <c r="E440">
        <f>RTD("tos.rtd", , "LAST", ".NAIL201120P44")</f>
        <v>3.2</v>
      </c>
      <c r="F440">
        <f>RTD("tos.rtd", , "VOLUME", ".NAIL201120P44")</f>
        <v>24</v>
      </c>
      <c r="G440">
        <f>RTD("tos.rtd", , "OPEN_INT", ".NAIL201120P44")</f>
        <v>44</v>
      </c>
      <c r="H440">
        <f>RTD("tos.rtd", , "BID", ".NAIL201120P44")</f>
        <v>2.9</v>
      </c>
      <c r="I440">
        <f>RTD("tos.rtd", , "ASK", ".NAIL201120P44")</f>
        <v>3.4</v>
      </c>
      <c r="J440">
        <f>RTD("tos.rtd", , "HIGH", ".NAIL201120P44")</f>
        <v>3.3</v>
      </c>
      <c r="K440">
        <f>RTD("tos.rtd", , "LOW", ".NAIL201120P44")</f>
        <v>1.89</v>
      </c>
      <c r="L440">
        <f>RTD("tos.rtd", , "OPEN", ".NAIL201120P44")</f>
        <v>1.89</v>
      </c>
      <c r="M440" t="str">
        <f>RTD("tos.rtd", , "DELTA", ".NAIL201120P44")</f>
        <v>N/A</v>
      </c>
      <c r="N440" t="str">
        <f>RTD("tos.rtd", , "GAMMA", ".NAIL201120P44")</f>
        <v>N/A</v>
      </c>
      <c r="O440" t="str">
        <f>RTD("tos.rtd", , "THETA", ".NAIL201120P44")</f>
        <v>N/A</v>
      </c>
      <c r="P440" t="str">
        <f>RTD("tos.rtd", , "VEGA", ".NAIL201120P44")</f>
        <v>N/A</v>
      </c>
      <c r="Q440" t="str">
        <f>RTD("tos.rtd", , "RHO", ".NAIL201120P44")</f>
        <v>N/A</v>
      </c>
      <c r="R440" t="str">
        <f>RTD("tos.rtd", , "INTRINSIC", ".NAIL201120P44")</f>
        <v>N/A</v>
      </c>
      <c r="S440" t="str">
        <f>RTD("tos.rtd", , "EXTRINSIC", ".NAIL201120P44")</f>
        <v>N/A</v>
      </c>
      <c r="T440" t="str">
        <f>RTD("tos.rtd", , "PROB_OF_EXPIRING", ".NAIL201120P44")</f>
        <v>N/A</v>
      </c>
      <c r="U440" t="str">
        <f>RTD("tos.rtd", , "PROB_OTM", ".NAIL201120P44")</f>
        <v>N/A</v>
      </c>
      <c r="V440" t="str">
        <f>RTD("tos.rtd", , "PROB_OF_TOUCHING", ".NAIL201120P44")</f>
        <v>N/A</v>
      </c>
      <c r="W440" t="str">
        <f>RTD("tos.rtd", , "STRIKE", ".NAIL201120P44")</f>
        <v>N/A</v>
      </c>
    </row>
    <row r="441" spans="1:23" x14ac:dyDescent="0.45">
      <c r="A441" t="s">
        <v>462</v>
      </c>
      <c r="B441" t="str">
        <f>RTD("tos.rtd", , "DESCRIPTION", ".NAIL201120C45")</f>
        <v>N/A</v>
      </c>
      <c r="C441" t="str">
        <f>RTD("tos.rtd", , "PUT_CALL_RATIO", ".NAIL201120C45")</f>
        <v>N/A</v>
      </c>
      <c r="D441" t="str">
        <f>RTD("tos.rtd", , "IMPL_VOL", ".NAIL201120C45")</f>
        <v>N/A</v>
      </c>
      <c r="E441">
        <f>RTD("tos.rtd", , "LAST", ".NAIL201120C45")</f>
        <v>2</v>
      </c>
      <c r="F441">
        <f>RTD("tos.rtd", , "VOLUME", ".NAIL201120C45")</f>
        <v>116</v>
      </c>
      <c r="G441">
        <f>RTD("tos.rtd", , "OPEN_INT", ".NAIL201120C45")</f>
        <v>195</v>
      </c>
      <c r="H441">
        <f>RTD("tos.rtd", , "BID", ".NAIL201120C45")</f>
        <v>1.9</v>
      </c>
      <c r="I441">
        <f>RTD("tos.rtd", , "ASK", ".NAIL201120C45")</f>
        <v>2.4</v>
      </c>
      <c r="J441">
        <f>RTD("tos.rtd", , "HIGH", ".NAIL201120C45")</f>
        <v>4</v>
      </c>
      <c r="K441">
        <f>RTD("tos.rtd", , "LOW", ".NAIL201120C45")</f>
        <v>2</v>
      </c>
      <c r="L441">
        <f>RTD("tos.rtd", , "OPEN", ".NAIL201120C45")</f>
        <v>3.1</v>
      </c>
      <c r="M441" t="str">
        <f>RTD("tos.rtd", , "DELTA", ".NAIL201120C45")</f>
        <v>N/A</v>
      </c>
      <c r="N441" t="str">
        <f>RTD("tos.rtd", , "GAMMA", ".NAIL201120C45")</f>
        <v>N/A</v>
      </c>
      <c r="O441" t="str">
        <f>RTD("tos.rtd", , "THETA", ".NAIL201120C45")</f>
        <v>N/A</v>
      </c>
      <c r="P441" t="str">
        <f>RTD("tos.rtd", , "VEGA", ".NAIL201120C45")</f>
        <v>N/A</v>
      </c>
      <c r="Q441" t="str">
        <f>RTD("tos.rtd", , "RHO", ".NAIL201120C45")</f>
        <v>N/A</v>
      </c>
      <c r="R441" t="str">
        <f>RTD("tos.rtd", , "INTRINSIC", ".NAIL201120C45")</f>
        <v>N/A</v>
      </c>
      <c r="S441" t="str">
        <f>RTD("tos.rtd", , "EXTRINSIC", ".NAIL201120C45")</f>
        <v>N/A</v>
      </c>
      <c r="T441" t="str">
        <f>RTD("tos.rtd", , "PROB_OF_EXPIRING", ".NAIL201120C45")</f>
        <v>N/A</v>
      </c>
      <c r="U441" t="str">
        <f>RTD("tos.rtd", , "PROB_OTM", ".NAIL201120C45")</f>
        <v>N/A</v>
      </c>
      <c r="V441" t="str">
        <f>RTD("tos.rtd", , "PROB_OF_TOUCHING", ".NAIL201120C45")</f>
        <v>N/A</v>
      </c>
      <c r="W441" t="str">
        <f>RTD("tos.rtd", , "STRIKE", ".NAIL201120C45")</f>
        <v>N/A</v>
      </c>
    </row>
    <row r="442" spans="1:23" x14ac:dyDescent="0.45">
      <c r="A442" t="s">
        <v>463</v>
      </c>
      <c r="B442" t="str">
        <f>RTD("tos.rtd", , "DESCRIPTION", ".NAIL201120P45")</f>
        <v>N/A</v>
      </c>
      <c r="C442" t="str">
        <f>RTD("tos.rtd", , "PUT_CALL_RATIO", ".NAIL201120P45")</f>
        <v>N/A</v>
      </c>
      <c r="D442" t="str">
        <f>RTD("tos.rtd", , "IMPL_VOL", ".NAIL201120P45")</f>
        <v>N/A</v>
      </c>
      <c r="E442">
        <f>RTD("tos.rtd", , "LAST", ".NAIL201120P45")</f>
        <v>4.0999999999999996</v>
      </c>
      <c r="F442">
        <f>RTD("tos.rtd", , "VOLUME", ".NAIL201120P45")</f>
        <v>10</v>
      </c>
      <c r="G442">
        <f>RTD("tos.rtd", , "OPEN_INT", ".NAIL201120P45")</f>
        <v>852</v>
      </c>
      <c r="H442">
        <f>RTD("tos.rtd", , "BID", ".NAIL201120P45")</f>
        <v>3.3</v>
      </c>
      <c r="I442">
        <f>RTD("tos.rtd", , "ASK", ".NAIL201120P45")</f>
        <v>3.9</v>
      </c>
      <c r="J442">
        <f>RTD("tos.rtd", , "HIGH", ".NAIL201120P45")</f>
        <v>4.0999999999999996</v>
      </c>
      <c r="K442">
        <f>RTD("tos.rtd", , "LOW", ".NAIL201120P45")</f>
        <v>2.2000000000000002</v>
      </c>
      <c r="L442">
        <f>RTD("tos.rtd", , "OPEN", ".NAIL201120P45")</f>
        <v>2.2000000000000002</v>
      </c>
      <c r="M442" t="str">
        <f>RTD("tos.rtd", , "DELTA", ".NAIL201120P45")</f>
        <v>N/A</v>
      </c>
      <c r="N442" t="str">
        <f>RTD("tos.rtd", , "GAMMA", ".NAIL201120P45")</f>
        <v>N/A</v>
      </c>
      <c r="O442" t="str">
        <f>RTD("tos.rtd", , "THETA", ".NAIL201120P45")</f>
        <v>N/A</v>
      </c>
      <c r="P442" t="str">
        <f>RTD("tos.rtd", , "VEGA", ".NAIL201120P45")</f>
        <v>N/A</v>
      </c>
      <c r="Q442" t="str">
        <f>RTD("tos.rtd", , "RHO", ".NAIL201120P45")</f>
        <v>N/A</v>
      </c>
      <c r="R442" t="str">
        <f>RTD("tos.rtd", , "INTRINSIC", ".NAIL201120P45")</f>
        <v>N/A</v>
      </c>
      <c r="S442" t="str">
        <f>RTD("tos.rtd", , "EXTRINSIC", ".NAIL201120P45")</f>
        <v>N/A</v>
      </c>
      <c r="T442" t="str">
        <f>RTD("tos.rtd", , "PROB_OF_EXPIRING", ".NAIL201120P45")</f>
        <v>N/A</v>
      </c>
      <c r="U442" t="str">
        <f>RTD("tos.rtd", , "PROB_OTM", ".NAIL201120P45")</f>
        <v>N/A</v>
      </c>
      <c r="V442" t="str">
        <f>RTD("tos.rtd", , "PROB_OF_TOUCHING", ".NAIL201120P45")</f>
        <v>N/A</v>
      </c>
      <c r="W442" t="str">
        <f>RTD("tos.rtd", , "STRIKE", ".NAIL201120P45")</f>
        <v>N/A</v>
      </c>
    </row>
    <row r="443" spans="1:23" x14ac:dyDescent="0.45">
      <c r="A443" t="s">
        <v>464</v>
      </c>
      <c r="B443" t="str">
        <f>RTD("tos.rtd", , "DESCRIPTION", ".NAIL201120C46")</f>
        <v>N/A</v>
      </c>
      <c r="C443" t="str">
        <f>RTD("tos.rtd", , "PUT_CALL_RATIO", ".NAIL201120C46")</f>
        <v>N/A</v>
      </c>
      <c r="D443" t="str">
        <f>RTD("tos.rtd", , "IMPL_VOL", ".NAIL201120C46")</f>
        <v>N/A</v>
      </c>
      <c r="E443">
        <f>RTD("tos.rtd", , "LAST", ".NAIL201120C46")</f>
        <v>1.65</v>
      </c>
      <c r="F443">
        <f>RTD("tos.rtd", , "VOLUME", ".NAIL201120C46")</f>
        <v>111</v>
      </c>
      <c r="G443">
        <f>RTD("tos.rtd", , "OPEN_INT", ".NAIL201120C46")</f>
        <v>110</v>
      </c>
      <c r="H443">
        <f>RTD("tos.rtd", , "BID", ".NAIL201120C46")</f>
        <v>1.5</v>
      </c>
      <c r="I443">
        <f>RTD("tos.rtd", , "ASK", ".NAIL201120C46")</f>
        <v>2</v>
      </c>
      <c r="J443">
        <f>RTD("tos.rtd", , "HIGH", ".NAIL201120C46")</f>
        <v>3.5</v>
      </c>
      <c r="K443">
        <f>RTD("tos.rtd", , "LOW", ".NAIL201120C46")</f>
        <v>1.65</v>
      </c>
      <c r="L443">
        <f>RTD("tos.rtd", , "OPEN", ".NAIL201120C46")</f>
        <v>3</v>
      </c>
      <c r="M443" t="str">
        <f>RTD("tos.rtd", , "DELTA", ".NAIL201120C46")</f>
        <v>N/A</v>
      </c>
      <c r="N443" t="str">
        <f>RTD("tos.rtd", , "GAMMA", ".NAIL201120C46")</f>
        <v>N/A</v>
      </c>
      <c r="O443" t="str">
        <f>RTD("tos.rtd", , "THETA", ".NAIL201120C46")</f>
        <v>N/A</v>
      </c>
      <c r="P443" t="str">
        <f>RTD("tos.rtd", , "VEGA", ".NAIL201120C46")</f>
        <v>N/A</v>
      </c>
      <c r="Q443" t="str">
        <f>RTD("tos.rtd", , "RHO", ".NAIL201120C46")</f>
        <v>N/A</v>
      </c>
      <c r="R443" t="str">
        <f>RTD("tos.rtd", , "INTRINSIC", ".NAIL201120C46")</f>
        <v>N/A</v>
      </c>
      <c r="S443" t="str">
        <f>RTD("tos.rtd", , "EXTRINSIC", ".NAIL201120C46")</f>
        <v>N/A</v>
      </c>
      <c r="T443" t="str">
        <f>RTD("tos.rtd", , "PROB_OF_EXPIRING", ".NAIL201120C46")</f>
        <v>N/A</v>
      </c>
      <c r="U443" t="str">
        <f>RTD("tos.rtd", , "PROB_OTM", ".NAIL201120C46")</f>
        <v>N/A</v>
      </c>
      <c r="V443" t="str">
        <f>RTD("tos.rtd", , "PROB_OF_TOUCHING", ".NAIL201120C46")</f>
        <v>N/A</v>
      </c>
      <c r="W443" t="str">
        <f>RTD("tos.rtd", , "STRIKE", ".NAIL201120C46")</f>
        <v>N/A</v>
      </c>
    </row>
    <row r="444" spans="1:23" x14ac:dyDescent="0.45">
      <c r="A444" t="s">
        <v>465</v>
      </c>
      <c r="B444" t="str">
        <f>RTD("tos.rtd", , "DESCRIPTION", ".NAIL201120P46")</f>
        <v>N/A</v>
      </c>
      <c r="C444" t="str">
        <f>RTD("tos.rtd", , "PUT_CALL_RATIO", ".NAIL201120P46")</f>
        <v>N/A</v>
      </c>
      <c r="D444" t="str">
        <f>RTD("tos.rtd", , "IMPL_VOL", ".NAIL201120P46")</f>
        <v>N/A</v>
      </c>
      <c r="E444">
        <f>RTD("tos.rtd", , "LAST", ".NAIL201120P46")</f>
        <v>2.4</v>
      </c>
      <c r="F444">
        <f>RTD("tos.rtd", , "VOLUME", ".NAIL201120P46")</f>
        <v>2</v>
      </c>
      <c r="G444">
        <f>RTD("tos.rtd", , "OPEN_INT", ".NAIL201120P46")</f>
        <v>98</v>
      </c>
      <c r="H444">
        <f>RTD("tos.rtd", , "BID", ".NAIL201120P46")</f>
        <v>4</v>
      </c>
      <c r="I444">
        <f>RTD("tos.rtd", , "ASK", ".NAIL201120P46")</f>
        <v>4.4000000000000004</v>
      </c>
      <c r="J444">
        <f>RTD("tos.rtd", , "HIGH", ".NAIL201120P46")</f>
        <v>3.21</v>
      </c>
      <c r="K444">
        <f>RTD("tos.rtd", , "LOW", ".NAIL201120P46")</f>
        <v>2.4</v>
      </c>
      <c r="L444">
        <f>RTD("tos.rtd", , "OPEN", ".NAIL201120P46")</f>
        <v>3.21</v>
      </c>
      <c r="M444" t="str">
        <f>RTD("tos.rtd", , "DELTA", ".NAIL201120P46")</f>
        <v>N/A</v>
      </c>
      <c r="N444" t="str">
        <f>RTD("tos.rtd", , "GAMMA", ".NAIL201120P46")</f>
        <v>N/A</v>
      </c>
      <c r="O444" t="str">
        <f>RTD("tos.rtd", , "THETA", ".NAIL201120P46")</f>
        <v>N/A</v>
      </c>
      <c r="P444" t="str">
        <f>RTD("tos.rtd", , "VEGA", ".NAIL201120P46")</f>
        <v>N/A</v>
      </c>
      <c r="Q444" t="str">
        <f>RTD("tos.rtd", , "RHO", ".NAIL201120P46")</f>
        <v>N/A</v>
      </c>
      <c r="R444" t="str">
        <f>RTD("tos.rtd", , "INTRINSIC", ".NAIL201120P46")</f>
        <v>N/A</v>
      </c>
      <c r="S444" t="str">
        <f>RTD("tos.rtd", , "EXTRINSIC", ".NAIL201120P46")</f>
        <v>N/A</v>
      </c>
      <c r="T444" t="str">
        <f>RTD("tos.rtd", , "PROB_OF_EXPIRING", ".NAIL201120P46")</f>
        <v>N/A</v>
      </c>
      <c r="U444" t="str">
        <f>RTD("tos.rtd", , "PROB_OTM", ".NAIL201120P46")</f>
        <v>N/A</v>
      </c>
      <c r="V444" t="str">
        <f>RTD("tos.rtd", , "PROB_OF_TOUCHING", ".NAIL201120P46")</f>
        <v>N/A</v>
      </c>
      <c r="W444" t="str">
        <f>RTD("tos.rtd", , "STRIKE", ".NAIL201120P46")</f>
        <v>N/A</v>
      </c>
    </row>
    <row r="445" spans="1:23" x14ac:dyDescent="0.45">
      <c r="A445" t="s">
        <v>466</v>
      </c>
      <c r="B445" t="str">
        <f>RTD("tos.rtd", , "DESCRIPTION", ".NAIL201120C47")</f>
        <v>N/A</v>
      </c>
      <c r="C445" t="str">
        <f>RTD("tos.rtd", , "PUT_CALL_RATIO", ".NAIL201120C47")</f>
        <v>N/A</v>
      </c>
      <c r="D445" t="str">
        <f>RTD("tos.rtd", , "IMPL_VOL", ".NAIL201120C47")</f>
        <v>N/A</v>
      </c>
      <c r="E445">
        <f>RTD("tos.rtd", , "LAST", ".NAIL201120C47")</f>
        <v>1.5</v>
      </c>
      <c r="F445">
        <f>RTD("tos.rtd", , "VOLUME", ".NAIL201120C47")</f>
        <v>73</v>
      </c>
      <c r="G445">
        <f>RTD("tos.rtd", , "OPEN_INT", ".NAIL201120C47")</f>
        <v>57</v>
      </c>
      <c r="H445">
        <f>RTD("tos.rtd", , "BID", ".NAIL201120C47")</f>
        <v>1.25</v>
      </c>
      <c r="I445">
        <f>RTD("tos.rtd", , "ASK", ".NAIL201120C47")</f>
        <v>1.7</v>
      </c>
      <c r="J445">
        <f>RTD("tos.rtd", , "HIGH", ".NAIL201120C47")</f>
        <v>3.1</v>
      </c>
      <c r="K445">
        <f>RTD("tos.rtd", , "LOW", ".NAIL201120C47")</f>
        <v>1.5</v>
      </c>
      <c r="L445">
        <f>RTD("tos.rtd", , "OPEN", ".NAIL201120C47")</f>
        <v>2.48</v>
      </c>
      <c r="M445" t="str">
        <f>RTD("tos.rtd", , "DELTA", ".NAIL201120C47")</f>
        <v>N/A</v>
      </c>
      <c r="N445" t="str">
        <f>RTD("tos.rtd", , "GAMMA", ".NAIL201120C47")</f>
        <v>N/A</v>
      </c>
      <c r="O445" t="str">
        <f>RTD("tos.rtd", , "THETA", ".NAIL201120C47")</f>
        <v>N/A</v>
      </c>
      <c r="P445" t="str">
        <f>RTD("tos.rtd", , "VEGA", ".NAIL201120C47")</f>
        <v>N/A</v>
      </c>
      <c r="Q445" t="str">
        <f>RTD("tos.rtd", , "RHO", ".NAIL201120C47")</f>
        <v>N/A</v>
      </c>
      <c r="R445" t="str">
        <f>RTD("tos.rtd", , "INTRINSIC", ".NAIL201120C47")</f>
        <v>N/A</v>
      </c>
      <c r="S445" t="str">
        <f>RTD("tos.rtd", , "EXTRINSIC", ".NAIL201120C47")</f>
        <v>N/A</v>
      </c>
      <c r="T445" t="str">
        <f>RTD("tos.rtd", , "PROB_OF_EXPIRING", ".NAIL201120C47")</f>
        <v>N/A</v>
      </c>
      <c r="U445" t="str">
        <f>RTD("tos.rtd", , "PROB_OTM", ".NAIL201120C47")</f>
        <v>N/A</v>
      </c>
      <c r="V445" t="str">
        <f>RTD("tos.rtd", , "PROB_OF_TOUCHING", ".NAIL201120C47")</f>
        <v>N/A</v>
      </c>
      <c r="W445" t="str">
        <f>RTD("tos.rtd", , "STRIKE", ".NAIL201120C47")</f>
        <v>N/A</v>
      </c>
    </row>
    <row r="446" spans="1:23" x14ac:dyDescent="0.45">
      <c r="A446" t="s">
        <v>467</v>
      </c>
      <c r="B446" t="str">
        <f>RTD("tos.rtd", , "DESCRIPTION", ".NAIL201120P47")</f>
        <v>N/A</v>
      </c>
      <c r="C446" t="str">
        <f>RTD("tos.rtd", , "PUT_CALL_RATIO", ".NAIL201120P47")</f>
        <v>N/A</v>
      </c>
      <c r="D446" t="str">
        <f>RTD("tos.rtd", , "IMPL_VOL", ".NAIL201120P47")</f>
        <v>N/A</v>
      </c>
      <c r="E446">
        <f>RTD("tos.rtd", , "LAST", ".NAIL201120P47")</f>
        <v>5.7</v>
      </c>
      <c r="F446">
        <f>RTD("tos.rtd", , "VOLUME", ".NAIL201120P47")</f>
        <v>0</v>
      </c>
      <c r="G446">
        <f>RTD("tos.rtd", , "OPEN_INT", ".NAIL201120P47")</f>
        <v>201</v>
      </c>
      <c r="H446">
        <f>RTD("tos.rtd", , "BID", ".NAIL201120P47")</f>
        <v>4.4000000000000004</v>
      </c>
      <c r="I446">
        <f>RTD("tos.rtd", , "ASK", ".NAIL201120P47")</f>
        <v>5.2</v>
      </c>
      <c r="J446">
        <f>RTD("tos.rtd", , "HIGH", ".NAIL201120P47")</f>
        <v>0</v>
      </c>
      <c r="K446">
        <f>RTD("tos.rtd", , "LOW", ".NAIL201120P47")</f>
        <v>0</v>
      </c>
      <c r="L446">
        <f>RTD("tos.rtd", , "OPEN", ".NAIL201120P47")</f>
        <v>0</v>
      </c>
      <c r="M446" t="str">
        <f>RTD("tos.rtd", , "DELTA", ".NAIL201120P47")</f>
        <v>N/A</v>
      </c>
      <c r="N446" t="str">
        <f>RTD("tos.rtd", , "GAMMA", ".NAIL201120P47")</f>
        <v>N/A</v>
      </c>
      <c r="O446" t="str">
        <f>RTD("tos.rtd", , "THETA", ".NAIL201120P47")</f>
        <v>N/A</v>
      </c>
      <c r="P446" t="str">
        <f>RTD("tos.rtd", , "VEGA", ".NAIL201120P47")</f>
        <v>N/A</v>
      </c>
      <c r="Q446" t="str">
        <f>RTD("tos.rtd", , "RHO", ".NAIL201120P47")</f>
        <v>N/A</v>
      </c>
      <c r="R446" t="str">
        <f>RTD("tos.rtd", , "INTRINSIC", ".NAIL201120P47")</f>
        <v>N/A</v>
      </c>
      <c r="S446" t="str">
        <f>RTD("tos.rtd", , "EXTRINSIC", ".NAIL201120P47")</f>
        <v>N/A</v>
      </c>
      <c r="T446" t="str">
        <f>RTD("tos.rtd", , "PROB_OF_EXPIRING", ".NAIL201120P47")</f>
        <v>N/A</v>
      </c>
      <c r="U446" t="str">
        <f>RTD("tos.rtd", , "PROB_OTM", ".NAIL201120P47")</f>
        <v>N/A</v>
      </c>
      <c r="V446" t="str">
        <f>RTD("tos.rtd", , "PROB_OF_TOUCHING", ".NAIL201120P47")</f>
        <v>N/A</v>
      </c>
      <c r="W446" t="str">
        <f>RTD("tos.rtd", , "STRIKE", ".NAIL201120P47")</f>
        <v>N/A</v>
      </c>
    </row>
    <row r="447" spans="1:23" x14ac:dyDescent="0.45">
      <c r="A447" t="s">
        <v>468</v>
      </c>
      <c r="B447" t="str">
        <f>RTD("tos.rtd", , "DESCRIPTION", ".NAIL201120C48")</f>
        <v>N/A</v>
      </c>
      <c r="C447" t="str">
        <f>RTD("tos.rtd", , "PUT_CALL_RATIO", ".NAIL201120C48")</f>
        <v>N/A</v>
      </c>
      <c r="D447" t="str">
        <f>RTD("tos.rtd", , "IMPL_VOL", ".NAIL201120C48")</f>
        <v>N/A</v>
      </c>
      <c r="E447">
        <f>RTD("tos.rtd", , "LAST", ".NAIL201120C48")</f>
        <v>1.18</v>
      </c>
      <c r="F447">
        <f>RTD("tos.rtd", , "VOLUME", ".NAIL201120C48")</f>
        <v>3</v>
      </c>
      <c r="G447">
        <f>RTD("tos.rtd", , "OPEN_INT", ".NAIL201120C48")</f>
        <v>108</v>
      </c>
      <c r="H447">
        <f>RTD("tos.rtd", , "BID", ".NAIL201120C48")</f>
        <v>1</v>
      </c>
      <c r="I447">
        <f>RTD("tos.rtd", , "ASK", ".NAIL201120C48")</f>
        <v>1.35</v>
      </c>
      <c r="J447">
        <f>RTD("tos.rtd", , "HIGH", ".NAIL201120C48")</f>
        <v>2.4500000000000002</v>
      </c>
      <c r="K447">
        <f>RTD("tos.rtd", , "LOW", ".NAIL201120C48")</f>
        <v>1.18</v>
      </c>
      <c r="L447">
        <f>RTD("tos.rtd", , "OPEN", ".NAIL201120C48")</f>
        <v>1.9</v>
      </c>
      <c r="M447" t="str">
        <f>RTD("tos.rtd", , "DELTA", ".NAIL201120C48")</f>
        <v>N/A</v>
      </c>
      <c r="N447" t="str">
        <f>RTD("tos.rtd", , "GAMMA", ".NAIL201120C48")</f>
        <v>N/A</v>
      </c>
      <c r="O447" t="str">
        <f>RTD("tos.rtd", , "THETA", ".NAIL201120C48")</f>
        <v>N/A</v>
      </c>
      <c r="P447" t="str">
        <f>RTD("tos.rtd", , "VEGA", ".NAIL201120C48")</f>
        <v>N/A</v>
      </c>
      <c r="Q447" t="str">
        <f>RTD("tos.rtd", , "RHO", ".NAIL201120C48")</f>
        <v>N/A</v>
      </c>
      <c r="R447" t="str">
        <f>RTD("tos.rtd", , "INTRINSIC", ".NAIL201120C48")</f>
        <v>N/A</v>
      </c>
      <c r="S447" t="str">
        <f>RTD("tos.rtd", , "EXTRINSIC", ".NAIL201120C48")</f>
        <v>N/A</v>
      </c>
      <c r="T447" t="str">
        <f>RTD("tos.rtd", , "PROB_OF_EXPIRING", ".NAIL201120C48")</f>
        <v>N/A</v>
      </c>
      <c r="U447" t="str">
        <f>RTD("tos.rtd", , "PROB_OTM", ".NAIL201120C48")</f>
        <v>N/A</v>
      </c>
      <c r="V447" t="str">
        <f>RTD("tos.rtd", , "PROB_OF_TOUCHING", ".NAIL201120C48")</f>
        <v>N/A</v>
      </c>
      <c r="W447" t="str">
        <f>RTD("tos.rtd", , "STRIKE", ".NAIL201120C48")</f>
        <v>N/A</v>
      </c>
    </row>
    <row r="448" spans="1:23" x14ac:dyDescent="0.45">
      <c r="A448" t="s">
        <v>469</v>
      </c>
      <c r="B448" t="str">
        <f>RTD("tos.rtd", , "DESCRIPTION", ".NAIL201120P48")</f>
        <v>N/A</v>
      </c>
      <c r="C448" t="str">
        <f>RTD("tos.rtd", , "PUT_CALL_RATIO", ".NAIL201120P48")</f>
        <v>N/A</v>
      </c>
      <c r="D448" t="str">
        <f>RTD("tos.rtd", , "IMPL_VOL", ".NAIL201120P48")</f>
        <v>N/A</v>
      </c>
      <c r="E448">
        <f>RTD("tos.rtd", , "LAST", ".NAIL201120P48")</f>
        <v>6.26</v>
      </c>
      <c r="F448">
        <f>RTD("tos.rtd", , "VOLUME", ".NAIL201120P48")</f>
        <v>0</v>
      </c>
      <c r="G448">
        <f>RTD("tos.rtd", , "OPEN_INT", ".NAIL201120P48")</f>
        <v>94</v>
      </c>
      <c r="H448">
        <f>RTD("tos.rtd", , "BID", ".NAIL201120P48")</f>
        <v>5.2</v>
      </c>
      <c r="I448">
        <f>RTD("tos.rtd", , "ASK", ".NAIL201120P48")</f>
        <v>5.9</v>
      </c>
      <c r="J448">
        <f>RTD("tos.rtd", , "HIGH", ".NAIL201120P48")</f>
        <v>0</v>
      </c>
      <c r="K448">
        <f>RTD("tos.rtd", , "LOW", ".NAIL201120P48")</f>
        <v>0</v>
      </c>
      <c r="L448">
        <f>RTD("tos.rtd", , "OPEN", ".NAIL201120P48")</f>
        <v>0</v>
      </c>
      <c r="M448" t="str">
        <f>RTD("tos.rtd", , "DELTA", ".NAIL201120P48")</f>
        <v>N/A</v>
      </c>
      <c r="N448" t="str">
        <f>RTD("tos.rtd", , "GAMMA", ".NAIL201120P48")</f>
        <v>N/A</v>
      </c>
      <c r="O448" t="str">
        <f>RTD("tos.rtd", , "THETA", ".NAIL201120P48")</f>
        <v>N/A</v>
      </c>
      <c r="P448" t="str">
        <f>RTD("tos.rtd", , "VEGA", ".NAIL201120P48")</f>
        <v>N/A</v>
      </c>
      <c r="Q448" t="str">
        <f>RTD("tos.rtd", , "RHO", ".NAIL201120P48")</f>
        <v>N/A</v>
      </c>
      <c r="R448" t="str">
        <f>RTD("tos.rtd", , "INTRINSIC", ".NAIL201120P48")</f>
        <v>N/A</v>
      </c>
      <c r="S448" t="str">
        <f>RTD("tos.rtd", , "EXTRINSIC", ".NAIL201120P48")</f>
        <v>N/A</v>
      </c>
      <c r="T448" t="str">
        <f>RTD("tos.rtd", , "PROB_OF_EXPIRING", ".NAIL201120P48")</f>
        <v>N/A</v>
      </c>
      <c r="U448" t="str">
        <f>RTD("tos.rtd", , "PROB_OTM", ".NAIL201120P48")</f>
        <v>N/A</v>
      </c>
      <c r="V448" t="str">
        <f>RTD("tos.rtd", , "PROB_OF_TOUCHING", ".NAIL201120P48")</f>
        <v>N/A</v>
      </c>
      <c r="W448" t="str">
        <f>RTD("tos.rtd", , "STRIKE", ".NAIL201120P48")</f>
        <v>N/A</v>
      </c>
    </row>
    <row r="449" spans="1:23" x14ac:dyDescent="0.45">
      <c r="A449" t="s">
        <v>470</v>
      </c>
      <c r="B449" t="str">
        <f>RTD("tos.rtd", , "DESCRIPTION", ".NAIL201120C49")</f>
        <v>N/A</v>
      </c>
      <c r="C449" t="str">
        <f>RTD("tos.rtd", , "PUT_CALL_RATIO", ".NAIL201120C49")</f>
        <v>N/A</v>
      </c>
      <c r="D449" t="str">
        <f>RTD("tos.rtd", , "IMPL_VOL", ".NAIL201120C49")</f>
        <v>N/A</v>
      </c>
      <c r="E449">
        <f>RTD("tos.rtd", , "LAST", ".NAIL201120C49")</f>
        <v>1</v>
      </c>
      <c r="F449">
        <f>RTD("tos.rtd", , "VOLUME", ".NAIL201120C49")</f>
        <v>6</v>
      </c>
      <c r="G449">
        <f>RTD("tos.rtd", , "OPEN_INT", ".NAIL201120C49")</f>
        <v>100</v>
      </c>
      <c r="H449">
        <f>RTD("tos.rtd", , "BID", ".NAIL201120C49")</f>
        <v>0.8</v>
      </c>
      <c r="I449">
        <f>RTD("tos.rtd", , "ASK", ".NAIL201120C49")</f>
        <v>1.1000000000000001</v>
      </c>
      <c r="J449">
        <f>RTD("tos.rtd", , "HIGH", ".NAIL201120C49")</f>
        <v>1.9</v>
      </c>
      <c r="K449">
        <f>RTD("tos.rtd", , "LOW", ".NAIL201120C49")</f>
        <v>1</v>
      </c>
      <c r="L449">
        <f>RTD("tos.rtd", , "OPEN", ".NAIL201120C49")</f>
        <v>1.85</v>
      </c>
      <c r="M449" t="str">
        <f>RTD("tos.rtd", , "DELTA", ".NAIL201120C49")</f>
        <v>N/A</v>
      </c>
      <c r="N449" t="str">
        <f>RTD("tos.rtd", , "GAMMA", ".NAIL201120C49")</f>
        <v>N/A</v>
      </c>
      <c r="O449" t="str">
        <f>RTD("tos.rtd", , "THETA", ".NAIL201120C49")</f>
        <v>N/A</v>
      </c>
      <c r="P449" t="str">
        <f>RTD("tos.rtd", , "VEGA", ".NAIL201120C49")</f>
        <v>N/A</v>
      </c>
      <c r="Q449" t="str">
        <f>RTD("tos.rtd", , "RHO", ".NAIL201120C49")</f>
        <v>N/A</v>
      </c>
      <c r="R449" t="str">
        <f>RTD("tos.rtd", , "INTRINSIC", ".NAIL201120C49")</f>
        <v>N/A</v>
      </c>
      <c r="S449" t="str">
        <f>RTD("tos.rtd", , "EXTRINSIC", ".NAIL201120C49")</f>
        <v>N/A</v>
      </c>
      <c r="T449" t="str">
        <f>RTD("tos.rtd", , "PROB_OF_EXPIRING", ".NAIL201120C49")</f>
        <v>N/A</v>
      </c>
      <c r="U449" t="str">
        <f>RTD("tos.rtd", , "PROB_OTM", ".NAIL201120C49")</f>
        <v>N/A</v>
      </c>
      <c r="V449" t="str">
        <f>RTD("tos.rtd", , "PROB_OF_TOUCHING", ".NAIL201120C49")</f>
        <v>N/A</v>
      </c>
      <c r="W449" t="str">
        <f>RTD("tos.rtd", , "STRIKE", ".NAIL201120C49")</f>
        <v>N/A</v>
      </c>
    </row>
    <row r="450" spans="1:23" x14ac:dyDescent="0.45">
      <c r="A450" t="s">
        <v>471</v>
      </c>
      <c r="B450" t="str">
        <f>RTD("tos.rtd", , "DESCRIPTION", ".NAIL201120P49")</f>
        <v>N/A</v>
      </c>
      <c r="C450" t="str">
        <f>RTD("tos.rtd", , "PUT_CALL_RATIO", ".NAIL201120P49")</f>
        <v>N/A</v>
      </c>
      <c r="D450" t="str">
        <f>RTD("tos.rtd", , "IMPL_VOL", ".NAIL201120P49")</f>
        <v>N/A</v>
      </c>
      <c r="E450">
        <f>RTD("tos.rtd", , "LAST", ".NAIL201120P49")</f>
        <v>6.95</v>
      </c>
      <c r="F450">
        <f>RTD("tos.rtd", , "VOLUME", ".NAIL201120P49")</f>
        <v>0</v>
      </c>
      <c r="G450">
        <f>RTD("tos.rtd", , "OPEN_INT", ".NAIL201120P49")</f>
        <v>47</v>
      </c>
      <c r="H450">
        <f>RTD("tos.rtd", , "BID", ".NAIL201120P49")</f>
        <v>6</v>
      </c>
      <c r="I450">
        <f>RTD("tos.rtd", , "ASK", ".NAIL201120P49")</f>
        <v>6.7</v>
      </c>
      <c r="J450">
        <f>RTD("tos.rtd", , "HIGH", ".NAIL201120P49")</f>
        <v>0</v>
      </c>
      <c r="K450">
        <f>RTD("tos.rtd", , "LOW", ".NAIL201120P49")</f>
        <v>0</v>
      </c>
      <c r="L450">
        <f>RTD("tos.rtd", , "OPEN", ".NAIL201120P49")</f>
        <v>0</v>
      </c>
      <c r="M450" t="str">
        <f>RTD("tos.rtd", , "DELTA", ".NAIL201120P49")</f>
        <v>N/A</v>
      </c>
      <c r="N450" t="str">
        <f>RTD("tos.rtd", , "GAMMA", ".NAIL201120P49")</f>
        <v>N/A</v>
      </c>
      <c r="O450" t="str">
        <f>RTD("tos.rtd", , "THETA", ".NAIL201120P49")</f>
        <v>N/A</v>
      </c>
      <c r="P450" t="str">
        <f>RTD("tos.rtd", , "VEGA", ".NAIL201120P49")</f>
        <v>N/A</v>
      </c>
      <c r="Q450" t="str">
        <f>RTD("tos.rtd", , "RHO", ".NAIL201120P49")</f>
        <v>N/A</v>
      </c>
      <c r="R450" t="str">
        <f>RTD("tos.rtd", , "INTRINSIC", ".NAIL201120P49")</f>
        <v>N/A</v>
      </c>
      <c r="S450" t="str">
        <f>RTD("tos.rtd", , "EXTRINSIC", ".NAIL201120P49")</f>
        <v>N/A</v>
      </c>
      <c r="T450" t="str">
        <f>RTD("tos.rtd", , "PROB_OF_EXPIRING", ".NAIL201120P49")</f>
        <v>N/A</v>
      </c>
      <c r="U450" t="str">
        <f>RTD("tos.rtd", , "PROB_OTM", ".NAIL201120P49")</f>
        <v>N/A</v>
      </c>
      <c r="V450" t="str">
        <f>RTD("tos.rtd", , "PROB_OF_TOUCHING", ".NAIL201120P49")</f>
        <v>N/A</v>
      </c>
      <c r="W450" t="str">
        <f>RTD("tos.rtd", , "STRIKE", ".NAIL201120P49")</f>
        <v>N/A</v>
      </c>
    </row>
    <row r="451" spans="1:23" x14ac:dyDescent="0.45">
      <c r="A451" t="s">
        <v>472</v>
      </c>
      <c r="B451" t="str">
        <f>RTD("tos.rtd", , "DESCRIPTION", "PDBC")</f>
        <v>N/A</v>
      </c>
      <c r="C451">
        <f>RTD("tos.rtd", , "PUT_CALL_RATIO", "PDBC")</f>
        <v>0.03</v>
      </c>
      <c r="D451" t="str">
        <f>RTD("tos.rtd", , "IMPL_VOL", "PDBC")</f>
        <v>9.13%</v>
      </c>
      <c r="E451">
        <f>RTD("tos.rtd", , "LAST", "PDBC")</f>
        <v>13.94</v>
      </c>
      <c r="F451">
        <f>RTD("tos.rtd", , "VOLUME", "PDBC")</f>
        <v>1875176</v>
      </c>
      <c r="G451">
        <f>RTD("tos.rtd", , "OPEN_INT", "PDBC")</f>
        <v>0</v>
      </c>
      <c r="H451">
        <f>RTD("tos.rtd", , "BID", "PDBC")</f>
        <v>13.5</v>
      </c>
      <c r="I451">
        <f>RTD("tos.rtd", , "ASK", "PDBC")</f>
        <v>14.5</v>
      </c>
      <c r="J451">
        <f>RTD("tos.rtd", , "HIGH", "PDBC")</f>
        <v>14.14</v>
      </c>
      <c r="K451">
        <f>RTD("tos.rtd", , "LOW", "PDBC")</f>
        <v>13.93</v>
      </c>
      <c r="L451">
        <f>RTD("tos.rtd", , "OPEN", "PDBC")</f>
        <v>14.1</v>
      </c>
      <c r="M451">
        <f>RTD("tos.rtd", , "DELTA", "PDBC")</f>
        <v>1</v>
      </c>
      <c r="N451">
        <f>RTD("tos.rtd", , "GAMMA", "PDBC")</f>
        <v>0</v>
      </c>
      <c r="O451">
        <f>RTD("tos.rtd", , "THETA", "PDBC")</f>
        <v>0</v>
      </c>
      <c r="P451">
        <f>RTD("tos.rtd", , "VEGA", "PDBC")</f>
        <v>0</v>
      </c>
      <c r="Q451">
        <f>RTD("tos.rtd", , "RHO", "PDBC")</f>
        <v>0</v>
      </c>
      <c r="R451" t="str">
        <f>RTD("tos.rtd", , "INTRINSIC", "PDBC")</f>
        <v>N/A</v>
      </c>
      <c r="S451" t="str">
        <f>RTD("tos.rtd", , "EXTRINSIC", "PDBC")</f>
        <v>N/A</v>
      </c>
      <c r="T451" t="str">
        <f>RTD("tos.rtd", , "PROB_OF_EXPIRING", "PDBC")</f>
        <v>N/A</v>
      </c>
      <c r="U451" t="str">
        <f>RTD("tos.rtd", , "PROB_OTM", "PDBC")</f>
        <v>N/A</v>
      </c>
      <c r="V451" t="str">
        <f>RTD("tos.rtd", , "PROB_OF_TOUCHING", "PDBC")</f>
        <v>N/A</v>
      </c>
      <c r="W451" t="str">
        <f>RTD("tos.rtd", , "STRIKE", "PDBC")</f>
        <v>N/A</v>
      </c>
    </row>
    <row r="452" spans="1:23" x14ac:dyDescent="0.45">
      <c r="A452" t="s">
        <v>473</v>
      </c>
      <c r="B452" t="str">
        <f>RTD("tos.rtd", , "DESCRIPTION", ".PDBC201120C14")</f>
        <v>N/A</v>
      </c>
      <c r="C452" t="str">
        <f>RTD("tos.rtd", , "PUT_CALL_RATIO", ".PDBC201120C14")</f>
        <v>N/A</v>
      </c>
      <c r="D452" t="str">
        <f>RTD("tos.rtd", , "IMPL_VOL", ".PDBC201120C14")</f>
        <v>N/A</v>
      </c>
      <c r="E452">
        <f>RTD("tos.rtd", , "LAST", ".PDBC201120C14")</f>
        <v>0.15</v>
      </c>
      <c r="F452">
        <f>RTD("tos.rtd", , "VOLUME", ".PDBC201120C14")</f>
        <v>0</v>
      </c>
      <c r="G452">
        <f>RTD("tos.rtd", , "OPEN_INT", ".PDBC201120C14")</f>
        <v>42</v>
      </c>
      <c r="H452">
        <f>RTD("tos.rtd", , "BID", ".PDBC201120C14")</f>
        <v>0</v>
      </c>
      <c r="I452">
        <f>RTD("tos.rtd", , "ASK", ".PDBC201120C14")</f>
        <v>0.35</v>
      </c>
      <c r="J452">
        <f>RTD("tos.rtd", , "HIGH", ".PDBC201120C14")</f>
        <v>0</v>
      </c>
      <c r="K452">
        <f>RTD("tos.rtd", , "LOW", ".PDBC201120C14")</f>
        <v>0</v>
      </c>
      <c r="L452">
        <f>RTD("tos.rtd", , "OPEN", ".PDBC201120C14")</f>
        <v>0</v>
      </c>
      <c r="M452" t="str">
        <f>RTD("tos.rtd", , "DELTA", ".PDBC201120C14")</f>
        <v>N/A</v>
      </c>
      <c r="N452" t="str">
        <f>RTD("tos.rtd", , "GAMMA", ".PDBC201120C14")</f>
        <v>N/A</v>
      </c>
      <c r="O452" t="str">
        <f>RTD("tos.rtd", , "THETA", ".PDBC201120C14")</f>
        <v>N/A</v>
      </c>
      <c r="P452" t="str">
        <f>RTD("tos.rtd", , "VEGA", ".PDBC201120C14")</f>
        <v>N/A</v>
      </c>
      <c r="Q452" t="str">
        <f>RTD("tos.rtd", , "RHO", ".PDBC201120C14")</f>
        <v>N/A</v>
      </c>
      <c r="R452" t="str">
        <f>RTD("tos.rtd", , "INTRINSIC", ".PDBC201120C14")</f>
        <v>N/A</v>
      </c>
      <c r="S452" t="str">
        <f>RTD("tos.rtd", , "EXTRINSIC", ".PDBC201120C14")</f>
        <v>N/A</v>
      </c>
      <c r="T452" t="str">
        <f>RTD("tos.rtd", , "PROB_OF_EXPIRING", ".PDBC201120C14")</f>
        <v>N/A</v>
      </c>
      <c r="U452" t="str">
        <f>RTD("tos.rtd", , "PROB_OTM", ".PDBC201120C14")</f>
        <v>N/A</v>
      </c>
      <c r="V452" t="str">
        <f>RTD("tos.rtd", , "PROB_OF_TOUCHING", ".PDBC201120C14")</f>
        <v>N/A</v>
      </c>
      <c r="W452" t="str">
        <f>RTD("tos.rtd", , "STRIKE", ".PDBC201120C14")</f>
        <v>N/A</v>
      </c>
    </row>
    <row r="453" spans="1:23" x14ac:dyDescent="0.45">
      <c r="A453" t="s">
        <v>474</v>
      </c>
      <c r="B453" t="str">
        <f>RTD("tos.rtd", , "DESCRIPTION", ".PDBC201120P14")</f>
        <v>N/A</v>
      </c>
      <c r="C453" t="str">
        <f>RTD("tos.rtd", , "PUT_CALL_RATIO", ".PDBC201120P14")</f>
        <v>N/A</v>
      </c>
      <c r="D453" t="str">
        <f>RTD("tos.rtd", , "IMPL_VOL", ".PDBC201120P14")</f>
        <v>N/A</v>
      </c>
      <c r="E453">
        <f>RTD("tos.rtd", , "LAST", ".PDBC201120P14")</f>
        <v>0</v>
      </c>
      <c r="F453">
        <f>RTD("tos.rtd", , "VOLUME", ".PDBC201120P14")</f>
        <v>0</v>
      </c>
      <c r="G453">
        <f>RTD("tos.rtd", , "OPEN_INT", ".PDBC201120P14")</f>
        <v>0</v>
      </c>
      <c r="H453">
        <f>RTD("tos.rtd", , "BID", ".PDBC201120P14")</f>
        <v>0</v>
      </c>
      <c r="I453">
        <f>RTD("tos.rtd", , "ASK", ".PDBC201120P14")</f>
        <v>0.4</v>
      </c>
      <c r="J453">
        <f>RTD("tos.rtd", , "HIGH", ".PDBC201120P14")</f>
        <v>0</v>
      </c>
      <c r="K453">
        <f>RTD("tos.rtd", , "LOW", ".PDBC201120P14")</f>
        <v>0</v>
      </c>
      <c r="L453">
        <f>RTD("tos.rtd", , "OPEN", ".PDBC201120P14")</f>
        <v>0</v>
      </c>
      <c r="M453" t="str">
        <f>RTD("tos.rtd", , "DELTA", ".PDBC201120P14")</f>
        <v>N/A</v>
      </c>
      <c r="N453" t="str">
        <f>RTD("tos.rtd", , "GAMMA", ".PDBC201120P14")</f>
        <v>N/A</v>
      </c>
      <c r="O453" t="str">
        <f>RTD("tos.rtd", , "THETA", ".PDBC201120P14")</f>
        <v>N/A</v>
      </c>
      <c r="P453" t="str">
        <f>RTD("tos.rtd", , "VEGA", ".PDBC201120P14")</f>
        <v>N/A</v>
      </c>
      <c r="Q453" t="str">
        <f>RTD("tos.rtd", , "RHO", ".PDBC201120P14")</f>
        <v>N/A</v>
      </c>
      <c r="R453" t="str">
        <f>RTD("tos.rtd", , "INTRINSIC", ".PDBC201120P14")</f>
        <v>N/A</v>
      </c>
      <c r="S453" t="str">
        <f>RTD("tos.rtd", , "EXTRINSIC", ".PDBC201120P14")</f>
        <v>N/A</v>
      </c>
      <c r="T453" t="str">
        <f>RTD("tos.rtd", , "PROB_OF_EXPIRING", ".PDBC201120P14")</f>
        <v>N/A</v>
      </c>
      <c r="U453" t="str">
        <f>RTD("tos.rtd", , "PROB_OTM", ".PDBC201120P14")</f>
        <v>N/A</v>
      </c>
      <c r="V453" t="str">
        <f>RTD("tos.rtd", , "PROB_OF_TOUCHING", ".PDBC201120P14")</f>
        <v>N/A</v>
      </c>
      <c r="W453" t="str">
        <f>RTD("tos.rtd", , "STRIKE", ".PDBC201120P14")</f>
        <v>N/A</v>
      </c>
    </row>
    <row r="454" spans="1:23" x14ac:dyDescent="0.45">
      <c r="A454" t="s">
        <v>475</v>
      </c>
      <c r="B454" t="str">
        <f>RTD("tos.rtd", , "DESCRIPTION", "PGX")</f>
        <v>N/A</v>
      </c>
      <c r="C454">
        <f>RTD("tos.rtd", , "PUT_CALL_RATIO", "PGX")</f>
        <v>0.66700000000000004</v>
      </c>
      <c r="D454" t="str">
        <f>RTD("tos.rtd", , "IMPL_VOL", "PGX")</f>
        <v>2.12%</v>
      </c>
      <c r="E454">
        <f>RTD("tos.rtd", , "LAST", "PGX")</f>
        <v>14.96</v>
      </c>
      <c r="F454">
        <f>RTD("tos.rtd", , "VOLUME", "PGX")</f>
        <v>2509129</v>
      </c>
      <c r="G454">
        <f>RTD("tos.rtd", , "OPEN_INT", "PGX")</f>
        <v>0</v>
      </c>
      <c r="H454">
        <f>RTD("tos.rtd", , "BID", "PGX")</f>
        <v>14.94</v>
      </c>
      <c r="I454">
        <f>RTD("tos.rtd", , "ASK", "PGX")</f>
        <v>14.96</v>
      </c>
      <c r="J454">
        <f>RTD("tos.rtd", , "HIGH", "PGX")</f>
        <v>14.99</v>
      </c>
      <c r="K454">
        <f>RTD("tos.rtd", , "LOW", "PGX")</f>
        <v>14.9201</v>
      </c>
      <c r="L454">
        <f>RTD("tos.rtd", , "OPEN", "PGX")</f>
        <v>14.93</v>
      </c>
      <c r="M454">
        <f>RTD("tos.rtd", , "DELTA", "PGX")</f>
        <v>1</v>
      </c>
      <c r="N454">
        <f>RTD("tos.rtd", , "GAMMA", "PGX")</f>
        <v>0</v>
      </c>
      <c r="O454">
        <f>RTD("tos.rtd", , "THETA", "PGX")</f>
        <v>0</v>
      </c>
      <c r="P454">
        <f>RTD("tos.rtd", , "VEGA", "PGX")</f>
        <v>0</v>
      </c>
      <c r="Q454">
        <f>RTD("tos.rtd", , "RHO", "PGX")</f>
        <v>0</v>
      </c>
      <c r="R454" t="str">
        <f>RTD("tos.rtd", , "INTRINSIC", "PGX")</f>
        <v>N/A</v>
      </c>
      <c r="S454" t="str">
        <f>RTD("tos.rtd", , "EXTRINSIC", "PGX")</f>
        <v>N/A</v>
      </c>
      <c r="T454" t="str">
        <f>RTD("tos.rtd", , "PROB_OF_EXPIRING", "PGX")</f>
        <v>N/A</v>
      </c>
      <c r="U454" t="str">
        <f>RTD("tos.rtd", , "PROB_OTM", "PGX")</f>
        <v>N/A</v>
      </c>
      <c r="V454" t="str">
        <f>RTD("tos.rtd", , "PROB_OF_TOUCHING", "PGX")</f>
        <v>N/A</v>
      </c>
      <c r="W454" t="str">
        <f>RTD("tos.rtd", , "STRIKE", "PGX")</f>
        <v>N/A</v>
      </c>
    </row>
    <row r="455" spans="1:23" x14ac:dyDescent="0.45">
      <c r="A455" t="s">
        <v>476</v>
      </c>
      <c r="B455" t="str">
        <f>RTD("tos.rtd", , "DESCRIPTION", ".PGX201120C15")</f>
        <v>N/A</v>
      </c>
      <c r="C455" t="str">
        <f>RTD("tos.rtd", , "PUT_CALL_RATIO", ".PGX201120C15")</f>
        <v>N/A</v>
      </c>
      <c r="D455" t="str">
        <f>RTD("tos.rtd", , "IMPL_VOL", ".PGX201120C15")</f>
        <v>N/A</v>
      </c>
      <c r="E455" t="str">
        <f>RTD("tos.rtd", , "LAST", ".PGX201120C15")</f>
        <v>N/A</v>
      </c>
      <c r="F455" t="str">
        <f>RTD("tos.rtd", , "VOLUME", ".PGX201120C15")</f>
        <v>N/A</v>
      </c>
      <c r="G455" t="str">
        <f>RTD("tos.rtd", , "OPEN_INT", ".PGX201120C15")</f>
        <v>N/A</v>
      </c>
      <c r="H455" t="str">
        <f>RTD("tos.rtd", , "BID", ".PGX201120C15")</f>
        <v>N/A</v>
      </c>
      <c r="I455" t="str">
        <f>RTD("tos.rtd", , "ASK", ".PGX201120C15")</f>
        <v>N/A</v>
      </c>
      <c r="J455" t="str">
        <f>RTD("tos.rtd", , "HIGH", ".PGX201120C15")</f>
        <v>N/A</v>
      </c>
      <c r="K455" t="str">
        <f>RTD("tos.rtd", , "LOW", ".PGX201120C15")</f>
        <v>N/A</v>
      </c>
      <c r="L455" t="str">
        <f>RTD("tos.rtd", , "OPEN", ".PGX201120C15")</f>
        <v>N/A</v>
      </c>
      <c r="M455" t="str">
        <f>RTD("tos.rtd", , "DELTA", ".PGX201120C15")</f>
        <v>N/A</v>
      </c>
      <c r="N455" t="str">
        <f>RTD("tos.rtd", , "GAMMA", ".PGX201120C15")</f>
        <v>N/A</v>
      </c>
      <c r="O455" t="str">
        <f>RTD("tos.rtd", , "THETA", ".PGX201120C15")</f>
        <v>N/A</v>
      </c>
      <c r="P455" t="str">
        <f>RTD("tos.rtd", , "VEGA", ".PGX201120C15")</f>
        <v>N/A</v>
      </c>
      <c r="Q455" t="str">
        <f>RTD("tos.rtd", , "RHO", ".PGX201120C15")</f>
        <v>N/A</v>
      </c>
      <c r="R455" t="str">
        <f>RTD("tos.rtd", , "INTRINSIC", ".PGX201120C15")</f>
        <v>N/A</v>
      </c>
      <c r="S455" t="str">
        <f>RTD("tos.rtd", , "EXTRINSIC", ".PGX201120C15")</f>
        <v>N/A</v>
      </c>
      <c r="T455" t="str">
        <f>RTD("tos.rtd", , "PROB_OF_EXPIRING", ".PGX201120C15")</f>
        <v>N/A</v>
      </c>
      <c r="U455" t="str">
        <f>RTD("tos.rtd", , "PROB_OTM", ".PGX201120C15")</f>
        <v>N/A</v>
      </c>
      <c r="V455" t="str">
        <f>RTD("tos.rtd", , "PROB_OF_TOUCHING", ".PGX201120C15")</f>
        <v>N/A</v>
      </c>
      <c r="W455" t="str">
        <f>RTD("tos.rtd", , "STRIKE", ".PGX201120C15")</f>
        <v>N/A</v>
      </c>
    </row>
    <row r="456" spans="1:23" x14ac:dyDescent="0.45">
      <c r="A456" t="s">
        <v>477</v>
      </c>
      <c r="B456" t="str">
        <f>RTD("tos.rtd", , "DESCRIPTION", ".PGX201120P15")</f>
        <v>N/A</v>
      </c>
      <c r="C456" t="str">
        <f>RTD("tos.rtd", , "PUT_CALL_RATIO", ".PGX201120P15")</f>
        <v>N/A</v>
      </c>
      <c r="D456" t="str">
        <f>RTD("tos.rtd", , "IMPL_VOL", ".PGX201120P15")</f>
        <v>N/A</v>
      </c>
      <c r="E456" t="str">
        <f>RTD("tos.rtd", , "LAST", ".PGX201120P15")</f>
        <v>N/A</v>
      </c>
      <c r="F456" t="str">
        <f>RTD("tos.rtd", , "VOLUME", ".PGX201120P15")</f>
        <v>N/A</v>
      </c>
      <c r="G456" t="str">
        <f>RTD("tos.rtd", , "OPEN_INT", ".PGX201120P15")</f>
        <v>N/A</v>
      </c>
      <c r="H456" t="str">
        <f>RTD("tos.rtd", , "BID", ".PGX201120P15")</f>
        <v>N/A</v>
      </c>
      <c r="I456" t="str">
        <f>RTD("tos.rtd", , "ASK", ".PGX201120P15")</f>
        <v>N/A</v>
      </c>
      <c r="J456" t="str">
        <f>RTD("tos.rtd", , "HIGH", ".PGX201120P15")</f>
        <v>N/A</v>
      </c>
      <c r="K456" t="str">
        <f>RTD("tos.rtd", , "LOW", ".PGX201120P15")</f>
        <v>N/A</v>
      </c>
      <c r="L456" t="str">
        <f>RTD("tos.rtd", , "OPEN", ".PGX201120P15")</f>
        <v>N/A</v>
      </c>
      <c r="M456" t="str">
        <f>RTD("tos.rtd", , "DELTA", ".PGX201120P15")</f>
        <v>N/A</v>
      </c>
      <c r="N456" t="str">
        <f>RTD("tos.rtd", , "GAMMA", ".PGX201120P15")</f>
        <v>N/A</v>
      </c>
      <c r="O456" t="str">
        <f>RTD("tos.rtd", , "THETA", ".PGX201120P15")</f>
        <v>N/A</v>
      </c>
      <c r="P456" t="str">
        <f>RTD("tos.rtd", , "VEGA", ".PGX201120P15")</f>
        <v>N/A</v>
      </c>
      <c r="Q456" t="str">
        <f>RTD("tos.rtd", , "RHO", ".PGX201120P15")</f>
        <v>N/A</v>
      </c>
      <c r="R456" t="str">
        <f>RTD("tos.rtd", , "INTRINSIC", ".PGX201120P15")</f>
        <v>N/A</v>
      </c>
      <c r="S456" t="str">
        <f>RTD("tos.rtd", , "EXTRINSIC", ".PGX201120P15")</f>
        <v>N/A</v>
      </c>
      <c r="T456" t="str">
        <f>RTD("tos.rtd", , "PROB_OF_EXPIRING", ".PGX201120P15")</f>
        <v>N/A</v>
      </c>
      <c r="U456" t="str">
        <f>RTD("tos.rtd", , "PROB_OTM", ".PGX201120P15")</f>
        <v>N/A</v>
      </c>
      <c r="V456" t="str">
        <f>RTD("tos.rtd", , "PROB_OF_TOUCHING", ".PGX201120P15")</f>
        <v>N/A</v>
      </c>
      <c r="W456" t="str">
        <f>RTD("tos.rtd", , "STRIKE", ".PGX201120P15")</f>
        <v>N/A</v>
      </c>
    </row>
    <row r="457" spans="1:23" x14ac:dyDescent="0.45">
      <c r="A457" t="s">
        <v>478</v>
      </c>
      <c r="B457" t="str">
        <f>RTD("tos.rtd", , "DESCRIPTION", "PXH")</f>
        <v>N/A</v>
      </c>
      <c r="C457">
        <f>RTD("tos.rtd", , "PUT_CALL_RATIO", "PXH")</f>
        <v>4</v>
      </c>
      <c r="D457" t="str">
        <f>RTD("tos.rtd", , "IMPL_VOL", "PXH")</f>
        <v>61.47%</v>
      </c>
      <c r="E457">
        <f>RTD("tos.rtd", , "LAST", "PXH")</f>
        <v>19.23</v>
      </c>
      <c r="F457">
        <f>RTD("tos.rtd", , "VOLUME", "PXH")</f>
        <v>2445768</v>
      </c>
      <c r="G457">
        <f>RTD("tos.rtd", , "OPEN_INT", "PXH")</f>
        <v>0</v>
      </c>
      <c r="H457">
        <f>RTD("tos.rtd", , "BID", "PXH")</f>
        <v>11.99</v>
      </c>
      <c r="I457">
        <f>RTD("tos.rtd", , "ASK", "PXH")</f>
        <v>19.989999999999998</v>
      </c>
      <c r="J457">
        <f>RTD("tos.rtd", , "HIGH", "PXH")</f>
        <v>19.5</v>
      </c>
      <c r="K457">
        <f>RTD("tos.rtd", , "LOW", "PXH")</f>
        <v>19.190000000000001</v>
      </c>
      <c r="L457">
        <f>RTD("tos.rtd", , "OPEN", "PXH")</f>
        <v>19.46</v>
      </c>
      <c r="M457">
        <f>RTD("tos.rtd", , "DELTA", "PXH")</f>
        <v>1</v>
      </c>
      <c r="N457">
        <f>RTD("tos.rtd", , "GAMMA", "PXH")</f>
        <v>0</v>
      </c>
      <c r="O457">
        <f>RTD("tos.rtd", , "THETA", "PXH")</f>
        <v>0</v>
      </c>
      <c r="P457">
        <f>RTD("tos.rtd", , "VEGA", "PXH")</f>
        <v>0</v>
      </c>
      <c r="Q457">
        <f>RTD("tos.rtd", , "RHO", "PXH")</f>
        <v>0</v>
      </c>
      <c r="R457" t="str">
        <f>RTD("tos.rtd", , "INTRINSIC", "PXH")</f>
        <v>N/A</v>
      </c>
      <c r="S457" t="str">
        <f>RTD("tos.rtd", , "EXTRINSIC", "PXH")</f>
        <v>N/A</v>
      </c>
      <c r="T457" t="str">
        <f>RTD("tos.rtd", , "PROB_OF_EXPIRING", "PXH")</f>
        <v>N/A</v>
      </c>
      <c r="U457" t="str">
        <f>RTD("tos.rtd", , "PROB_OTM", "PXH")</f>
        <v>N/A</v>
      </c>
      <c r="V457" t="str">
        <f>RTD("tos.rtd", , "PROB_OF_TOUCHING", "PXH")</f>
        <v>N/A</v>
      </c>
      <c r="W457" t="str">
        <f>RTD("tos.rtd", , "STRIKE", "PXH")</f>
        <v>N/A</v>
      </c>
    </row>
    <row r="458" spans="1:23" x14ac:dyDescent="0.45">
      <c r="A458" t="s">
        <v>479</v>
      </c>
      <c r="B458" t="str">
        <f>RTD("tos.rtd", , "DESCRIPTION", ".PXH201120C19")</f>
        <v>N/A</v>
      </c>
      <c r="C458" t="str">
        <f>RTD("tos.rtd", , "PUT_CALL_RATIO", ".PXH201120C19")</f>
        <v>N/A</v>
      </c>
      <c r="D458" t="str">
        <f>RTD("tos.rtd", , "IMPL_VOL", ".PXH201120C19")</f>
        <v>N/A</v>
      </c>
      <c r="E458" t="str">
        <f>RTD("tos.rtd", , "LAST", ".PXH201120C19")</f>
        <v>N/A</v>
      </c>
      <c r="F458" t="str">
        <f>RTD("tos.rtd", , "VOLUME", ".PXH201120C19")</f>
        <v>N/A</v>
      </c>
      <c r="G458" t="str">
        <f>RTD("tos.rtd", , "OPEN_INT", ".PXH201120C19")</f>
        <v>N/A</v>
      </c>
      <c r="H458" t="str">
        <f>RTD("tos.rtd", , "BID", ".PXH201120C19")</f>
        <v>N/A</v>
      </c>
      <c r="I458" t="str">
        <f>RTD("tos.rtd", , "ASK", ".PXH201120C19")</f>
        <v>N/A</v>
      </c>
      <c r="J458" t="str">
        <f>RTD("tos.rtd", , "HIGH", ".PXH201120C19")</f>
        <v>N/A</v>
      </c>
      <c r="K458" t="str">
        <f>RTD("tos.rtd", , "LOW", ".PXH201120C19")</f>
        <v>N/A</v>
      </c>
      <c r="L458" t="str">
        <f>RTD("tos.rtd", , "OPEN", ".PXH201120C19")</f>
        <v>N/A</v>
      </c>
      <c r="M458" t="str">
        <f>RTD("tos.rtd", , "DELTA", ".PXH201120C19")</f>
        <v>N/A</v>
      </c>
      <c r="N458" t="str">
        <f>RTD("tos.rtd", , "GAMMA", ".PXH201120C19")</f>
        <v>N/A</v>
      </c>
      <c r="O458" t="str">
        <f>RTD("tos.rtd", , "THETA", ".PXH201120C19")</f>
        <v>N/A</v>
      </c>
      <c r="P458" t="str">
        <f>RTD("tos.rtd", , "VEGA", ".PXH201120C19")</f>
        <v>N/A</v>
      </c>
      <c r="Q458" t="str">
        <f>RTD("tos.rtd", , "RHO", ".PXH201120C19")</f>
        <v>N/A</v>
      </c>
      <c r="R458" t="str">
        <f>RTD("tos.rtd", , "INTRINSIC", ".PXH201120C19")</f>
        <v>N/A</v>
      </c>
      <c r="S458" t="str">
        <f>RTD("tos.rtd", , "EXTRINSIC", ".PXH201120C19")</f>
        <v>N/A</v>
      </c>
      <c r="T458" t="str">
        <f>RTD("tos.rtd", , "PROB_OF_EXPIRING", ".PXH201120C19")</f>
        <v>N/A</v>
      </c>
      <c r="U458" t="str">
        <f>RTD("tos.rtd", , "PROB_OTM", ".PXH201120C19")</f>
        <v>N/A</v>
      </c>
      <c r="V458" t="str">
        <f>RTD("tos.rtd", , "PROB_OF_TOUCHING", ".PXH201120C19")</f>
        <v>N/A</v>
      </c>
      <c r="W458" t="str">
        <f>RTD("tos.rtd", , "STRIKE", ".PXH201120C19")</f>
        <v>N/A</v>
      </c>
    </row>
    <row r="459" spans="1:23" x14ac:dyDescent="0.45">
      <c r="A459" t="s">
        <v>480</v>
      </c>
      <c r="B459" t="str">
        <f>RTD("tos.rtd", , "DESCRIPTION", ".PXH201120P19")</f>
        <v>N/A</v>
      </c>
      <c r="C459" t="str">
        <f>RTD("tos.rtd", , "PUT_CALL_RATIO", ".PXH201120P19")</f>
        <v>N/A</v>
      </c>
      <c r="D459" t="str">
        <f>RTD("tos.rtd", , "IMPL_VOL", ".PXH201120P19")</f>
        <v>N/A</v>
      </c>
      <c r="E459">
        <f>RTD("tos.rtd", , "LAST", ".PXH201120P19")</f>
        <v>0</v>
      </c>
      <c r="F459">
        <f>RTD("tos.rtd", , "VOLUME", ".PXH201120P19")</f>
        <v>0</v>
      </c>
      <c r="G459">
        <f>RTD("tos.rtd", , "OPEN_INT", ".PXH201120P19")</f>
        <v>0</v>
      </c>
      <c r="H459">
        <f>RTD("tos.rtd", , "BID", ".PXH201120P19")</f>
        <v>0</v>
      </c>
      <c r="I459">
        <f>RTD("tos.rtd", , "ASK", ".PXH201120P19")</f>
        <v>1.65</v>
      </c>
      <c r="J459">
        <f>RTD("tos.rtd", , "HIGH", ".PXH201120P19")</f>
        <v>0</v>
      </c>
      <c r="K459">
        <f>RTD("tos.rtd", , "LOW", ".PXH201120P19")</f>
        <v>0</v>
      </c>
      <c r="L459">
        <f>RTD("tos.rtd", , "OPEN", ".PXH201120P19")</f>
        <v>0</v>
      </c>
      <c r="M459" t="str">
        <f>RTD("tos.rtd", , "DELTA", ".PXH201120P19")</f>
        <v>N/A</v>
      </c>
      <c r="N459" t="str">
        <f>RTD("tos.rtd", , "GAMMA", ".PXH201120P19")</f>
        <v>N/A</v>
      </c>
      <c r="O459" t="str">
        <f>RTD("tos.rtd", , "THETA", ".PXH201120P19")</f>
        <v>N/A</v>
      </c>
      <c r="P459" t="str">
        <f>RTD("tos.rtd", , "VEGA", ".PXH201120P19")</f>
        <v>N/A</v>
      </c>
      <c r="Q459" t="str">
        <f>RTD("tos.rtd", , "RHO", ".PXH201120P19")</f>
        <v>N/A</v>
      </c>
      <c r="R459" t="str">
        <f>RTD("tos.rtd", , "INTRINSIC", ".PXH201120P19")</f>
        <v>N/A</v>
      </c>
      <c r="S459" t="str">
        <f>RTD("tos.rtd", , "EXTRINSIC", ".PXH201120P19")</f>
        <v>N/A</v>
      </c>
      <c r="T459" t="str">
        <f>RTD("tos.rtd", , "PROB_OF_EXPIRING", ".PXH201120P19")</f>
        <v>N/A</v>
      </c>
      <c r="U459" t="str">
        <f>RTD("tos.rtd", , "PROB_OTM", ".PXH201120P19")</f>
        <v>N/A</v>
      </c>
      <c r="V459" t="str">
        <f>RTD("tos.rtd", , "PROB_OF_TOUCHING", ".PXH201120P19")</f>
        <v>N/A</v>
      </c>
      <c r="W459" t="str">
        <f>RTD("tos.rtd", , "STRIKE", ".PXH201120P19")</f>
        <v>N/A</v>
      </c>
    </row>
    <row r="460" spans="1:23" x14ac:dyDescent="0.45">
      <c r="A460" t="s">
        <v>481</v>
      </c>
      <c r="B460" t="str">
        <f>RTD("tos.rtd", , "DESCRIPTION", ".PXH201120C20")</f>
        <v>N/A</v>
      </c>
      <c r="C460" t="str">
        <f>RTD("tos.rtd", , "PUT_CALL_RATIO", ".PXH201120C20")</f>
        <v>N/A</v>
      </c>
      <c r="D460" t="str">
        <f>RTD("tos.rtd", , "IMPL_VOL", ".PXH201120C20")</f>
        <v>N/A</v>
      </c>
      <c r="E460" t="str">
        <f>RTD("tos.rtd", , "LAST", ".PXH201120C20")</f>
        <v>N/A</v>
      </c>
      <c r="F460" t="str">
        <f>RTD("tos.rtd", , "VOLUME", ".PXH201120C20")</f>
        <v>N/A</v>
      </c>
      <c r="G460" t="str">
        <f>RTD("tos.rtd", , "OPEN_INT", ".PXH201120C20")</f>
        <v>N/A</v>
      </c>
      <c r="H460" t="str">
        <f>RTD("tos.rtd", , "BID", ".PXH201120C20")</f>
        <v>N/A</v>
      </c>
      <c r="I460" t="str">
        <f>RTD("tos.rtd", , "ASK", ".PXH201120C20")</f>
        <v>N/A</v>
      </c>
      <c r="J460" t="str">
        <f>RTD("tos.rtd", , "HIGH", ".PXH201120C20")</f>
        <v>N/A</v>
      </c>
      <c r="K460" t="str">
        <f>RTD("tos.rtd", , "LOW", ".PXH201120C20")</f>
        <v>N/A</v>
      </c>
      <c r="L460" t="str">
        <f>RTD("tos.rtd", , "OPEN", ".PXH201120C20")</f>
        <v>N/A</v>
      </c>
      <c r="M460" t="str">
        <f>RTD("tos.rtd", , "DELTA", ".PXH201120C20")</f>
        <v>N/A</v>
      </c>
      <c r="N460" t="str">
        <f>RTD("tos.rtd", , "GAMMA", ".PXH201120C20")</f>
        <v>N/A</v>
      </c>
      <c r="O460" t="str">
        <f>RTD("tos.rtd", , "THETA", ".PXH201120C20")</f>
        <v>N/A</v>
      </c>
      <c r="P460" t="str">
        <f>RTD("tos.rtd", , "VEGA", ".PXH201120C20")</f>
        <v>N/A</v>
      </c>
      <c r="Q460" t="str">
        <f>RTD("tos.rtd", , "RHO", ".PXH201120C20")</f>
        <v>N/A</v>
      </c>
      <c r="R460" t="str">
        <f>RTD("tos.rtd", , "INTRINSIC", ".PXH201120C20")</f>
        <v>N/A</v>
      </c>
      <c r="S460" t="str">
        <f>RTD("tos.rtd", , "EXTRINSIC", ".PXH201120C20")</f>
        <v>N/A</v>
      </c>
      <c r="T460" t="str">
        <f>RTD("tos.rtd", , "PROB_OF_EXPIRING", ".PXH201120C20")</f>
        <v>N/A</v>
      </c>
      <c r="U460" t="str">
        <f>RTD("tos.rtd", , "PROB_OTM", ".PXH201120C20")</f>
        <v>N/A</v>
      </c>
      <c r="V460" t="str">
        <f>RTD("tos.rtd", , "PROB_OF_TOUCHING", ".PXH201120C20")</f>
        <v>N/A</v>
      </c>
      <c r="W460" t="str">
        <f>RTD("tos.rtd", , "STRIKE", ".PXH201120C20")</f>
        <v>N/A</v>
      </c>
    </row>
    <row r="461" spans="1:23" x14ac:dyDescent="0.45">
      <c r="A461" t="s">
        <v>482</v>
      </c>
      <c r="B461" t="str">
        <f>RTD("tos.rtd", , "DESCRIPTION", ".PXH201120P20")</f>
        <v>N/A</v>
      </c>
      <c r="C461" t="str">
        <f>RTD("tos.rtd", , "PUT_CALL_RATIO", ".PXH201120P20")</f>
        <v>N/A</v>
      </c>
      <c r="D461" t="str">
        <f>RTD("tos.rtd", , "IMPL_VOL", ".PXH201120P20")</f>
        <v>N/A</v>
      </c>
      <c r="E461" t="str">
        <f>RTD("tos.rtd", , "LAST", ".PXH201120P20")</f>
        <v>N/A</v>
      </c>
      <c r="F461" t="str">
        <f>RTD("tos.rtd", , "VOLUME", ".PXH201120P20")</f>
        <v>N/A</v>
      </c>
      <c r="G461" t="str">
        <f>RTD("tos.rtd", , "OPEN_INT", ".PXH201120P20")</f>
        <v>N/A</v>
      </c>
      <c r="H461" t="str">
        <f>RTD("tos.rtd", , "BID", ".PXH201120P20")</f>
        <v>N/A</v>
      </c>
      <c r="I461" t="str">
        <f>RTD("tos.rtd", , "ASK", ".PXH201120P20")</f>
        <v>N/A</v>
      </c>
      <c r="J461" t="str">
        <f>RTD("tos.rtd", , "HIGH", ".PXH201120P20")</f>
        <v>N/A</v>
      </c>
      <c r="K461" t="str">
        <f>RTD("tos.rtd", , "LOW", ".PXH201120P20")</f>
        <v>N/A</v>
      </c>
      <c r="L461" t="str">
        <f>RTD("tos.rtd", , "OPEN", ".PXH201120P20")</f>
        <v>N/A</v>
      </c>
      <c r="M461" t="str">
        <f>RTD("tos.rtd", , "DELTA", ".PXH201120P20")</f>
        <v>N/A</v>
      </c>
      <c r="N461" t="str">
        <f>RTD("tos.rtd", , "GAMMA", ".PXH201120P20")</f>
        <v>N/A</v>
      </c>
      <c r="O461" t="str">
        <f>RTD("tos.rtd", , "THETA", ".PXH201120P20")</f>
        <v>N/A</v>
      </c>
      <c r="P461" t="str">
        <f>RTD("tos.rtd", , "VEGA", ".PXH201120P20")</f>
        <v>N/A</v>
      </c>
      <c r="Q461" t="str">
        <f>RTD("tos.rtd", , "RHO", ".PXH201120P20")</f>
        <v>N/A</v>
      </c>
      <c r="R461" t="str">
        <f>RTD("tos.rtd", , "INTRINSIC", ".PXH201120P20")</f>
        <v>N/A</v>
      </c>
      <c r="S461" t="str">
        <f>RTD("tos.rtd", , "EXTRINSIC", ".PXH201120P20")</f>
        <v>N/A</v>
      </c>
      <c r="T461" t="str">
        <f>RTD("tos.rtd", , "PROB_OF_EXPIRING", ".PXH201120P20")</f>
        <v>N/A</v>
      </c>
      <c r="U461" t="str">
        <f>RTD("tos.rtd", , "PROB_OTM", ".PXH201120P20")</f>
        <v>N/A</v>
      </c>
      <c r="V461" t="str">
        <f>RTD("tos.rtd", , "PROB_OF_TOUCHING", ".PXH201120P20")</f>
        <v>N/A</v>
      </c>
      <c r="W461" t="str">
        <f>RTD("tos.rtd", , "STRIKE", ".PXH201120P20")</f>
        <v>N/A</v>
      </c>
    </row>
    <row r="462" spans="1:23" x14ac:dyDescent="0.45">
      <c r="A462" t="s">
        <v>483</v>
      </c>
      <c r="B462" t="str">
        <f>RTD("tos.rtd", , "DESCRIPTION", "QLD")</f>
        <v>N/A</v>
      </c>
      <c r="C462">
        <f>RTD("tos.rtd", , "PUT_CALL_RATIO", "QLD")</f>
        <v>0.85899999999999999</v>
      </c>
      <c r="D462" t="str">
        <f>RTD("tos.rtd", , "IMPL_VOL", "QLD")</f>
        <v>55.08%</v>
      </c>
      <c r="E462">
        <f>RTD("tos.rtd", , "LAST", "QLD")</f>
        <v>97.38</v>
      </c>
      <c r="F462">
        <f>RTD("tos.rtd", , "VOLUME", "QLD")</f>
        <v>1582066</v>
      </c>
      <c r="G462">
        <f>RTD("tos.rtd", , "OPEN_INT", "QLD")</f>
        <v>0</v>
      </c>
      <c r="H462">
        <f>RTD("tos.rtd", , "BID", "QLD")</f>
        <v>97.39</v>
      </c>
      <c r="I462">
        <f>RTD("tos.rtd", , "ASK", "QLD")</f>
        <v>97.44</v>
      </c>
      <c r="J462">
        <f>RTD("tos.rtd", , "HIGH", "QLD")</f>
        <v>99.83</v>
      </c>
      <c r="K462">
        <f>RTD("tos.rtd", , "LOW", "QLD")</f>
        <v>96.56</v>
      </c>
      <c r="L462">
        <f>RTD("tos.rtd", , "OPEN", "QLD")</f>
        <v>98.84</v>
      </c>
      <c r="M462">
        <f>RTD("tos.rtd", , "DELTA", "QLD")</f>
        <v>1</v>
      </c>
      <c r="N462">
        <f>RTD("tos.rtd", , "GAMMA", "QLD")</f>
        <v>0</v>
      </c>
      <c r="O462">
        <f>RTD("tos.rtd", , "THETA", "QLD")</f>
        <v>0</v>
      </c>
      <c r="P462">
        <f>RTD("tos.rtd", , "VEGA", "QLD")</f>
        <v>0</v>
      </c>
      <c r="Q462">
        <f>RTD("tos.rtd", , "RHO", "QLD")</f>
        <v>0</v>
      </c>
      <c r="R462" t="str">
        <f>RTD("tos.rtd", , "INTRINSIC", "QLD")</f>
        <v>N/A</v>
      </c>
      <c r="S462" t="str">
        <f>RTD("tos.rtd", , "EXTRINSIC", "QLD")</f>
        <v>N/A</v>
      </c>
      <c r="T462" t="str">
        <f>RTD("tos.rtd", , "PROB_OF_EXPIRING", "QLD")</f>
        <v>N/A</v>
      </c>
      <c r="U462" t="str">
        <f>RTD("tos.rtd", , "PROB_OTM", "QLD")</f>
        <v>N/A</v>
      </c>
      <c r="V462" t="str">
        <f>RTD("tos.rtd", , "PROB_OF_TOUCHING", "QLD")</f>
        <v>N/A</v>
      </c>
      <c r="W462" t="str">
        <f>RTD("tos.rtd", , "STRIKE", "QLD")</f>
        <v>N/A</v>
      </c>
    </row>
    <row r="463" spans="1:23" x14ac:dyDescent="0.45">
      <c r="A463" t="s">
        <v>484</v>
      </c>
      <c r="B463" t="str">
        <f>RTD("tos.rtd", , "DESCRIPTION", ".QLD201120C96")</f>
        <v>N/A</v>
      </c>
      <c r="C463" t="str">
        <f>RTD("tos.rtd", , "PUT_CALL_RATIO", ".QLD201120C96")</f>
        <v>N/A</v>
      </c>
      <c r="D463" t="str">
        <f>RTD("tos.rtd", , "IMPL_VOL", ".QLD201120C96")</f>
        <v>N/A</v>
      </c>
      <c r="E463">
        <f>RTD("tos.rtd", , "LAST", ".QLD201120C96")</f>
        <v>6.21</v>
      </c>
      <c r="F463">
        <f>RTD("tos.rtd", , "VOLUME", ".QLD201120C96")</f>
        <v>0</v>
      </c>
      <c r="G463">
        <f>RTD("tos.rtd", , "OPEN_INT", ".QLD201120C96")</f>
        <v>131</v>
      </c>
      <c r="H463">
        <f>RTD("tos.rtd", , "BID", ".QLD201120C96")</f>
        <v>3.7</v>
      </c>
      <c r="I463">
        <f>RTD("tos.rtd", , "ASK", ".QLD201120C96")</f>
        <v>5.4</v>
      </c>
      <c r="J463">
        <f>RTD("tos.rtd", , "HIGH", ".QLD201120C96")</f>
        <v>0</v>
      </c>
      <c r="K463">
        <f>RTD("tos.rtd", , "LOW", ".QLD201120C96")</f>
        <v>0</v>
      </c>
      <c r="L463">
        <f>RTD("tos.rtd", , "OPEN", ".QLD201120C96")</f>
        <v>0</v>
      </c>
      <c r="M463" t="str">
        <f>RTD("tos.rtd", , "DELTA", ".QLD201120C96")</f>
        <v>N/A</v>
      </c>
      <c r="N463" t="str">
        <f>RTD("tos.rtd", , "GAMMA", ".QLD201120C96")</f>
        <v>N/A</v>
      </c>
      <c r="O463" t="str">
        <f>RTD("tos.rtd", , "THETA", ".QLD201120C96")</f>
        <v>N/A</v>
      </c>
      <c r="P463" t="str">
        <f>RTD("tos.rtd", , "VEGA", ".QLD201120C96")</f>
        <v>N/A</v>
      </c>
      <c r="Q463" t="str">
        <f>RTD("tos.rtd", , "RHO", ".QLD201120C96")</f>
        <v>N/A</v>
      </c>
      <c r="R463" t="str">
        <f>RTD("tos.rtd", , "INTRINSIC", ".QLD201120C96")</f>
        <v>N/A</v>
      </c>
      <c r="S463" t="str">
        <f>RTD("tos.rtd", , "EXTRINSIC", ".QLD201120C96")</f>
        <v>N/A</v>
      </c>
      <c r="T463" t="str">
        <f>RTD("tos.rtd", , "PROB_OF_EXPIRING", ".QLD201120C96")</f>
        <v>N/A</v>
      </c>
      <c r="U463" t="str">
        <f>RTD("tos.rtd", , "PROB_OTM", ".QLD201120C96")</f>
        <v>N/A</v>
      </c>
      <c r="V463" t="str">
        <f>RTD("tos.rtd", , "PROB_OF_TOUCHING", ".QLD201120C96")</f>
        <v>N/A</v>
      </c>
      <c r="W463" t="str">
        <f>RTD("tos.rtd", , "STRIKE", ".QLD201120C96")</f>
        <v>N/A</v>
      </c>
    </row>
    <row r="464" spans="1:23" x14ac:dyDescent="0.45">
      <c r="A464" t="s">
        <v>485</v>
      </c>
      <c r="B464" t="str">
        <f>RTD("tos.rtd", , "DESCRIPTION", ".QLD201120P96")</f>
        <v>N/A</v>
      </c>
      <c r="C464" t="str">
        <f>RTD("tos.rtd", , "PUT_CALL_RATIO", ".QLD201120P96")</f>
        <v>N/A</v>
      </c>
      <c r="D464" t="str">
        <f>RTD("tos.rtd", , "IMPL_VOL", ".QLD201120P96")</f>
        <v>N/A</v>
      </c>
      <c r="E464">
        <f>RTD("tos.rtd", , "LAST", ".QLD201120P96")</f>
        <v>2.5</v>
      </c>
      <c r="F464">
        <f>RTD("tos.rtd", , "VOLUME", ".QLD201120P96")</f>
        <v>2</v>
      </c>
      <c r="G464">
        <f>RTD("tos.rtd", , "OPEN_INT", ".QLD201120P96")</f>
        <v>138</v>
      </c>
      <c r="H464">
        <f>RTD("tos.rtd", , "BID", ".QLD201120P96")</f>
        <v>2.5</v>
      </c>
      <c r="I464">
        <f>RTD("tos.rtd", , "ASK", ".QLD201120P96")</f>
        <v>2.7</v>
      </c>
      <c r="J464">
        <f>RTD("tos.rtd", , "HIGH", ".QLD201120P96")</f>
        <v>2.5</v>
      </c>
      <c r="K464">
        <f>RTD("tos.rtd", , "LOW", ".QLD201120P96")</f>
        <v>2.35</v>
      </c>
      <c r="L464">
        <f>RTD("tos.rtd", , "OPEN", ".QLD201120P96")</f>
        <v>2.35</v>
      </c>
      <c r="M464" t="str">
        <f>RTD("tos.rtd", , "DELTA", ".QLD201120P96")</f>
        <v>N/A</v>
      </c>
      <c r="N464" t="str">
        <f>RTD("tos.rtd", , "GAMMA", ".QLD201120P96")</f>
        <v>N/A</v>
      </c>
      <c r="O464" t="str">
        <f>RTD("tos.rtd", , "THETA", ".QLD201120P96")</f>
        <v>N/A</v>
      </c>
      <c r="P464" t="str">
        <f>RTD("tos.rtd", , "VEGA", ".QLD201120P96")</f>
        <v>N/A</v>
      </c>
      <c r="Q464" t="str">
        <f>RTD("tos.rtd", , "RHO", ".QLD201120P96")</f>
        <v>N/A</v>
      </c>
      <c r="R464" t="str">
        <f>RTD("tos.rtd", , "INTRINSIC", ".QLD201120P96")</f>
        <v>N/A</v>
      </c>
      <c r="S464" t="str">
        <f>RTD("tos.rtd", , "EXTRINSIC", ".QLD201120P96")</f>
        <v>N/A</v>
      </c>
      <c r="T464" t="str">
        <f>RTD("tos.rtd", , "PROB_OF_EXPIRING", ".QLD201120P96")</f>
        <v>N/A</v>
      </c>
      <c r="U464" t="str">
        <f>RTD("tos.rtd", , "PROB_OTM", ".QLD201120P96")</f>
        <v>N/A</v>
      </c>
      <c r="V464" t="str">
        <f>RTD("tos.rtd", , "PROB_OF_TOUCHING", ".QLD201120P96")</f>
        <v>N/A</v>
      </c>
      <c r="W464" t="str">
        <f>RTD("tos.rtd", , "STRIKE", ".QLD201120P96")</f>
        <v>N/A</v>
      </c>
    </row>
    <row r="465" spans="1:23" x14ac:dyDescent="0.45">
      <c r="A465" t="s">
        <v>486</v>
      </c>
      <c r="B465" t="str">
        <f>RTD("tos.rtd", , "DESCRIPTION", ".QLD201120C97")</f>
        <v>N/A</v>
      </c>
      <c r="C465" t="str">
        <f>RTD("tos.rtd", , "PUT_CALL_RATIO", ".QLD201120C97")</f>
        <v>N/A</v>
      </c>
      <c r="D465" t="str">
        <f>RTD("tos.rtd", , "IMPL_VOL", ".QLD201120C97")</f>
        <v>N/A</v>
      </c>
      <c r="E465">
        <f>RTD("tos.rtd", , "LAST", ".QLD201120C97")</f>
        <v>3.8</v>
      </c>
      <c r="F465">
        <f>RTD("tos.rtd", , "VOLUME", ".QLD201120C97")</f>
        <v>11</v>
      </c>
      <c r="G465">
        <f>RTD("tos.rtd", , "OPEN_INT", ".QLD201120C97")</f>
        <v>72</v>
      </c>
      <c r="H465">
        <f>RTD("tos.rtd", , "BID", ".QLD201120C97")</f>
        <v>2.95</v>
      </c>
      <c r="I465">
        <f>RTD("tos.rtd", , "ASK", ".QLD201120C97")</f>
        <v>3.4</v>
      </c>
      <c r="J465">
        <f>RTD("tos.rtd", , "HIGH", ".QLD201120C97")</f>
        <v>4.3</v>
      </c>
      <c r="K465">
        <f>RTD("tos.rtd", , "LOW", ".QLD201120C97")</f>
        <v>3.78</v>
      </c>
      <c r="L465">
        <f>RTD("tos.rtd", , "OPEN", ".QLD201120C97")</f>
        <v>4.3</v>
      </c>
      <c r="M465" t="str">
        <f>RTD("tos.rtd", , "DELTA", ".QLD201120C97")</f>
        <v>N/A</v>
      </c>
      <c r="N465" t="str">
        <f>RTD("tos.rtd", , "GAMMA", ".QLD201120C97")</f>
        <v>N/A</v>
      </c>
      <c r="O465" t="str">
        <f>RTD("tos.rtd", , "THETA", ".QLD201120C97")</f>
        <v>N/A</v>
      </c>
      <c r="P465" t="str">
        <f>RTD("tos.rtd", , "VEGA", ".QLD201120C97")</f>
        <v>N/A</v>
      </c>
      <c r="Q465" t="str">
        <f>RTD("tos.rtd", , "RHO", ".QLD201120C97")</f>
        <v>N/A</v>
      </c>
      <c r="R465" t="str">
        <f>RTD("tos.rtd", , "INTRINSIC", ".QLD201120C97")</f>
        <v>N/A</v>
      </c>
      <c r="S465" t="str">
        <f>RTD("tos.rtd", , "EXTRINSIC", ".QLD201120C97")</f>
        <v>N/A</v>
      </c>
      <c r="T465" t="str">
        <f>RTD("tos.rtd", , "PROB_OF_EXPIRING", ".QLD201120C97")</f>
        <v>N/A</v>
      </c>
      <c r="U465" t="str">
        <f>RTD("tos.rtd", , "PROB_OTM", ".QLD201120C97")</f>
        <v>N/A</v>
      </c>
      <c r="V465" t="str">
        <f>RTD("tos.rtd", , "PROB_OF_TOUCHING", ".QLD201120C97")</f>
        <v>N/A</v>
      </c>
      <c r="W465" t="str">
        <f>RTD("tos.rtd", , "STRIKE", ".QLD201120C97")</f>
        <v>N/A</v>
      </c>
    </row>
    <row r="466" spans="1:23" x14ac:dyDescent="0.45">
      <c r="A466" t="s">
        <v>487</v>
      </c>
      <c r="B466" t="str">
        <f>RTD("tos.rtd", , "DESCRIPTION", ".QLD201120P97")</f>
        <v>N/A</v>
      </c>
      <c r="C466" t="str">
        <f>RTD("tos.rtd", , "PUT_CALL_RATIO", ".QLD201120P97")</f>
        <v>N/A</v>
      </c>
      <c r="D466" t="str">
        <f>RTD("tos.rtd", , "IMPL_VOL", ".QLD201120P97")</f>
        <v>N/A</v>
      </c>
      <c r="E466">
        <f>RTD("tos.rtd", , "LAST", ".QLD201120P97")</f>
        <v>2.25</v>
      </c>
      <c r="F466">
        <f>RTD("tos.rtd", , "VOLUME", ".QLD201120P97")</f>
        <v>200</v>
      </c>
      <c r="G466">
        <f>RTD("tos.rtd", , "OPEN_INT", ".QLD201120P97")</f>
        <v>34</v>
      </c>
      <c r="H466">
        <f>RTD("tos.rtd", , "BID", ".QLD201120P97")</f>
        <v>2.9</v>
      </c>
      <c r="I466">
        <f>RTD("tos.rtd", , "ASK", ".QLD201120P97")</f>
        <v>3.2</v>
      </c>
      <c r="J466">
        <f>RTD("tos.rtd", , "HIGH", ".QLD201120P97")</f>
        <v>2.25</v>
      </c>
      <c r="K466">
        <f>RTD("tos.rtd", , "LOW", ".QLD201120P97")</f>
        <v>2.25</v>
      </c>
      <c r="L466">
        <f>RTD("tos.rtd", , "OPEN", ".QLD201120P97")</f>
        <v>2.25</v>
      </c>
      <c r="M466" t="str">
        <f>RTD("tos.rtd", , "DELTA", ".QLD201120P97")</f>
        <v>N/A</v>
      </c>
      <c r="N466" t="str">
        <f>RTD("tos.rtd", , "GAMMA", ".QLD201120P97")</f>
        <v>N/A</v>
      </c>
      <c r="O466" t="str">
        <f>RTD("tos.rtd", , "THETA", ".QLD201120P97")</f>
        <v>N/A</v>
      </c>
      <c r="P466" t="str">
        <f>RTD("tos.rtd", , "VEGA", ".QLD201120P97")</f>
        <v>N/A</v>
      </c>
      <c r="Q466" t="str">
        <f>RTD("tos.rtd", , "RHO", ".QLD201120P97")</f>
        <v>N/A</v>
      </c>
      <c r="R466" t="str">
        <f>RTD("tos.rtd", , "INTRINSIC", ".QLD201120P97")</f>
        <v>N/A</v>
      </c>
      <c r="S466" t="str">
        <f>RTD("tos.rtd", , "EXTRINSIC", ".QLD201120P97")</f>
        <v>N/A</v>
      </c>
      <c r="T466" t="str">
        <f>RTD("tos.rtd", , "PROB_OF_EXPIRING", ".QLD201120P97")</f>
        <v>N/A</v>
      </c>
      <c r="U466" t="str">
        <f>RTD("tos.rtd", , "PROB_OTM", ".QLD201120P97")</f>
        <v>N/A</v>
      </c>
      <c r="V466" t="str">
        <f>RTD("tos.rtd", , "PROB_OF_TOUCHING", ".QLD201120P97")</f>
        <v>N/A</v>
      </c>
      <c r="W466" t="str">
        <f>RTD("tos.rtd", , "STRIKE", ".QLD201120P97")</f>
        <v>N/A</v>
      </c>
    </row>
    <row r="467" spans="1:23" x14ac:dyDescent="0.45">
      <c r="A467" t="s">
        <v>488</v>
      </c>
      <c r="B467" t="str">
        <f>RTD("tos.rtd", , "DESCRIPTION", ".QLD201120C98")</f>
        <v>N/A</v>
      </c>
      <c r="C467" t="str">
        <f>RTD("tos.rtd", , "PUT_CALL_RATIO", ".QLD201120C98")</f>
        <v>N/A</v>
      </c>
      <c r="D467" t="str">
        <f>RTD("tos.rtd", , "IMPL_VOL", ".QLD201120C98")</f>
        <v>N/A</v>
      </c>
      <c r="E467">
        <f>RTD("tos.rtd", , "LAST", ".QLD201120C98")</f>
        <v>2.66</v>
      </c>
      <c r="F467">
        <f>RTD("tos.rtd", , "VOLUME", ".QLD201120C98")</f>
        <v>4</v>
      </c>
      <c r="G467">
        <f>RTD("tos.rtd", , "OPEN_INT", ".QLD201120C98")</f>
        <v>46</v>
      </c>
      <c r="H467">
        <f>RTD("tos.rtd", , "BID", ".QLD201120C98")</f>
        <v>2.5</v>
      </c>
      <c r="I467">
        <f>RTD("tos.rtd", , "ASK", ".QLD201120C98")</f>
        <v>4.3</v>
      </c>
      <c r="J467">
        <f>RTD("tos.rtd", , "HIGH", ".QLD201120C98")</f>
        <v>3.4</v>
      </c>
      <c r="K467">
        <f>RTD("tos.rtd", , "LOW", ".QLD201120C98")</f>
        <v>2.66</v>
      </c>
      <c r="L467">
        <f>RTD("tos.rtd", , "OPEN", ".QLD201120C98")</f>
        <v>3.4</v>
      </c>
      <c r="M467" t="str">
        <f>RTD("tos.rtd", , "DELTA", ".QLD201120C98")</f>
        <v>N/A</v>
      </c>
      <c r="N467" t="str">
        <f>RTD("tos.rtd", , "GAMMA", ".QLD201120C98")</f>
        <v>N/A</v>
      </c>
      <c r="O467" t="str">
        <f>RTD("tos.rtd", , "THETA", ".QLD201120C98")</f>
        <v>N/A</v>
      </c>
      <c r="P467" t="str">
        <f>RTD("tos.rtd", , "VEGA", ".QLD201120C98")</f>
        <v>N/A</v>
      </c>
      <c r="Q467" t="str">
        <f>RTD("tos.rtd", , "RHO", ".QLD201120C98")</f>
        <v>N/A</v>
      </c>
      <c r="R467" t="str">
        <f>RTD("tos.rtd", , "INTRINSIC", ".QLD201120C98")</f>
        <v>N/A</v>
      </c>
      <c r="S467" t="str">
        <f>RTD("tos.rtd", , "EXTRINSIC", ".QLD201120C98")</f>
        <v>N/A</v>
      </c>
      <c r="T467" t="str">
        <f>RTD("tos.rtd", , "PROB_OF_EXPIRING", ".QLD201120C98")</f>
        <v>N/A</v>
      </c>
      <c r="U467" t="str">
        <f>RTD("tos.rtd", , "PROB_OTM", ".QLD201120C98")</f>
        <v>N/A</v>
      </c>
      <c r="V467" t="str">
        <f>RTD("tos.rtd", , "PROB_OF_TOUCHING", ".QLD201120C98")</f>
        <v>N/A</v>
      </c>
      <c r="W467" t="str">
        <f>RTD("tos.rtd", , "STRIKE", ".QLD201120C98")</f>
        <v>N/A</v>
      </c>
    </row>
    <row r="468" spans="1:23" x14ac:dyDescent="0.45">
      <c r="A468" t="s">
        <v>489</v>
      </c>
      <c r="B468" t="str">
        <f>RTD("tos.rtd", , "DESCRIPTION", ".QLD201120P98")</f>
        <v>N/A</v>
      </c>
      <c r="C468" t="str">
        <f>RTD("tos.rtd", , "PUT_CALL_RATIO", ".QLD201120P98")</f>
        <v>N/A</v>
      </c>
      <c r="D468" t="str">
        <f>RTD("tos.rtd", , "IMPL_VOL", ".QLD201120P98")</f>
        <v>N/A</v>
      </c>
      <c r="E468">
        <f>RTD("tos.rtd", , "LAST", ".QLD201120P98")</f>
        <v>3.2</v>
      </c>
      <c r="F468">
        <f>RTD("tos.rtd", , "VOLUME", ".QLD201120P98")</f>
        <v>1</v>
      </c>
      <c r="G468">
        <f>RTD("tos.rtd", , "OPEN_INT", ".QLD201120P98")</f>
        <v>103</v>
      </c>
      <c r="H468">
        <f>RTD("tos.rtd", , "BID", ".QLD201120P98")</f>
        <v>3.3</v>
      </c>
      <c r="I468">
        <f>RTD("tos.rtd", , "ASK", ".QLD201120P98")</f>
        <v>3.6</v>
      </c>
      <c r="J468">
        <f>RTD("tos.rtd", , "HIGH", ".QLD201120P98")</f>
        <v>3.2</v>
      </c>
      <c r="K468">
        <f>RTD("tos.rtd", , "LOW", ".QLD201120P98")</f>
        <v>3.2</v>
      </c>
      <c r="L468">
        <f>RTD("tos.rtd", , "OPEN", ".QLD201120P98")</f>
        <v>3.2</v>
      </c>
      <c r="M468" t="str">
        <f>RTD("tos.rtd", , "DELTA", ".QLD201120P98")</f>
        <v>N/A</v>
      </c>
      <c r="N468" t="str">
        <f>RTD("tos.rtd", , "GAMMA", ".QLD201120P98")</f>
        <v>N/A</v>
      </c>
      <c r="O468" t="str">
        <f>RTD("tos.rtd", , "THETA", ".QLD201120P98")</f>
        <v>N/A</v>
      </c>
      <c r="P468" t="str">
        <f>RTD("tos.rtd", , "VEGA", ".QLD201120P98")</f>
        <v>N/A</v>
      </c>
      <c r="Q468" t="str">
        <f>RTD("tos.rtd", , "RHO", ".QLD201120P98")</f>
        <v>N/A</v>
      </c>
      <c r="R468" t="str">
        <f>RTD("tos.rtd", , "INTRINSIC", ".QLD201120P98")</f>
        <v>N/A</v>
      </c>
      <c r="S468" t="str">
        <f>RTD("tos.rtd", , "EXTRINSIC", ".QLD201120P98")</f>
        <v>N/A</v>
      </c>
      <c r="T468" t="str">
        <f>RTD("tos.rtd", , "PROB_OF_EXPIRING", ".QLD201120P98")</f>
        <v>N/A</v>
      </c>
      <c r="U468" t="str">
        <f>RTD("tos.rtd", , "PROB_OTM", ".QLD201120P98")</f>
        <v>N/A</v>
      </c>
      <c r="V468" t="str">
        <f>RTD("tos.rtd", , "PROB_OF_TOUCHING", ".QLD201120P98")</f>
        <v>N/A</v>
      </c>
      <c r="W468" t="str">
        <f>RTD("tos.rtd", , "STRIKE", ".QLD201120P98")</f>
        <v>N/A</v>
      </c>
    </row>
    <row r="469" spans="1:23" x14ac:dyDescent="0.45">
      <c r="A469" t="s">
        <v>490</v>
      </c>
      <c r="B469" t="str">
        <f>RTD("tos.rtd", , "DESCRIPTION", ".QLD201120C99")</f>
        <v>N/A</v>
      </c>
      <c r="C469" t="str">
        <f>RTD("tos.rtd", , "PUT_CALL_RATIO", ".QLD201120C99")</f>
        <v>N/A</v>
      </c>
      <c r="D469" t="str">
        <f>RTD("tos.rtd", , "IMPL_VOL", ".QLD201120C99")</f>
        <v>N/A</v>
      </c>
      <c r="E469">
        <f>RTD("tos.rtd", , "LAST", ".QLD201120C99")</f>
        <v>2.5499999999999998</v>
      </c>
      <c r="F469">
        <f>RTD("tos.rtd", , "VOLUME", ".QLD201120C99")</f>
        <v>0</v>
      </c>
      <c r="G469">
        <f>RTD("tos.rtd", , "OPEN_INT", ".QLD201120C99")</f>
        <v>359</v>
      </c>
      <c r="H469">
        <f>RTD("tos.rtd", , "BID", ".QLD201120C99")</f>
        <v>2</v>
      </c>
      <c r="I469">
        <f>RTD("tos.rtd", , "ASK", ".QLD201120C99")</f>
        <v>3.5</v>
      </c>
      <c r="J469">
        <f>RTD("tos.rtd", , "HIGH", ".QLD201120C99")</f>
        <v>0</v>
      </c>
      <c r="K469">
        <f>RTD("tos.rtd", , "LOW", ".QLD201120C99")</f>
        <v>0</v>
      </c>
      <c r="L469">
        <f>RTD("tos.rtd", , "OPEN", ".QLD201120C99")</f>
        <v>0</v>
      </c>
      <c r="M469" t="str">
        <f>RTD("tos.rtd", , "DELTA", ".QLD201120C99")</f>
        <v>N/A</v>
      </c>
      <c r="N469" t="str">
        <f>RTD("tos.rtd", , "GAMMA", ".QLD201120C99")</f>
        <v>N/A</v>
      </c>
      <c r="O469" t="str">
        <f>RTD("tos.rtd", , "THETA", ".QLD201120C99")</f>
        <v>N/A</v>
      </c>
      <c r="P469" t="str">
        <f>RTD("tos.rtd", , "VEGA", ".QLD201120C99")</f>
        <v>N/A</v>
      </c>
      <c r="Q469" t="str">
        <f>RTD("tos.rtd", , "RHO", ".QLD201120C99")</f>
        <v>N/A</v>
      </c>
      <c r="R469" t="str">
        <f>RTD("tos.rtd", , "INTRINSIC", ".QLD201120C99")</f>
        <v>N/A</v>
      </c>
      <c r="S469" t="str">
        <f>RTD("tos.rtd", , "EXTRINSIC", ".QLD201120C99")</f>
        <v>N/A</v>
      </c>
      <c r="T469" t="str">
        <f>RTD("tos.rtd", , "PROB_OF_EXPIRING", ".QLD201120C99")</f>
        <v>N/A</v>
      </c>
      <c r="U469" t="str">
        <f>RTD("tos.rtd", , "PROB_OTM", ".QLD201120C99")</f>
        <v>N/A</v>
      </c>
      <c r="V469" t="str">
        <f>RTD("tos.rtd", , "PROB_OF_TOUCHING", ".QLD201120C99")</f>
        <v>N/A</v>
      </c>
      <c r="W469" t="str">
        <f>RTD("tos.rtd", , "STRIKE", ".QLD201120C99")</f>
        <v>N/A</v>
      </c>
    </row>
    <row r="470" spans="1:23" x14ac:dyDescent="0.45">
      <c r="A470" t="s">
        <v>491</v>
      </c>
      <c r="B470" t="str">
        <f>RTD("tos.rtd", , "DESCRIPTION", ".QLD201120P99")</f>
        <v>N/A</v>
      </c>
      <c r="C470" t="str">
        <f>RTD("tos.rtd", , "PUT_CALL_RATIO", ".QLD201120P99")</f>
        <v>N/A</v>
      </c>
      <c r="D470" t="str">
        <f>RTD("tos.rtd", , "IMPL_VOL", ".QLD201120P99")</f>
        <v>N/A</v>
      </c>
      <c r="E470">
        <f>RTD("tos.rtd", , "LAST", ".QLD201120P99")</f>
        <v>6.18</v>
      </c>
      <c r="F470">
        <f>RTD("tos.rtd", , "VOLUME", ".QLD201120P99")</f>
        <v>0</v>
      </c>
      <c r="G470">
        <f>RTD("tos.rtd", , "OPEN_INT", ".QLD201120P99")</f>
        <v>10</v>
      </c>
      <c r="H470">
        <f>RTD("tos.rtd", , "BID", ".QLD201120P99")</f>
        <v>3.8</v>
      </c>
      <c r="I470">
        <f>RTD("tos.rtd", , "ASK", ".QLD201120P99")</f>
        <v>4.0999999999999996</v>
      </c>
      <c r="J470">
        <f>RTD("tos.rtd", , "HIGH", ".QLD201120P99")</f>
        <v>0</v>
      </c>
      <c r="K470">
        <f>RTD("tos.rtd", , "LOW", ".QLD201120P99")</f>
        <v>0</v>
      </c>
      <c r="L470">
        <f>RTD("tos.rtd", , "OPEN", ".QLD201120P99")</f>
        <v>0</v>
      </c>
      <c r="M470" t="str">
        <f>RTD("tos.rtd", , "DELTA", ".QLD201120P99")</f>
        <v>N/A</v>
      </c>
      <c r="N470" t="str">
        <f>RTD("tos.rtd", , "GAMMA", ".QLD201120P99")</f>
        <v>N/A</v>
      </c>
      <c r="O470" t="str">
        <f>RTD("tos.rtd", , "THETA", ".QLD201120P99")</f>
        <v>N/A</v>
      </c>
      <c r="P470" t="str">
        <f>RTD("tos.rtd", , "VEGA", ".QLD201120P99")</f>
        <v>N/A</v>
      </c>
      <c r="Q470" t="str">
        <f>RTD("tos.rtd", , "RHO", ".QLD201120P99")</f>
        <v>N/A</v>
      </c>
      <c r="R470" t="str">
        <f>RTD("tos.rtd", , "INTRINSIC", ".QLD201120P99")</f>
        <v>N/A</v>
      </c>
      <c r="S470" t="str">
        <f>RTD("tos.rtd", , "EXTRINSIC", ".QLD201120P99")</f>
        <v>N/A</v>
      </c>
      <c r="T470" t="str">
        <f>RTD("tos.rtd", , "PROB_OF_EXPIRING", ".QLD201120P99")</f>
        <v>N/A</v>
      </c>
      <c r="U470" t="str">
        <f>RTD("tos.rtd", , "PROB_OTM", ".QLD201120P99")</f>
        <v>N/A</v>
      </c>
      <c r="V470" t="str">
        <f>RTD("tos.rtd", , "PROB_OF_TOUCHING", ".QLD201120P99")</f>
        <v>N/A</v>
      </c>
      <c r="W470" t="str">
        <f>RTD("tos.rtd", , "STRIKE", ".QLD201120P99")</f>
        <v>N/A</v>
      </c>
    </row>
    <row r="471" spans="1:23" x14ac:dyDescent="0.45">
      <c r="A471" t="s">
        <v>492</v>
      </c>
      <c r="B471" t="str">
        <f>RTD("tos.rtd", , "DESCRIPTION", ".QLD201120C100")</f>
        <v>N/A</v>
      </c>
      <c r="C471" t="str">
        <f>RTD("tos.rtd", , "PUT_CALL_RATIO", ".QLD201120C100")</f>
        <v>N/A</v>
      </c>
      <c r="D471" t="str">
        <f>RTD("tos.rtd", , "IMPL_VOL", ".QLD201120C100")</f>
        <v>N/A</v>
      </c>
      <c r="E471">
        <f>RTD("tos.rtd", , "LAST", ".QLD201120C100")</f>
        <v>1.75</v>
      </c>
      <c r="F471">
        <f>RTD("tos.rtd", , "VOLUME", ".QLD201120C100")</f>
        <v>6</v>
      </c>
      <c r="G471">
        <f>RTD("tos.rtd", , "OPEN_INT", ".QLD201120C100")</f>
        <v>440</v>
      </c>
      <c r="H471">
        <f>RTD("tos.rtd", , "BID", ".QLD201120C100")</f>
        <v>1.55</v>
      </c>
      <c r="I471">
        <f>RTD("tos.rtd", , "ASK", ".QLD201120C100")</f>
        <v>2.2999999999999998</v>
      </c>
      <c r="J471">
        <f>RTD("tos.rtd", , "HIGH", ".QLD201120C100")</f>
        <v>2.7</v>
      </c>
      <c r="K471">
        <f>RTD("tos.rtd", , "LOW", ".QLD201120C100")</f>
        <v>1.75</v>
      </c>
      <c r="L471">
        <f>RTD("tos.rtd", , "OPEN", ".QLD201120C100")</f>
        <v>2.7</v>
      </c>
      <c r="M471" t="str">
        <f>RTD("tos.rtd", , "DELTA", ".QLD201120C100")</f>
        <v>N/A</v>
      </c>
      <c r="N471" t="str">
        <f>RTD("tos.rtd", , "GAMMA", ".QLD201120C100")</f>
        <v>N/A</v>
      </c>
      <c r="O471" t="str">
        <f>RTD("tos.rtd", , "THETA", ".QLD201120C100")</f>
        <v>N/A</v>
      </c>
      <c r="P471" t="str">
        <f>RTD("tos.rtd", , "VEGA", ".QLD201120C100")</f>
        <v>N/A</v>
      </c>
      <c r="Q471" t="str">
        <f>RTD("tos.rtd", , "RHO", ".QLD201120C100")</f>
        <v>N/A</v>
      </c>
      <c r="R471" t="str">
        <f>RTD("tos.rtd", , "INTRINSIC", ".QLD201120C100")</f>
        <v>N/A</v>
      </c>
      <c r="S471" t="str">
        <f>RTD("tos.rtd", , "EXTRINSIC", ".QLD201120C100")</f>
        <v>N/A</v>
      </c>
      <c r="T471" t="str">
        <f>RTD("tos.rtd", , "PROB_OF_EXPIRING", ".QLD201120C100")</f>
        <v>N/A</v>
      </c>
      <c r="U471" t="str">
        <f>RTD("tos.rtd", , "PROB_OTM", ".QLD201120C100")</f>
        <v>N/A</v>
      </c>
      <c r="V471" t="str">
        <f>RTD("tos.rtd", , "PROB_OF_TOUCHING", ".QLD201120C100")</f>
        <v>N/A</v>
      </c>
      <c r="W471" t="str">
        <f>RTD("tos.rtd", , "STRIKE", ".QLD201120C100")</f>
        <v>N/A</v>
      </c>
    </row>
    <row r="472" spans="1:23" x14ac:dyDescent="0.45">
      <c r="A472" t="s">
        <v>493</v>
      </c>
      <c r="B472" t="str">
        <f>RTD("tos.rtd", , "DESCRIPTION", ".QLD201120P100")</f>
        <v>N/A</v>
      </c>
      <c r="C472" t="str">
        <f>RTD("tos.rtd", , "PUT_CALL_RATIO", ".QLD201120P100")</f>
        <v>N/A</v>
      </c>
      <c r="D472" t="str">
        <f>RTD("tos.rtd", , "IMPL_VOL", ".QLD201120P100")</f>
        <v>N/A</v>
      </c>
      <c r="E472">
        <f>RTD("tos.rtd", , "LAST", ".QLD201120P100")</f>
        <v>4.5</v>
      </c>
      <c r="F472">
        <f>RTD("tos.rtd", , "VOLUME", ".QLD201120P100")</f>
        <v>4</v>
      </c>
      <c r="G472">
        <f>RTD("tos.rtd", , "OPEN_INT", ".QLD201120P100")</f>
        <v>492</v>
      </c>
      <c r="H472">
        <f>RTD("tos.rtd", , "BID", ".QLD201120P100")</f>
        <v>4.3</v>
      </c>
      <c r="I472">
        <f>RTD("tos.rtd", , "ASK", ".QLD201120P100")</f>
        <v>4.5999999999999996</v>
      </c>
      <c r="J472">
        <f>RTD("tos.rtd", , "HIGH", ".QLD201120P100")</f>
        <v>4.62</v>
      </c>
      <c r="K472">
        <f>RTD("tos.rtd", , "LOW", ".QLD201120P100")</f>
        <v>4.5</v>
      </c>
      <c r="L472">
        <f>RTD("tos.rtd", , "OPEN", ".QLD201120P100")</f>
        <v>4.62</v>
      </c>
      <c r="M472" t="str">
        <f>RTD("tos.rtd", , "DELTA", ".QLD201120P100")</f>
        <v>N/A</v>
      </c>
      <c r="N472" t="str">
        <f>RTD("tos.rtd", , "GAMMA", ".QLD201120P100")</f>
        <v>N/A</v>
      </c>
      <c r="O472" t="str">
        <f>RTD("tos.rtd", , "THETA", ".QLD201120P100")</f>
        <v>N/A</v>
      </c>
      <c r="P472" t="str">
        <f>RTD("tos.rtd", , "VEGA", ".QLD201120P100")</f>
        <v>N/A</v>
      </c>
      <c r="Q472" t="str">
        <f>RTD("tos.rtd", , "RHO", ".QLD201120P100")</f>
        <v>N/A</v>
      </c>
      <c r="R472" t="str">
        <f>RTD("tos.rtd", , "INTRINSIC", ".QLD201120P100")</f>
        <v>N/A</v>
      </c>
      <c r="S472" t="str">
        <f>RTD("tos.rtd", , "EXTRINSIC", ".QLD201120P100")</f>
        <v>N/A</v>
      </c>
      <c r="T472" t="str">
        <f>RTD("tos.rtd", , "PROB_OF_EXPIRING", ".QLD201120P100")</f>
        <v>N/A</v>
      </c>
      <c r="U472" t="str">
        <f>RTD("tos.rtd", , "PROB_OTM", ".QLD201120P100")</f>
        <v>N/A</v>
      </c>
      <c r="V472" t="str">
        <f>RTD("tos.rtd", , "PROB_OF_TOUCHING", ".QLD201120P100")</f>
        <v>N/A</v>
      </c>
      <c r="W472" t="str">
        <f>RTD("tos.rtd", , "STRIKE", ".QLD201120P100")</f>
        <v>N/A</v>
      </c>
    </row>
    <row r="473" spans="1:23" x14ac:dyDescent="0.45">
      <c r="A473" t="s">
        <v>494</v>
      </c>
      <c r="B473" t="str">
        <f>RTD("tos.rtd", , "DESCRIPTION", ".QLD201120C101")</f>
        <v>N/A</v>
      </c>
      <c r="C473" t="str">
        <f>RTD("tos.rtd", , "PUT_CALL_RATIO", ".QLD201120C101")</f>
        <v>N/A</v>
      </c>
      <c r="D473" t="str">
        <f>RTD("tos.rtd", , "IMPL_VOL", ".QLD201120C101")</f>
        <v>N/A</v>
      </c>
      <c r="E473">
        <f>RTD("tos.rtd", , "LAST", ".QLD201120C101")</f>
        <v>1.5</v>
      </c>
      <c r="F473">
        <f>RTD("tos.rtd", , "VOLUME", ".QLD201120C101")</f>
        <v>5</v>
      </c>
      <c r="G473">
        <f>RTD("tos.rtd", , "OPEN_INT", ".QLD201120C101")</f>
        <v>47</v>
      </c>
      <c r="H473">
        <f>RTD("tos.rtd", , "BID", ".QLD201120C101")</f>
        <v>1.1499999999999999</v>
      </c>
      <c r="I473">
        <f>RTD("tos.rtd", , "ASK", ".QLD201120C101")</f>
        <v>1.5</v>
      </c>
      <c r="J473">
        <f>RTD("tos.rtd", , "HIGH", ".QLD201120C101")</f>
        <v>2</v>
      </c>
      <c r="K473">
        <f>RTD("tos.rtd", , "LOW", ".QLD201120C101")</f>
        <v>1.5</v>
      </c>
      <c r="L473">
        <f>RTD("tos.rtd", , "OPEN", ".QLD201120C101")</f>
        <v>2</v>
      </c>
      <c r="M473" t="str">
        <f>RTD("tos.rtd", , "DELTA", ".QLD201120C101")</f>
        <v>N/A</v>
      </c>
      <c r="N473" t="str">
        <f>RTD("tos.rtd", , "GAMMA", ".QLD201120C101")</f>
        <v>N/A</v>
      </c>
      <c r="O473" t="str">
        <f>RTD("tos.rtd", , "THETA", ".QLD201120C101")</f>
        <v>N/A</v>
      </c>
      <c r="P473" t="str">
        <f>RTD("tos.rtd", , "VEGA", ".QLD201120C101")</f>
        <v>N/A</v>
      </c>
      <c r="Q473" t="str">
        <f>RTD("tos.rtd", , "RHO", ".QLD201120C101")</f>
        <v>N/A</v>
      </c>
      <c r="R473" t="str">
        <f>RTD("tos.rtd", , "INTRINSIC", ".QLD201120C101")</f>
        <v>N/A</v>
      </c>
      <c r="S473" t="str">
        <f>RTD("tos.rtd", , "EXTRINSIC", ".QLD201120C101")</f>
        <v>N/A</v>
      </c>
      <c r="T473" t="str">
        <f>RTD("tos.rtd", , "PROB_OF_EXPIRING", ".QLD201120C101")</f>
        <v>N/A</v>
      </c>
      <c r="U473" t="str">
        <f>RTD("tos.rtd", , "PROB_OTM", ".QLD201120C101")</f>
        <v>N/A</v>
      </c>
      <c r="V473" t="str">
        <f>RTD("tos.rtd", , "PROB_OF_TOUCHING", ".QLD201120C101")</f>
        <v>N/A</v>
      </c>
      <c r="W473" t="str">
        <f>RTD("tos.rtd", , "STRIKE", ".QLD201120C101")</f>
        <v>N/A</v>
      </c>
    </row>
    <row r="474" spans="1:23" x14ac:dyDescent="0.45">
      <c r="A474" t="s">
        <v>495</v>
      </c>
      <c r="B474" t="str">
        <f>RTD("tos.rtd", , "DESCRIPTION", ".QLD201120P101")</f>
        <v>N/A</v>
      </c>
      <c r="C474" t="str">
        <f>RTD("tos.rtd", , "PUT_CALL_RATIO", ".QLD201120P101")</f>
        <v>N/A</v>
      </c>
      <c r="D474" t="str">
        <f>RTD("tos.rtd", , "IMPL_VOL", ".QLD201120P101")</f>
        <v>N/A</v>
      </c>
      <c r="E474">
        <f>RTD("tos.rtd", , "LAST", ".QLD201120P101")</f>
        <v>4.25</v>
      </c>
      <c r="F474">
        <f>RTD("tos.rtd", , "VOLUME", ".QLD201120P101")</f>
        <v>5</v>
      </c>
      <c r="G474">
        <f>RTD("tos.rtd", , "OPEN_INT", ".QLD201120P101")</f>
        <v>9</v>
      </c>
      <c r="H474">
        <f>RTD("tos.rtd", , "BID", ".QLD201120P101")</f>
        <v>3.5</v>
      </c>
      <c r="I474">
        <f>RTD("tos.rtd", , "ASK", ".QLD201120P101")</f>
        <v>5.3</v>
      </c>
      <c r="J474">
        <f>RTD("tos.rtd", , "HIGH", ".QLD201120P101")</f>
        <v>4.25</v>
      </c>
      <c r="K474">
        <f>RTD("tos.rtd", , "LOW", ".QLD201120P101")</f>
        <v>4.25</v>
      </c>
      <c r="L474">
        <f>RTD("tos.rtd", , "OPEN", ".QLD201120P101")</f>
        <v>4.25</v>
      </c>
      <c r="M474" t="str">
        <f>RTD("tos.rtd", , "DELTA", ".QLD201120P101")</f>
        <v>N/A</v>
      </c>
      <c r="N474" t="str">
        <f>RTD("tos.rtd", , "GAMMA", ".QLD201120P101")</f>
        <v>N/A</v>
      </c>
      <c r="O474" t="str">
        <f>RTD("tos.rtd", , "THETA", ".QLD201120P101")</f>
        <v>N/A</v>
      </c>
      <c r="P474" t="str">
        <f>RTD("tos.rtd", , "VEGA", ".QLD201120P101")</f>
        <v>N/A</v>
      </c>
      <c r="Q474" t="str">
        <f>RTD("tos.rtd", , "RHO", ".QLD201120P101")</f>
        <v>N/A</v>
      </c>
      <c r="R474" t="str">
        <f>RTD("tos.rtd", , "INTRINSIC", ".QLD201120P101")</f>
        <v>N/A</v>
      </c>
      <c r="S474" t="str">
        <f>RTD("tos.rtd", , "EXTRINSIC", ".QLD201120P101")</f>
        <v>N/A</v>
      </c>
      <c r="T474" t="str">
        <f>RTD("tos.rtd", , "PROB_OF_EXPIRING", ".QLD201120P101")</f>
        <v>N/A</v>
      </c>
      <c r="U474" t="str">
        <f>RTD("tos.rtd", , "PROB_OTM", ".QLD201120P101")</f>
        <v>N/A</v>
      </c>
      <c r="V474" t="str">
        <f>RTD("tos.rtd", , "PROB_OF_TOUCHING", ".QLD201120P101")</f>
        <v>N/A</v>
      </c>
      <c r="W474" t="str">
        <f>RTD("tos.rtd", , "STRIKE", ".QLD201120P101")</f>
        <v>N/A</v>
      </c>
    </row>
    <row r="475" spans="1:23" x14ac:dyDescent="0.45">
      <c r="A475" t="s">
        <v>496</v>
      </c>
      <c r="B475" t="str">
        <f>RTD("tos.rtd", , "DESCRIPTION", "QQQ")</f>
        <v>INVESCO QQQ TRUST UNIT SER 1 ETF</v>
      </c>
      <c r="C475">
        <f>RTD("tos.rtd", , "PUT_CALL_RATIO", "QQQ")</f>
        <v>1.909</v>
      </c>
      <c r="D475" t="str">
        <f>RTD("tos.rtd", , "IMPL_VOL", "QQQ")</f>
        <v>30.44%</v>
      </c>
      <c r="E475">
        <f>RTD("tos.rtd", , "LAST", "QQQ")</f>
        <v>288.39999999999998</v>
      </c>
      <c r="F475">
        <f>RTD("tos.rtd", , "VOLUME", "QQQ")</f>
        <v>34516826</v>
      </c>
      <c r="G475">
        <f>RTD("tos.rtd", , "OPEN_INT", "QQQ")</f>
        <v>0</v>
      </c>
      <c r="H475">
        <f>RTD("tos.rtd", , "BID", "QQQ")</f>
        <v>289.48</v>
      </c>
      <c r="I475">
        <f>RTD("tos.rtd", , "ASK", "QQQ")</f>
        <v>289.7</v>
      </c>
      <c r="J475">
        <f>RTD("tos.rtd", , "HIGH", "QQQ")</f>
        <v>292.07400000000001</v>
      </c>
      <c r="K475">
        <f>RTD("tos.rtd", , "LOW", "QQQ")</f>
        <v>287.25</v>
      </c>
      <c r="L475">
        <f>RTD("tos.rtd", , "OPEN", "QQQ")</f>
        <v>290.72000000000003</v>
      </c>
      <c r="M475">
        <f>RTD("tos.rtd", , "DELTA", "QQQ")</f>
        <v>1</v>
      </c>
      <c r="N475">
        <f>RTD("tos.rtd", , "GAMMA", "QQQ")</f>
        <v>0</v>
      </c>
      <c r="O475">
        <f>RTD("tos.rtd", , "THETA", "QQQ")</f>
        <v>0</v>
      </c>
      <c r="P475">
        <f>RTD("tos.rtd", , "VEGA", "QQQ")</f>
        <v>0</v>
      </c>
      <c r="Q475">
        <f>RTD("tos.rtd", , "RHO", "QQQ")</f>
        <v>0</v>
      </c>
      <c r="R475" t="str">
        <f>RTD("tos.rtd", , "INTRINSIC", "QQQ")</f>
        <v>N/A</v>
      </c>
      <c r="S475" t="str">
        <f>RTD("tos.rtd", , "EXTRINSIC", "QQQ")</f>
        <v>N/A</v>
      </c>
      <c r="T475" t="str">
        <f>RTD("tos.rtd", , "PROB_OF_EXPIRING", "QQQ")</f>
        <v>N/A</v>
      </c>
      <c r="U475" t="str">
        <f>RTD("tos.rtd", , "PROB_OTM", "QQQ")</f>
        <v>N/A</v>
      </c>
      <c r="V475" t="str">
        <f>RTD("tos.rtd", , "PROB_OF_TOUCHING", "QQQ")</f>
        <v>N/A</v>
      </c>
      <c r="W475" t="str">
        <f>RTD("tos.rtd", , "STRIKE", "QQQ")</f>
        <v>N/A</v>
      </c>
    </row>
    <row r="476" spans="1:23" x14ac:dyDescent="0.45">
      <c r="A476" t="s">
        <v>497</v>
      </c>
      <c r="B476" t="str">
        <f>RTD("tos.rtd", , "DESCRIPTION", ".QQQ201120C286")</f>
        <v>N/A</v>
      </c>
      <c r="C476" t="str">
        <f>RTD("tos.rtd", , "PUT_CALL_RATIO", ".QQQ201120C286")</f>
        <v>N/A</v>
      </c>
      <c r="D476" t="str">
        <f>RTD("tos.rtd", , "IMPL_VOL", ".QQQ201120C286")</f>
        <v>N/A</v>
      </c>
      <c r="E476">
        <f>RTD("tos.rtd", , "LAST", ".QQQ201120C286")</f>
        <v>6.4</v>
      </c>
      <c r="F476">
        <f>RTD("tos.rtd", , "VOLUME", ".QQQ201120C286")</f>
        <v>489</v>
      </c>
      <c r="G476">
        <f>RTD("tos.rtd", , "OPEN_INT", ".QQQ201120C286")</f>
        <v>3124</v>
      </c>
      <c r="H476">
        <f>RTD("tos.rtd", , "BID", ".QQQ201120C286")</f>
        <v>6.4</v>
      </c>
      <c r="I476">
        <f>RTD("tos.rtd", , "ASK", ".QQQ201120C286")</f>
        <v>6.6</v>
      </c>
      <c r="J476">
        <f>RTD("tos.rtd", , "HIGH", ".QQQ201120C286")</f>
        <v>8.44</v>
      </c>
      <c r="K476">
        <f>RTD("tos.rtd", , "LOW", ".QQQ201120C286")</f>
        <v>5.64</v>
      </c>
      <c r="L476">
        <f>RTD("tos.rtd", , "OPEN", ".QQQ201120C286")</f>
        <v>7.7</v>
      </c>
      <c r="M476" t="str">
        <f>RTD("tos.rtd", , "DELTA", ".QQQ201120C286")</f>
        <v>N/A</v>
      </c>
      <c r="N476" t="str">
        <f>RTD("tos.rtd", , "GAMMA", ".QQQ201120C286")</f>
        <v>N/A</v>
      </c>
      <c r="O476" t="str">
        <f>RTD("tos.rtd", , "THETA", ".QQQ201120C286")</f>
        <v>N/A</v>
      </c>
      <c r="P476" t="str">
        <f>RTD("tos.rtd", , "VEGA", ".QQQ201120C286")</f>
        <v>N/A</v>
      </c>
      <c r="Q476" t="str">
        <f>RTD("tos.rtd", , "RHO", ".QQQ201120C286")</f>
        <v>N/A</v>
      </c>
      <c r="R476" t="str">
        <f>RTD("tos.rtd", , "INTRINSIC", ".QQQ201120C286")</f>
        <v>N/A</v>
      </c>
      <c r="S476" t="str">
        <f>RTD("tos.rtd", , "EXTRINSIC", ".QQQ201120C286")</f>
        <v>N/A</v>
      </c>
      <c r="T476" t="str">
        <f>RTD("tos.rtd", , "PROB_OF_EXPIRING", ".QQQ201120C286")</f>
        <v>N/A</v>
      </c>
      <c r="U476" t="str">
        <f>RTD("tos.rtd", , "PROB_OTM", ".QQQ201120C286")</f>
        <v>N/A</v>
      </c>
      <c r="V476" t="str">
        <f>RTD("tos.rtd", , "PROB_OF_TOUCHING", ".QQQ201120C286")</f>
        <v>N/A</v>
      </c>
      <c r="W476" t="str">
        <f>RTD("tos.rtd", , "STRIKE", ".QQQ201120C286")</f>
        <v>N/A</v>
      </c>
    </row>
    <row r="477" spans="1:23" x14ac:dyDescent="0.45">
      <c r="A477" t="s">
        <v>498</v>
      </c>
      <c r="B477" t="str">
        <f>RTD("tos.rtd", , "DESCRIPTION", ".QQQ201120P286")</f>
        <v>N/A</v>
      </c>
      <c r="C477" t="str">
        <f>RTD("tos.rtd", , "PUT_CALL_RATIO", ".QQQ201120P286")</f>
        <v>N/A</v>
      </c>
      <c r="D477" t="str">
        <f>RTD("tos.rtd", , "IMPL_VOL", ".QQQ201120P286")</f>
        <v>N/A</v>
      </c>
      <c r="E477">
        <f>RTD("tos.rtd", , "LAST", ".QQQ201120P286")</f>
        <v>3.34</v>
      </c>
      <c r="F477">
        <f>RTD("tos.rtd", , "VOLUME", ".QQQ201120P286")</f>
        <v>2967</v>
      </c>
      <c r="G477">
        <f>RTD("tos.rtd", , "OPEN_INT", ".QQQ201120P286")</f>
        <v>3711</v>
      </c>
      <c r="H477">
        <f>RTD("tos.rtd", , "BID", ".QQQ201120P286")</f>
        <v>3.35</v>
      </c>
      <c r="I477">
        <f>RTD("tos.rtd", , "ASK", ".QQQ201120P286")</f>
        <v>3.42</v>
      </c>
      <c r="J477">
        <f>RTD("tos.rtd", , "HIGH", ".QQQ201120P286")</f>
        <v>4.5</v>
      </c>
      <c r="K477">
        <f>RTD("tos.rtd", , "LOW", ".QQQ201120P286")</f>
        <v>2.65</v>
      </c>
      <c r="L477">
        <f>RTD("tos.rtd", , "OPEN", ".QQQ201120P286")</f>
        <v>3.05</v>
      </c>
      <c r="M477" t="str">
        <f>RTD("tos.rtd", , "DELTA", ".QQQ201120P286")</f>
        <v>N/A</v>
      </c>
      <c r="N477" t="str">
        <f>RTD("tos.rtd", , "GAMMA", ".QQQ201120P286")</f>
        <v>N/A</v>
      </c>
      <c r="O477" t="str">
        <f>RTD("tos.rtd", , "THETA", ".QQQ201120P286")</f>
        <v>N/A</v>
      </c>
      <c r="P477" t="str">
        <f>RTD("tos.rtd", , "VEGA", ".QQQ201120P286")</f>
        <v>N/A</v>
      </c>
      <c r="Q477" t="str">
        <f>RTD("tos.rtd", , "RHO", ".QQQ201120P286")</f>
        <v>N/A</v>
      </c>
      <c r="R477" t="str">
        <f>RTD("tos.rtd", , "INTRINSIC", ".QQQ201120P286")</f>
        <v>N/A</v>
      </c>
      <c r="S477" t="str">
        <f>RTD("tos.rtd", , "EXTRINSIC", ".QQQ201120P286")</f>
        <v>N/A</v>
      </c>
      <c r="T477" t="str">
        <f>RTD("tos.rtd", , "PROB_OF_EXPIRING", ".QQQ201120P286")</f>
        <v>N/A</v>
      </c>
      <c r="U477" t="str">
        <f>RTD("tos.rtd", , "PROB_OTM", ".QQQ201120P286")</f>
        <v>N/A</v>
      </c>
      <c r="V477" t="str">
        <f>RTD("tos.rtd", , "PROB_OF_TOUCHING", ".QQQ201120P286")</f>
        <v>N/A</v>
      </c>
      <c r="W477" t="str">
        <f>RTD("tos.rtd", , "STRIKE", ".QQQ201120P286")</f>
        <v>N/A</v>
      </c>
    </row>
    <row r="478" spans="1:23" x14ac:dyDescent="0.45">
      <c r="A478" t="s">
        <v>499</v>
      </c>
      <c r="B478" t="str">
        <f>RTD("tos.rtd", , "DESCRIPTION", ".QQQ201120C287")</f>
        <v>N/A</v>
      </c>
      <c r="C478" t="str">
        <f>RTD("tos.rtd", , "PUT_CALL_RATIO", ".QQQ201120C287")</f>
        <v>N/A</v>
      </c>
      <c r="D478" t="str">
        <f>RTD("tos.rtd", , "IMPL_VOL", ".QQQ201120C287")</f>
        <v>N/A</v>
      </c>
      <c r="E478">
        <f>RTD("tos.rtd", , "LAST", ".QQQ201120C287")</f>
        <v>5.87</v>
      </c>
      <c r="F478">
        <f>RTD("tos.rtd", , "VOLUME", ".QQQ201120C287")</f>
        <v>313</v>
      </c>
      <c r="G478">
        <f>RTD("tos.rtd", , "OPEN_INT", ".QQQ201120C287")</f>
        <v>3903</v>
      </c>
      <c r="H478">
        <f>RTD("tos.rtd", , "BID", ".QQQ201120C287")</f>
        <v>5.75</v>
      </c>
      <c r="I478">
        <f>RTD("tos.rtd", , "ASK", ".QQQ201120C287")</f>
        <v>5.93</v>
      </c>
      <c r="J478">
        <f>RTD("tos.rtd", , "HIGH", ".QQQ201120C287")</f>
        <v>7.89</v>
      </c>
      <c r="K478">
        <f>RTD("tos.rtd", , "LOW", ".QQQ201120C287")</f>
        <v>5.25</v>
      </c>
      <c r="L478">
        <f>RTD("tos.rtd", , "OPEN", ".QQQ201120C287")</f>
        <v>7.06</v>
      </c>
      <c r="M478" t="str">
        <f>RTD("tos.rtd", , "DELTA", ".QQQ201120C287")</f>
        <v>N/A</v>
      </c>
      <c r="N478" t="str">
        <f>RTD("tos.rtd", , "GAMMA", ".QQQ201120C287")</f>
        <v>N/A</v>
      </c>
      <c r="O478" t="str">
        <f>RTD("tos.rtd", , "THETA", ".QQQ201120C287")</f>
        <v>N/A</v>
      </c>
      <c r="P478" t="str">
        <f>RTD("tos.rtd", , "VEGA", ".QQQ201120C287")</f>
        <v>N/A</v>
      </c>
      <c r="Q478" t="str">
        <f>RTD("tos.rtd", , "RHO", ".QQQ201120C287")</f>
        <v>N/A</v>
      </c>
      <c r="R478" t="str">
        <f>RTD("tos.rtd", , "INTRINSIC", ".QQQ201120C287")</f>
        <v>N/A</v>
      </c>
      <c r="S478" t="str">
        <f>RTD("tos.rtd", , "EXTRINSIC", ".QQQ201120C287")</f>
        <v>N/A</v>
      </c>
      <c r="T478" t="str">
        <f>RTD("tos.rtd", , "PROB_OF_EXPIRING", ".QQQ201120C287")</f>
        <v>N/A</v>
      </c>
      <c r="U478" t="str">
        <f>RTD("tos.rtd", , "PROB_OTM", ".QQQ201120C287")</f>
        <v>N/A</v>
      </c>
      <c r="V478" t="str">
        <f>RTD("tos.rtd", , "PROB_OF_TOUCHING", ".QQQ201120C287")</f>
        <v>N/A</v>
      </c>
      <c r="W478" t="str">
        <f>RTD("tos.rtd", , "STRIKE", ".QQQ201120C287")</f>
        <v>N/A</v>
      </c>
    </row>
    <row r="479" spans="1:23" x14ac:dyDescent="0.45">
      <c r="A479" t="s">
        <v>500</v>
      </c>
      <c r="B479" t="str">
        <f>RTD("tos.rtd", , "DESCRIPTION", ".QQQ201120P287")</f>
        <v>N/A</v>
      </c>
      <c r="C479" t="str">
        <f>RTD("tos.rtd", , "PUT_CALL_RATIO", ".QQQ201120P287")</f>
        <v>N/A</v>
      </c>
      <c r="D479" t="str">
        <f>RTD("tos.rtd", , "IMPL_VOL", ".QQQ201120P287")</f>
        <v>N/A</v>
      </c>
      <c r="E479">
        <f>RTD("tos.rtd", , "LAST", ".QQQ201120P287")</f>
        <v>3.72</v>
      </c>
      <c r="F479">
        <f>RTD("tos.rtd", , "VOLUME", ".QQQ201120P287")</f>
        <v>2324</v>
      </c>
      <c r="G479">
        <f>RTD("tos.rtd", , "OPEN_INT", ".QQQ201120P287")</f>
        <v>2918</v>
      </c>
      <c r="H479">
        <f>RTD("tos.rtd", , "BID", ".QQQ201120P287")</f>
        <v>3.7</v>
      </c>
      <c r="I479">
        <f>RTD("tos.rtd", , "ASK", ".QQQ201120P287")</f>
        <v>3.77</v>
      </c>
      <c r="J479">
        <f>RTD("tos.rtd", , "HIGH", ".QQQ201120P287")</f>
        <v>4.9000000000000004</v>
      </c>
      <c r="K479">
        <f>RTD("tos.rtd", , "LOW", ".QQQ201120P287")</f>
        <v>2.89</v>
      </c>
      <c r="L479">
        <f>RTD("tos.rtd", , "OPEN", ".QQQ201120P287")</f>
        <v>3.42</v>
      </c>
      <c r="M479" t="str">
        <f>RTD("tos.rtd", , "DELTA", ".QQQ201120P287")</f>
        <v>N/A</v>
      </c>
      <c r="N479" t="str">
        <f>RTD("tos.rtd", , "GAMMA", ".QQQ201120P287")</f>
        <v>N/A</v>
      </c>
      <c r="O479" t="str">
        <f>RTD("tos.rtd", , "THETA", ".QQQ201120P287")</f>
        <v>N/A</v>
      </c>
      <c r="P479" t="str">
        <f>RTD("tos.rtd", , "VEGA", ".QQQ201120P287")</f>
        <v>N/A</v>
      </c>
      <c r="Q479" t="str">
        <f>RTD("tos.rtd", , "RHO", ".QQQ201120P287")</f>
        <v>N/A</v>
      </c>
      <c r="R479" t="str">
        <f>RTD("tos.rtd", , "INTRINSIC", ".QQQ201120P287")</f>
        <v>N/A</v>
      </c>
      <c r="S479" t="str">
        <f>RTD("tos.rtd", , "EXTRINSIC", ".QQQ201120P287")</f>
        <v>N/A</v>
      </c>
      <c r="T479" t="str">
        <f>RTD("tos.rtd", , "PROB_OF_EXPIRING", ".QQQ201120P287")</f>
        <v>N/A</v>
      </c>
      <c r="U479" t="str">
        <f>RTD("tos.rtd", , "PROB_OTM", ".QQQ201120P287")</f>
        <v>N/A</v>
      </c>
      <c r="V479" t="str">
        <f>RTD("tos.rtd", , "PROB_OF_TOUCHING", ".QQQ201120P287")</f>
        <v>N/A</v>
      </c>
      <c r="W479" t="str">
        <f>RTD("tos.rtd", , "STRIKE", ".QQQ201120P287")</f>
        <v>N/A</v>
      </c>
    </row>
    <row r="480" spans="1:23" x14ac:dyDescent="0.45">
      <c r="A480" t="s">
        <v>501</v>
      </c>
      <c r="B480" t="str">
        <f>RTD("tos.rtd", , "DESCRIPTION", ".QQQ201120C287.5")</f>
        <v>N/A</v>
      </c>
      <c r="C480" t="str">
        <f>RTD("tos.rtd", , "PUT_CALL_RATIO", ".QQQ201120C287.5")</f>
        <v>N/A</v>
      </c>
      <c r="D480" t="str">
        <f>RTD("tos.rtd", , "IMPL_VOL", ".QQQ201120C287.5")</f>
        <v>N/A</v>
      </c>
      <c r="E480">
        <f>RTD("tos.rtd", , "LAST", ".QQQ201120C287.5")</f>
        <v>5.5</v>
      </c>
      <c r="F480">
        <f>RTD("tos.rtd", , "VOLUME", ".QQQ201120C287.5")</f>
        <v>571</v>
      </c>
      <c r="G480">
        <f>RTD("tos.rtd", , "OPEN_INT", ".QQQ201120C287.5")</f>
        <v>1641</v>
      </c>
      <c r="H480">
        <f>RTD("tos.rtd", , "BID", ".QQQ201120C287.5")</f>
        <v>5.44</v>
      </c>
      <c r="I480">
        <f>RTD("tos.rtd", , "ASK", ".QQQ201120C287.5")</f>
        <v>5.61</v>
      </c>
      <c r="J480">
        <f>RTD("tos.rtd", , "HIGH", ".QQQ201120C287.5")</f>
        <v>7.55</v>
      </c>
      <c r="K480">
        <f>RTD("tos.rtd", , "LOW", ".QQQ201120C287.5")</f>
        <v>4.7</v>
      </c>
      <c r="L480">
        <f>RTD("tos.rtd", , "OPEN", ".QQQ201120C287.5")</f>
        <v>7.03</v>
      </c>
      <c r="M480" t="str">
        <f>RTD("tos.rtd", , "DELTA", ".QQQ201120C287.5")</f>
        <v>N/A</v>
      </c>
      <c r="N480" t="str">
        <f>RTD("tos.rtd", , "GAMMA", ".QQQ201120C287.5")</f>
        <v>N/A</v>
      </c>
      <c r="O480" t="str">
        <f>RTD("tos.rtd", , "THETA", ".QQQ201120C287.5")</f>
        <v>N/A</v>
      </c>
      <c r="P480" t="str">
        <f>RTD("tos.rtd", , "VEGA", ".QQQ201120C287.5")</f>
        <v>N/A</v>
      </c>
      <c r="Q480" t="str">
        <f>RTD("tos.rtd", , "RHO", ".QQQ201120C287.5")</f>
        <v>N/A</v>
      </c>
      <c r="R480" t="str">
        <f>RTD("tos.rtd", , "INTRINSIC", ".QQQ201120C287.5")</f>
        <v>N/A</v>
      </c>
      <c r="S480" t="str">
        <f>RTD("tos.rtd", , "EXTRINSIC", ".QQQ201120C287.5")</f>
        <v>N/A</v>
      </c>
      <c r="T480" t="str">
        <f>RTD("tos.rtd", , "PROB_OF_EXPIRING", ".QQQ201120C287.5")</f>
        <v>N/A</v>
      </c>
      <c r="U480" t="str">
        <f>RTD("tos.rtd", , "PROB_OTM", ".QQQ201120C287.5")</f>
        <v>N/A</v>
      </c>
      <c r="V480" t="str">
        <f>RTD("tos.rtd", , "PROB_OF_TOUCHING", ".QQQ201120C287.5")</f>
        <v>N/A</v>
      </c>
      <c r="W480" t="str">
        <f>RTD("tos.rtd", , "STRIKE", ".QQQ201120C287.5")</f>
        <v>N/A</v>
      </c>
    </row>
    <row r="481" spans="1:23" x14ac:dyDescent="0.45">
      <c r="A481" t="s">
        <v>502</v>
      </c>
      <c r="B481" t="str">
        <f>RTD("tos.rtd", , "DESCRIPTION", ".QQQ201120P287.5")</f>
        <v>N/A</v>
      </c>
      <c r="C481" t="str">
        <f>RTD("tos.rtd", , "PUT_CALL_RATIO", ".QQQ201120P287.5")</f>
        <v>N/A</v>
      </c>
      <c r="D481" t="str">
        <f>RTD("tos.rtd", , "IMPL_VOL", ".QQQ201120P287.5")</f>
        <v>N/A</v>
      </c>
      <c r="E481">
        <f>RTD("tos.rtd", , "LAST", ".QQQ201120P287.5")</f>
        <v>3.88</v>
      </c>
      <c r="F481">
        <f>RTD("tos.rtd", , "VOLUME", ".QQQ201120P287.5")</f>
        <v>2295</v>
      </c>
      <c r="G481">
        <f>RTD("tos.rtd", , "OPEN_INT", ".QQQ201120P287.5")</f>
        <v>3011</v>
      </c>
      <c r="H481">
        <f>RTD("tos.rtd", , "BID", ".QQQ201120P287.5")</f>
        <v>3.88</v>
      </c>
      <c r="I481">
        <f>RTD("tos.rtd", , "ASK", ".QQQ201120P287.5")</f>
        <v>3.96</v>
      </c>
      <c r="J481">
        <f>RTD("tos.rtd", , "HIGH", ".QQQ201120P287.5")</f>
        <v>5.0599999999999996</v>
      </c>
      <c r="K481">
        <f>RTD("tos.rtd", , "LOW", ".QQQ201120P287.5")</f>
        <v>3.07</v>
      </c>
      <c r="L481">
        <f>RTD("tos.rtd", , "OPEN", ".QQQ201120P287.5")</f>
        <v>3.54</v>
      </c>
      <c r="M481" t="str">
        <f>RTD("tos.rtd", , "DELTA", ".QQQ201120P287.5")</f>
        <v>N/A</v>
      </c>
      <c r="N481" t="str">
        <f>RTD("tos.rtd", , "GAMMA", ".QQQ201120P287.5")</f>
        <v>N/A</v>
      </c>
      <c r="O481" t="str">
        <f>RTD("tos.rtd", , "THETA", ".QQQ201120P287.5")</f>
        <v>N/A</v>
      </c>
      <c r="P481" t="str">
        <f>RTD("tos.rtd", , "VEGA", ".QQQ201120P287.5")</f>
        <v>N/A</v>
      </c>
      <c r="Q481" t="str">
        <f>RTD("tos.rtd", , "RHO", ".QQQ201120P287.5")</f>
        <v>N/A</v>
      </c>
      <c r="R481" t="str">
        <f>RTD("tos.rtd", , "INTRINSIC", ".QQQ201120P287.5")</f>
        <v>N/A</v>
      </c>
      <c r="S481" t="str">
        <f>RTD("tos.rtd", , "EXTRINSIC", ".QQQ201120P287.5")</f>
        <v>N/A</v>
      </c>
      <c r="T481" t="str">
        <f>RTD("tos.rtd", , "PROB_OF_EXPIRING", ".QQQ201120P287.5")</f>
        <v>N/A</v>
      </c>
      <c r="U481" t="str">
        <f>RTD("tos.rtd", , "PROB_OTM", ".QQQ201120P287.5")</f>
        <v>N/A</v>
      </c>
      <c r="V481" t="str">
        <f>RTD("tos.rtd", , "PROB_OF_TOUCHING", ".QQQ201120P287.5")</f>
        <v>N/A</v>
      </c>
      <c r="W481" t="str">
        <f>RTD("tos.rtd", , "STRIKE", ".QQQ201120P287.5")</f>
        <v>N/A</v>
      </c>
    </row>
    <row r="482" spans="1:23" x14ac:dyDescent="0.45">
      <c r="A482" t="s">
        <v>503</v>
      </c>
      <c r="B482" t="str">
        <f>RTD("tos.rtd", , "DESCRIPTION", ".QQQ201120C288")</f>
        <v>N/A</v>
      </c>
      <c r="C482" t="str">
        <f>RTD("tos.rtd", , "PUT_CALL_RATIO", ".QQQ201120C288")</f>
        <v>N/A</v>
      </c>
      <c r="D482" t="str">
        <f>RTD("tos.rtd", , "IMPL_VOL", ".QQQ201120C288")</f>
        <v>N/A</v>
      </c>
      <c r="E482">
        <f>RTD("tos.rtd", , "LAST", ".QQQ201120C288")</f>
        <v>5.15</v>
      </c>
      <c r="F482">
        <f>RTD("tos.rtd", , "VOLUME", ".QQQ201120C288")</f>
        <v>1662</v>
      </c>
      <c r="G482">
        <f>RTD("tos.rtd", , "OPEN_INT", ".QQQ201120C288")</f>
        <v>8839</v>
      </c>
      <c r="H482">
        <f>RTD("tos.rtd", , "BID", ".QQQ201120C288")</f>
        <v>5.14</v>
      </c>
      <c r="I482">
        <f>RTD("tos.rtd", , "ASK", ".QQQ201120C288")</f>
        <v>5.3</v>
      </c>
      <c r="J482">
        <f>RTD("tos.rtd", , "HIGH", ".QQQ201120C288")</f>
        <v>7.1</v>
      </c>
      <c r="K482">
        <f>RTD("tos.rtd", , "LOW", ".QQQ201120C288")</f>
        <v>4.4800000000000004</v>
      </c>
      <c r="L482">
        <f>RTD("tos.rtd", , "OPEN", ".QQQ201120C288")</f>
        <v>6.48</v>
      </c>
      <c r="M482" t="str">
        <f>RTD("tos.rtd", , "DELTA", ".QQQ201120C288")</f>
        <v>N/A</v>
      </c>
      <c r="N482" t="str">
        <f>RTD("tos.rtd", , "GAMMA", ".QQQ201120C288")</f>
        <v>N/A</v>
      </c>
      <c r="O482" t="str">
        <f>RTD("tos.rtd", , "THETA", ".QQQ201120C288")</f>
        <v>N/A</v>
      </c>
      <c r="P482" t="str">
        <f>RTD("tos.rtd", , "VEGA", ".QQQ201120C288")</f>
        <v>N/A</v>
      </c>
      <c r="Q482" t="str">
        <f>RTD("tos.rtd", , "RHO", ".QQQ201120C288")</f>
        <v>N/A</v>
      </c>
      <c r="R482" t="str">
        <f>RTD("tos.rtd", , "INTRINSIC", ".QQQ201120C288")</f>
        <v>N/A</v>
      </c>
      <c r="S482" t="str">
        <f>RTD("tos.rtd", , "EXTRINSIC", ".QQQ201120C288")</f>
        <v>N/A</v>
      </c>
      <c r="T482" t="str">
        <f>RTD("tos.rtd", , "PROB_OF_EXPIRING", ".QQQ201120C288")</f>
        <v>N/A</v>
      </c>
      <c r="U482" t="str">
        <f>RTD("tos.rtd", , "PROB_OTM", ".QQQ201120C288")</f>
        <v>N/A</v>
      </c>
      <c r="V482" t="str">
        <f>RTD("tos.rtd", , "PROB_OF_TOUCHING", ".QQQ201120C288")</f>
        <v>N/A</v>
      </c>
      <c r="W482" t="str">
        <f>RTD("tos.rtd", , "STRIKE", ".QQQ201120C288")</f>
        <v>N/A</v>
      </c>
    </row>
    <row r="483" spans="1:23" x14ac:dyDescent="0.45">
      <c r="A483" t="s">
        <v>504</v>
      </c>
      <c r="B483" t="str">
        <f>RTD("tos.rtd", , "DESCRIPTION", ".QQQ201120P288")</f>
        <v>N/A</v>
      </c>
      <c r="C483" t="str">
        <f>RTD("tos.rtd", , "PUT_CALL_RATIO", ".QQQ201120P288")</f>
        <v>N/A</v>
      </c>
      <c r="D483" t="str">
        <f>RTD("tos.rtd", , "IMPL_VOL", ".QQQ201120P288")</f>
        <v>N/A</v>
      </c>
      <c r="E483">
        <f>RTD("tos.rtd", , "LAST", ".QQQ201120P288")</f>
        <v>4.16</v>
      </c>
      <c r="F483">
        <f>RTD("tos.rtd", , "VOLUME", ".QQQ201120P288")</f>
        <v>5569</v>
      </c>
      <c r="G483">
        <f>RTD("tos.rtd", , "OPEN_INT", ".QQQ201120P288")</f>
        <v>7186</v>
      </c>
      <c r="H483">
        <f>RTD("tos.rtd", , "BID", ".QQQ201120P288")</f>
        <v>4.0599999999999996</v>
      </c>
      <c r="I483">
        <f>RTD("tos.rtd", , "ASK", ".QQQ201120P288")</f>
        <v>4.1500000000000004</v>
      </c>
      <c r="J483">
        <f>RTD("tos.rtd", , "HIGH", ".QQQ201120P288")</f>
        <v>5.37</v>
      </c>
      <c r="K483">
        <f>RTD("tos.rtd", , "LOW", ".QQQ201120P288")</f>
        <v>3.18</v>
      </c>
      <c r="L483">
        <f>RTD("tos.rtd", , "OPEN", ".QQQ201120P288")</f>
        <v>3.63</v>
      </c>
      <c r="M483" t="str">
        <f>RTD("tos.rtd", , "DELTA", ".QQQ201120P288")</f>
        <v>N/A</v>
      </c>
      <c r="N483" t="str">
        <f>RTD("tos.rtd", , "GAMMA", ".QQQ201120P288")</f>
        <v>N/A</v>
      </c>
      <c r="O483" t="str">
        <f>RTD("tos.rtd", , "THETA", ".QQQ201120P288")</f>
        <v>N/A</v>
      </c>
      <c r="P483" t="str">
        <f>RTD("tos.rtd", , "VEGA", ".QQQ201120P288")</f>
        <v>N/A</v>
      </c>
      <c r="Q483" t="str">
        <f>RTD("tos.rtd", , "RHO", ".QQQ201120P288")</f>
        <v>N/A</v>
      </c>
      <c r="R483" t="str">
        <f>RTD("tos.rtd", , "INTRINSIC", ".QQQ201120P288")</f>
        <v>N/A</v>
      </c>
      <c r="S483" t="str">
        <f>RTD("tos.rtd", , "EXTRINSIC", ".QQQ201120P288")</f>
        <v>N/A</v>
      </c>
      <c r="T483" t="str">
        <f>RTD("tos.rtd", , "PROB_OF_EXPIRING", ".QQQ201120P288")</f>
        <v>N/A</v>
      </c>
      <c r="U483" t="str">
        <f>RTD("tos.rtd", , "PROB_OTM", ".QQQ201120P288")</f>
        <v>N/A</v>
      </c>
      <c r="V483" t="str">
        <f>RTD("tos.rtd", , "PROB_OF_TOUCHING", ".QQQ201120P288")</f>
        <v>N/A</v>
      </c>
      <c r="W483" t="str">
        <f>RTD("tos.rtd", , "STRIKE", ".QQQ201120P288")</f>
        <v>N/A</v>
      </c>
    </row>
    <row r="484" spans="1:23" x14ac:dyDescent="0.45">
      <c r="A484" t="s">
        <v>505</v>
      </c>
      <c r="B484" t="str">
        <f>RTD("tos.rtd", , "DESCRIPTION", ".QQQ201120C289")</f>
        <v>N/A</v>
      </c>
      <c r="C484" t="str">
        <f>RTD("tos.rtd", , "PUT_CALL_RATIO", ".QQQ201120C289")</f>
        <v>N/A</v>
      </c>
      <c r="D484" t="str">
        <f>RTD("tos.rtd", , "IMPL_VOL", ".QQQ201120C289")</f>
        <v>N/A</v>
      </c>
      <c r="E484">
        <f>RTD("tos.rtd", , "LAST", ".QQQ201120C289")</f>
        <v>4.68</v>
      </c>
      <c r="F484">
        <f>RTD("tos.rtd", , "VOLUME", ".QQQ201120C289")</f>
        <v>3681</v>
      </c>
      <c r="G484">
        <f>RTD("tos.rtd", , "OPEN_INT", ".QQQ201120C289")</f>
        <v>5035</v>
      </c>
      <c r="H484">
        <f>RTD("tos.rtd", , "BID", ".QQQ201120C289")</f>
        <v>4.57</v>
      </c>
      <c r="I484">
        <f>RTD("tos.rtd", , "ASK", ".QQQ201120C289")</f>
        <v>4.67</v>
      </c>
      <c r="J484">
        <f>RTD("tos.rtd", , "HIGH", ".QQQ201120C289")</f>
        <v>6.5</v>
      </c>
      <c r="K484">
        <f>RTD("tos.rtd", , "LOW", ".QQQ201120C289")</f>
        <v>3.93</v>
      </c>
      <c r="L484">
        <f>RTD("tos.rtd", , "OPEN", ".QQQ201120C289")</f>
        <v>5.81</v>
      </c>
      <c r="M484" t="str">
        <f>RTD("tos.rtd", , "DELTA", ".QQQ201120C289")</f>
        <v>N/A</v>
      </c>
      <c r="N484" t="str">
        <f>RTD("tos.rtd", , "GAMMA", ".QQQ201120C289")</f>
        <v>N/A</v>
      </c>
      <c r="O484" t="str">
        <f>RTD("tos.rtd", , "THETA", ".QQQ201120C289")</f>
        <v>N/A</v>
      </c>
      <c r="P484" t="str">
        <f>RTD("tos.rtd", , "VEGA", ".QQQ201120C289")</f>
        <v>N/A</v>
      </c>
      <c r="Q484" t="str">
        <f>RTD("tos.rtd", , "RHO", ".QQQ201120C289")</f>
        <v>N/A</v>
      </c>
      <c r="R484" t="str">
        <f>RTD("tos.rtd", , "INTRINSIC", ".QQQ201120C289")</f>
        <v>N/A</v>
      </c>
      <c r="S484" t="str">
        <f>RTD("tos.rtd", , "EXTRINSIC", ".QQQ201120C289")</f>
        <v>N/A</v>
      </c>
      <c r="T484" t="str">
        <f>RTD("tos.rtd", , "PROB_OF_EXPIRING", ".QQQ201120C289")</f>
        <v>N/A</v>
      </c>
      <c r="U484" t="str">
        <f>RTD("tos.rtd", , "PROB_OTM", ".QQQ201120C289")</f>
        <v>N/A</v>
      </c>
      <c r="V484" t="str">
        <f>RTD("tos.rtd", , "PROB_OF_TOUCHING", ".QQQ201120C289")</f>
        <v>N/A</v>
      </c>
      <c r="W484" t="str">
        <f>RTD("tos.rtd", , "STRIKE", ".QQQ201120C289")</f>
        <v>N/A</v>
      </c>
    </row>
    <row r="485" spans="1:23" x14ac:dyDescent="0.45">
      <c r="A485" t="s">
        <v>506</v>
      </c>
      <c r="B485" t="str">
        <f>RTD("tos.rtd", , "DESCRIPTION", ".QQQ201120P289")</f>
        <v>N/A</v>
      </c>
      <c r="C485" t="str">
        <f>RTD("tos.rtd", , "PUT_CALL_RATIO", ".QQQ201120P289")</f>
        <v>N/A</v>
      </c>
      <c r="D485" t="str">
        <f>RTD("tos.rtd", , "IMPL_VOL", ".QQQ201120P289")</f>
        <v>N/A</v>
      </c>
      <c r="E485">
        <f>RTD("tos.rtd", , "LAST", ".QQQ201120P289")</f>
        <v>4.49</v>
      </c>
      <c r="F485">
        <f>RTD("tos.rtd", , "VOLUME", ".QQQ201120P289")</f>
        <v>2445</v>
      </c>
      <c r="G485">
        <f>RTD("tos.rtd", , "OPEN_INT", ".QQQ201120P289")</f>
        <v>3559</v>
      </c>
      <c r="H485">
        <f>RTD("tos.rtd", , "BID", ".QQQ201120P289")</f>
        <v>4.47</v>
      </c>
      <c r="I485">
        <f>RTD("tos.rtd", , "ASK", ".QQQ201120P289")</f>
        <v>4.58</v>
      </c>
      <c r="J485">
        <f>RTD("tos.rtd", , "HIGH", ".QQQ201120P289")</f>
        <v>5.81</v>
      </c>
      <c r="K485">
        <f>RTD("tos.rtd", , "LOW", ".QQQ201120P289")</f>
        <v>3.53</v>
      </c>
      <c r="L485">
        <f>RTD("tos.rtd", , "OPEN", ".QQQ201120P289")</f>
        <v>4.07</v>
      </c>
      <c r="M485" t="str">
        <f>RTD("tos.rtd", , "DELTA", ".QQQ201120P289")</f>
        <v>N/A</v>
      </c>
      <c r="N485" t="str">
        <f>RTD("tos.rtd", , "GAMMA", ".QQQ201120P289")</f>
        <v>N/A</v>
      </c>
      <c r="O485" t="str">
        <f>RTD("tos.rtd", , "THETA", ".QQQ201120P289")</f>
        <v>N/A</v>
      </c>
      <c r="P485" t="str">
        <f>RTD("tos.rtd", , "VEGA", ".QQQ201120P289")</f>
        <v>N/A</v>
      </c>
      <c r="Q485" t="str">
        <f>RTD("tos.rtd", , "RHO", ".QQQ201120P289")</f>
        <v>N/A</v>
      </c>
      <c r="R485" t="str">
        <f>RTD("tos.rtd", , "INTRINSIC", ".QQQ201120P289")</f>
        <v>N/A</v>
      </c>
      <c r="S485" t="str">
        <f>RTD("tos.rtd", , "EXTRINSIC", ".QQQ201120P289")</f>
        <v>N/A</v>
      </c>
      <c r="T485" t="str">
        <f>RTD("tos.rtd", , "PROB_OF_EXPIRING", ".QQQ201120P289")</f>
        <v>N/A</v>
      </c>
      <c r="U485" t="str">
        <f>RTD("tos.rtd", , "PROB_OTM", ".QQQ201120P289")</f>
        <v>N/A</v>
      </c>
      <c r="V485" t="str">
        <f>RTD("tos.rtd", , "PROB_OF_TOUCHING", ".QQQ201120P289")</f>
        <v>N/A</v>
      </c>
      <c r="W485" t="str">
        <f>RTD("tos.rtd", , "STRIKE", ".QQQ201120P289")</f>
        <v>N/A</v>
      </c>
    </row>
    <row r="486" spans="1:23" x14ac:dyDescent="0.45">
      <c r="A486" t="s">
        <v>507</v>
      </c>
      <c r="B486" t="str">
        <f>RTD("tos.rtd", , "DESCRIPTION", ".QQQ201120C290")</f>
        <v>N/A</v>
      </c>
      <c r="C486" t="str">
        <f>RTD("tos.rtd", , "PUT_CALL_RATIO", ".QQQ201120C290")</f>
        <v>N/A</v>
      </c>
      <c r="D486" t="str">
        <f>RTD("tos.rtd", , "IMPL_VOL", ".QQQ201120C290")</f>
        <v>N/A</v>
      </c>
      <c r="E486">
        <f>RTD("tos.rtd", , "LAST", ".QQQ201120C290")</f>
        <v>4.08</v>
      </c>
      <c r="F486">
        <f>RTD("tos.rtd", , "VOLUME", ".QQQ201120C290")</f>
        <v>8960</v>
      </c>
      <c r="G486">
        <f>RTD("tos.rtd", , "OPEN_INT", ".QQQ201120C290")</f>
        <v>19605</v>
      </c>
      <c r="H486">
        <f>RTD("tos.rtd", , "BID", ".QQQ201120C290")</f>
        <v>4.0199999999999996</v>
      </c>
      <c r="I486">
        <f>RTD("tos.rtd", , "ASK", ".QQQ201120C290")</f>
        <v>4.1100000000000003</v>
      </c>
      <c r="J486">
        <f>RTD("tos.rtd", , "HIGH", ".QQQ201120C290")</f>
        <v>5.89</v>
      </c>
      <c r="K486">
        <f>RTD("tos.rtd", , "LOW", ".QQQ201120C290")</f>
        <v>3.45</v>
      </c>
      <c r="L486">
        <f>RTD("tos.rtd", , "OPEN", ".QQQ201120C290")</f>
        <v>5.16</v>
      </c>
      <c r="M486" t="str">
        <f>RTD("tos.rtd", , "DELTA", ".QQQ201120C290")</f>
        <v>N/A</v>
      </c>
      <c r="N486" t="str">
        <f>RTD("tos.rtd", , "GAMMA", ".QQQ201120C290")</f>
        <v>N/A</v>
      </c>
      <c r="O486" t="str">
        <f>RTD("tos.rtd", , "THETA", ".QQQ201120C290")</f>
        <v>N/A</v>
      </c>
      <c r="P486" t="str">
        <f>RTD("tos.rtd", , "VEGA", ".QQQ201120C290")</f>
        <v>N/A</v>
      </c>
      <c r="Q486" t="str">
        <f>RTD("tos.rtd", , "RHO", ".QQQ201120C290")</f>
        <v>N/A</v>
      </c>
      <c r="R486" t="str">
        <f>RTD("tos.rtd", , "INTRINSIC", ".QQQ201120C290")</f>
        <v>N/A</v>
      </c>
      <c r="S486" t="str">
        <f>RTD("tos.rtd", , "EXTRINSIC", ".QQQ201120C290")</f>
        <v>N/A</v>
      </c>
      <c r="T486" t="str">
        <f>RTD("tos.rtd", , "PROB_OF_EXPIRING", ".QQQ201120C290")</f>
        <v>N/A</v>
      </c>
      <c r="U486" t="str">
        <f>RTD("tos.rtd", , "PROB_OTM", ".QQQ201120C290")</f>
        <v>N/A</v>
      </c>
      <c r="V486" t="str">
        <f>RTD("tos.rtd", , "PROB_OF_TOUCHING", ".QQQ201120C290")</f>
        <v>N/A</v>
      </c>
      <c r="W486" t="str">
        <f>RTD("tos.rtd", , "STRIKE", ".QQQ201120C290")</f>
        <v>N/A</v>
      </c>
    </row>
    <row r="487" spans="1:23" x14ac:dyDescent="0.45">
      <c r="A487" t="s">
        <v>508</v>
      </c>
      <c r="B487" t="str">
        <f>RTD("tos.rtd", , "DESCRIPTION", ".QQQ201120P290")</f>
        <v>N/A</v>
      </c>
      <c r="C487" t="str">
        <f>RTD("tos.rtd", , "PUT_CALL_RATIO", ".QQQ201120P290")</f>
        <v>N/A</v>
      </c>
      <c r="D487" t="str">
        <f>RTD("tos.rtd", , "IMPL_VOL", ".QQQ201120P290")</f>
        <v>N/A</v>
      </c>
      <c r="E487">
        <f>RTD("tos.rtd", , "LAST", ".QQQ201120P290")</f>
        <v>5.01</v>
      </c>
      <c r="F487">
        <f>RTD("tos.rtd", , "VOLUME", ".QQQ201120P290")</f>
        <v>9631</v>
      </c>
      <c r="G487">
        <f>RTD("tos.rtd", , "OPEN_INT", ".QQQ201120P290")</f>
        <v>33802</v>
      </c>
      <c r="H487">
        <f>RTD("tos.rtd", , "BID", ".QQQ201120P290")</f>
        <v>4.91</v>
      </c>
      <c r="I487">
        <f>RTD("tos.rtd", , "ASK", ".QQQ201120P290")</f>
        <v>5</v>
      </c>
      <c r="J487">
        <f>RTD("tos.rtd", , "HIGH", ".QQQ201120P290")</f>
        <v>6.31</v>
      </c>
      <c r="K487">
        <f>RTD("tos.rtd", , "LOW", ".QQQ201120P290")</f>
        <v>3.84</v>
      </c>
      <c r="L487">
        <f>RTD("tos.rtd", , "OPEN", ".QQQ201120P290")</f>
        <v>4.55</v>
      </c>
      <c r="M487" t="str">
        <f>RTD("tos.rtd", , "DELTA", ".QQQ201120P290")</f>
        <v>N/A</v>
      </c>
      <c r="N487" t="str">
        <f>RTD("tos.rtd", , "GAMMA", ".QQQ201120P290")</f>
        <v>N/A</v>
      </c>
      <c r="O487" t="str">
        <f>RTD("tos.rtd", , "THETA", ".QQQ201120P290")</f>
        <v>N/A</v>
      </c>
      <c r="P487" t="str">
        <f>RTD("tos.rtd", , "VEGA", ".QQQ201120P290")</f>
        <v>N/A</v>
      </c>
      <c r="Q487" t="str">
        <f>RTD("tos.rtd", , "RHO", ".QQQ201120P290")</f>
        <v>N/A</v>
      </c>
      <c r="R487" t="str">
        <f>RTD("tos.rtd", , "INTRINSIC", ".QQQ201120P290")</f>
        <v>N/A</v>
      </c>
      <c r="S487" t="str">
        <f>RTD("tos.rtd", , "EXTRINSIC", ".QQQ201120P290")</f>
        <v>N/A</v>
      </c>
      <c r="T487" t="str">
        <f>RTD("tos.rtd", , "PROB_OF_EXPIRING", ".QQQ201120P290")</f>
        <v>N/A</v>
      </c>
      <c r="U487" t="str">
        <f>RTD("tos.rtd", , "PROB_OTM", ".QQQ201120P290")</f>
        <v>N/A</v>
      </c>
      <c r="V487" t="str">
        <f>RTD("tos.rtd", , "PROB_OF_TOUCHING", ".QQQ201120P290")</f>
        <v>N/A</v>
      </c>
      <c r="W487" t="str">
        <f>RTD("tos.rtd", , "STRIKE", ".QQQ201120P290")</f>
        <v>N/A</v>
      </c>
    </row>
    <row r="488" spans="1:23" x14ac:dyDescent="0.45">
      <c r="A488" t="s">
        <v>509</v>
      </c>
      <c r="B488" t="str">
        <f>RTD("tos.rtd", , "DESCRIPTION", ".QQQ201120C291")</f>
        <v>N/A</v>
      </c>
      <c r="C488" t="str">
        <f>RTD("tos.rtd", , "PUT_CALL_RATIO", ".QQQ201120C291")</f>
        <v>N/A</v>
      </c>
      <c r="D488" t="str">
        <f>RTD("tos.rtd", , "IMPL_VOL", ".QQQ201120C291")</f>
        <v>N/A</v>
      </c>
      <c r="E488">
        <f>RTD("tos.rtd", , "LAST", ".QQQ201120C291")</f>
        <v>3.55</v>
      </c>
      <c r="F488">
        <f>RTD("tos.rtd", , "VOLUME", ".QQQ201120C291")</f>
        <v>6708</v>
      </c>
      <c r="G488">
        <f>RTD("tos.rtd", , "OPEN_INT", ".QQQ201120C291")</f>
        <v>3612</v>
      </c>
      <c r="H488">
        <f>RTD("tos.rtd", , "BID", ".QQQ201120C291")</f>
        <v>3.5</v>
      </c>
      <c r="I488">
        <f>RTD("tos.rtd", , "ASK", ".QQQ201120C291")</f>
        <v>3.58</v>
      </c>
      <c r="J488">
        <f>RTD("tos.rtd", , "HIGH", ".QQQ201120C291")</f>
        <v>5.29</v>
      </c>
      <c r="K488">
        <f>RTD("tos.rtd", , "LOW", ".QQQ201120C291")</f>
        <v>2.98</v>
      </c>
      <c r="L488">
        <f>RTD("tos.rtd", , "OPEN", ".QQQ201120C291")</f>
        <v>4.66</v>
      </c>
      <c r="M488" t="str">
        <f>RTD("tos.rtd", , "DELTA", ".QQQ201120C291")</f>
        <v>N/A</v>
      </c>
      <c r="N488" t="str">
        <f>RTD("tos.rtd", , "GAMMA", ".QQQ201120C291")</f>
        <v>N/A</v>
      </c>
      <c r="O488" t="str">
        <f>RTD("tos.rtd", , "THETA", ".QQQ201120C291")</f>
        <v>N/A</v>
      </c>
      <c r="P488" t="str">
        <f>RTD("tos.rtd", , "VEGA", ".QQQ201120C291")</f>
        <v>N/A</v>
      </c>
      <c r="Q488" t="str">
        <f>RTD("tos.rtd", , "RHO", ".QQQ201120C291")</f>
        <v>N/A</v>
      </c>
      <c r="R488" t="str">
        <f>RTD("tos.rtd", , "INTRINSIC", ".QQQ201120C291")</f>
        <v>N/A</v>
      </c>
      <c r="S488" t="str">
        <f>RTD("tos.rtd", , "EXTRINSIC", ".QQQ201120C291")</f>
        <v>N/A</v>
      </c>
      <c r="T488" t="str">
        <f>RTD("tos.rtd", , "PROB_OF_EXPIRING", ".QQQ201120C291")</f>
        <v>N/A</v>
      </c>
      <c r="U488" t="str">
        <f>RTD("tos.rtd", , "PROB_OTM", ".QQQ201120C291")</f>
        <v>N/A</v>
      </c>
      <c r="V488" t="str">
        <f>RTD("tos.rtd", , "PROB_OF_TOUCHING", ".QQQ201120C291")</f>
        <v>N/A</v>
      </c>
      <c r="W488" t="str">
        <f>RTD("tos.rtd", , "STRIKE", ".QQQ201120C291")</f>
        <v>N/A</v>
      </c>
    </row>
    <row r="489" spans="1:23" x14ac:dyDescent="0.45">
      <c r="A489" t="s">
        <v>510</v>
      </c>
      <c r="B489" t="str">
        <f>RTD("tos.rtd", , "DESCRIPTION", ".QQQ201120P291")</f>
        <v>N/A</v>
      </c>
      <c r="C489" t="str">
        <f>RTD("tos.rtd", , "PUT_CALL_RATIO", ".QQQ201120P291")</f>
        <v>N/A</v>
      </c>
      <c r="D489" t="str">
        <f>RTD("tos.rtd", , "IMPL_VOL", ".QQQ201120P291")</f>
        <v>N/A</v>
      </c>
      <c r="E489">
        <f>RTD("tos.rtd", , "LAST", ".QQQ201120P291")</f>
        <v>5.35</v>
      </c>
      <c r="F489">
        <f>RTD("tos.rtd", , "VOLUME", ".QQQ201120P291")</f>
        <v>2509</v>
      </c>
      <c r="G489">
        <f>RTD("tos.rtd", , "OPEN_INT", ".QQQ201120P291")</f>
        <v>2500</v>
      </c>
      <c r="H489">
        <f>RTD("tos.rtd", , "BID", ".QQQ201120P291")</f>
        <v>5.34</v>
      </c>
      <c r="I489">
        <f>RTD("tos.rtd", , "ASK", ".QQQ201120P291")</f>
        <v>5.53</v>
      </c>
      <c r="J489">
        <f>RTD("tos.rtd", , "HIGH", ".QQQ201120P291")</f>
        <v>6.75</v>
      </c>
      <c r="K489">
        <f>RTD("tos.rtd", , "LOW", ".QQQ201120P291")</f>
        <v>4.22</v>
      </c>
      <c r="L489">
        <f>RTD("tos.rtd", , "OPEN", ".QQQ201120P291")</f>
        <v>4.93</v>
      </c>
      <c r="M489" t="str">
        <f>RTD("tos.rtd", , "DELTA", ".QQQ201120P291")</f>
        <v>N/A</v>
      </c>
      <c r="N489" t="str">
        <f>RTD("tos.rtd", , "GAMMA", ".QQQ201120P291")</f>
        <v>N/A</v>
      </c>
      <c r="O489" t="str">
        <f>RTD("tos.rtd", , "THETA", ".QQQ201120P291")</f>
        <v>N/A</v>
      </c>
      <c r="P489" t="str">
        <f>RTD("tos.rtd", , "VEGA", ".QQQ201120P291")</f>
        <v>N/A</v>
      </c>
      <c r="Q489" t="str">
        <f>RTD("tos.rtd", , "RHO", ".QQQ201120P291")</f>
        <v>N/A</v>
      </c>
      <c r="R489" t="str">
        <f>RTD("tos.rtd", , "INTRINSIC", ".QQQ201120P291")</f>
        <v>N/A</v>
      </c>
      <c r="S489" t="str">
        <f>RTD("tos.rtd", , "EXTRINSIC", ".QQQ201120P291")</f>
        <v>N/A</v>
      </c>
      <c r="T489" t="str">
        <f>RTD("tos.rtd", , "PROB_OF_EXPIRING", ".QQQ201120P291")</f>
        <v>N/A</v>
      </c>
      <c r="U489" t="str">
        <f>RTD("tos.rtd", , "PROB_OTM", ".QQQ201120P291")</f>
        <v>N/A</v>
      </c>
      <c r="V489" t="str">
        <f>RTD("tos.rtd", , "PROB_OF_TOUCHING", ".QQQ201120P291")</f>
        <v>N/A</v>
      </c>
      <c r="W489" t="str">
        <f>RTD("tos.rtd", , "STRIKE", ".QQQ201120P291")</f>
        <v>N/A</v>
      </c>
    </row>
    <row r="490" spans="1:23" x14ac:dyDescent="0.45">
      <c r="A490" t="s">
        <v>511</v>
      </c>
      <c r="B490" t="str">
        <f>RTD("tos.rtd", , "DESCRIPTION", ".QQQ201120C292")</f>
        <v>N/A</v>
      </c>
      <c r="C490" t="str">
        <f>RTD("tos.rtd", , "PUT_CALL_RATIO", ".QQQ201120C292")</f>
        <v>N/A</v>
      </c>
      <c r="D490" t="str">
        <f>RTD("tos.rtd", , "IMPL_VOL", ".QQQ201120C292")</f>
        <v>N/A</v>
      </c>
      <c r="E490">
        <f>RTD("tos.rtd", , "LAST", ".QQQ201120C292")</f>
        <v>3.12</v>
      </c>
      <c r="F490">
        <f>RTD("tos.rtd", , "VOLUME", ".QQQ201120C292")</f>
        <v>1901</v>
      </c>
      <c r="G490">
        <f>RTD("tos.rtd", , "OPEN_INT", ".QQQ201120C292")</f>
        <v>3649</v>
      </c>
      <c r="H490">
        <f>RTD("tos.rtd", , "BID", ".QQQ201120C292")</f>
        <v>3.02</v>
      </c>
      <c r="I490">
        <f>RTD("tos.rtd", , "ASK", ".QQQ201120C292")</f>
        <v>3.1</v>
      </c>
      <c r="J490">
        <f>RTD("tos.rtd", , "HIGH", ".QQQ201120C292")</f>
        <v>4.7300000000000004</v>
      </c>
      <c r="K490">
        <f>RTD("tos.rtd", , "LOW", ".QQQ201120C292")</f>
        <v>2.5</v>
      </c>
      <c r="L490">
        <f>RTD("tos.rtd", , "OPEN", ".QQQ201120C292")</f>
        <v>4.1399999999999997</v>
      </c>
      <c r="M490" t="str">
        <f>RTD("tos.rtd", , "DELTA", ".QQQ201120C292")</f>
        <v>N/A</v>
      </c>
      <c r="N490" t="str">
        <f>RTD("tos.rtd", , "GAMMA", ".QQQ201120C292")</f>
        <v>N/A</v>
      </c>
      <c r="O490" t="str">
        <f>RTD("tos.rtd", , "THETA", ".QQQ201120C292")</f>
        <v>N/A</v>
      </c>
      <c r="P490" t="str">
        <f>RTD("tos.rtd", , "VEGA", ".QQQ201120C292")</f>
        <v>N/A</v>
      </c>
      <c r="Q490" t="str">
        <f>RTD("tos.rtd", , "RHO", ".QQQ201120C292")</f>
        <v>N/A</v>
      </c>
      <c r="R490" t="str">
        <f>RTD("tos.rtd", , "INTRINSIC", ".QQQ201120C292")</f>
        <v>N/A</v>
      </c>
      <c r="S490" t="str">
        <f>RTD("tos.rtd", , "EXTRINSIC", ".QQQ201120C292")</f>
        <v>N/A</v>
      </c>
      <c r="T490" t="str">
        <f>RTD("tos.rtd", , "PROB_OF_EXPIRING", ".QQQ201120C292")</f>
        <v>N/A</v>
      </c>
      <c r="U490" t="str">
        <f>RTD("tos.rtd", , "PROB_OTM", ".QQQ201120C292")</f>
        <v>N/A</v>
      </c>
      <c r="V490" t="str">
        <f>RTD("tos.rtd", , "PROB_OF_TOUCHING", ".QQQ201120C292")</f>
        <v>N/A</v>
      </c>
      <c r="W490" t="str">
        <f>RTD("tos.rtd", , "STRIKE", ".QQQ201120C292")</f>
        <v>N/A</v>
      </c>
    </row>
    <row r="491" spans="1:23" x14ac:dyDescent="0.45">
      <c r="A491" t="s">
        <v>512</v>
      </c>
      <c r="B491" t="str">
        <f>RTD("tos.rtd", , "DESCRIPTION", ".QQQ201120P292")</f>
        <v>N/A</v>
      </c>
      <c r="C491" t="str">
        <f>RTD("tos.rtd", , "PUT_CALL_RATIO", ".QQQ201120P292")</f>
        <v>N/A</v>
      </c>
      <c r="D491" t="str">
        <f>RTD("tos.rtd", , "IMPL_VOL", ".QQQ201120P292")</f>
        <v>N/A</v>
      </c>
      <c r="E491">
        <f>RTD("tos.rtd", , "LAST", ".QQQ201120P292")</f>
        <v>5.94</v>
      </c>
      <c r="F491">
        <f>RTD("tos.rtd", , "VOLUME", ".QQQ201120P292")</f>
        <v>781</v>
      </c>
      <c r="G491">
        <f>RTD("tos.rtd", , "OPEN_INT", ".QQQ201120P292")</f>
        <v>3013</v>
      </c>
      <c r="H491">
        <f>RTD("tos.rtd", , "BID", ".QQQ201120P292")</f>
        <v>5.84</v>
      </c>
      <c r="I491">
        <f>RTD("tos.rtd", , "ASK", ".QQQ201120P292")</f>
        <v>6.05</v>
      </c>
      <c r="J491">
        <f>RTD("tos.rtd", , "HIGH", ".QQQ201120P292")</f>
        <v>7</v>
      </c>
      <c r="K491">
        <f>RTD("tos.rtd", , "LOW", ".QQQ201120P292")</f>
        <v>4.6500000000000004</v>
      </c>
      <c r="L491">
        <f>RTD("tos.rtd", , "OPEN", ".QQQ201120P292")</f>
        <v>5.28</v>
      </c>
      <c r="M491" t="str">
        <f>RTD("tos.rtd", , "DELTA", ".QQQ201120P292")</f>
        <v>N/A</v>
      </c>
      <c r="N491" t="str">
        <f>RTD("tos.rtd", , "GAMMA", ".QQQ201120P292")</f>
        <v>N/A</v>
      </c>
      <c r="O491" t="str">
        <f>RTD("tos.rtd", , "THETA", ".QQQ201120P292")</f>
        <v>N/A</v>
      </c>
      <c r="P491" t="str">
        <f>RTD("tos.rtd", , "VEGA", ".QQQ201120P292")</f>
        <v>N/A</v>
      </c>
      <c r="Q491" t="str">
        <f>RTD("tos.rtd", , "RHO", ".QQQ201120P292")</f>
        <v>N/A</v>
      </c>
      <c r="R491" t="str">
        <f>RTD("tos.rtd", , "INTRINSIC", ".QQQ201120P292")</f>
        <v>N/A</v>
      </c>
      <c r="S491" t="str">
        <f>RTD("tos.rtd", , "EXTRINSIC", ".QQQ201120P292")</f>
        <v>N/A</v>
      </c>
      <c r="T491" t="str">
        <f>RTD("tos.rtd", , "PROB_OF_EXPIRING", ".QQQ201120P292")</f>
        <v>N/A</v>
      </c>
      <c r="U491" t="str">
        <f>RTD("tos.rtd", , "PROB_OTM", ".QQQ201120P292")</f>
        <v>N/A</v>
      </c>
      <c r="V491" t="str">
        <f>RTD("tos.rtd", , "PROB_OF_TOUCHING", ".QQQ201120P292")</f>
        <v>N/A</v>
      </c>
      <c r="W491" t="str">
        <f>RTD("tos.rtd", , "STRIKE", ".QQQ201120P292")</f>
        <v>N/A</v>
      </c>
    </row>
    <row r="492" spans="1:23" x14ac:dyDescent="0.45">
      <c r="A492" t="s">
        <v>513</v>
      </c>
      <c r="B492" t="str">
        <f>RTD("tos.rtd", , "DESCRIPTION", ".QQQ201120C292.5")</f>
        <v>N/A</v>
      </c>
      <c r="C492" t="str">
        <f>RTD("tos.rtd", , "PUT_CALL_RATIO", ".QQQ201120C292.5")</f>
        <v>N/A</v>
      </c>
      <c r="D492" t="str">
        <f>RTD("tos.rtd", , "IMPL_VOL", ".QQQ201120C292.5")</f>
        <v>N/A</v>
      </c>
      <c r="E492">
        <f>RTD("tos.rtd", , "LAST", ".QQQ201120C292.5")</f>
        <v>2.87</v>
      </c>
      <c r="F492">
        <f>RTD("tos.rtd", , "VOLUME", ".QQQ201120C292.5")</f>
        <v>1284</v>
      </c>
      <c r="G492">
        <f>RTD("tos.rtd", , "OPEN_INT", ".QQQ201120C292.5")</f>
        <v>2471</v>
      </c>
      <c r="H492">
        <f>RTD("tos.rtd", , "BID", ".QQQ201120C292.5")</f>
        <v>2.8</v>
      </c>
      <c r="I492">
        <f>RTD("tos.rtd", , "ASK", ".QQQ201120C292.5")</f>
        <v>2.87</v>
      </c>
      <c r="J492">
        <f>RTD("tos.rtd", , "HIGH", ".QQQ201120C292.5")</f>
        <v>4.37</v>
      </c>
      <c r="K492">
        <f>RTD("tos.rtd", , "LOW", ".QQQ201120C292.5")</f>
        <v>2.48</v>
      </c>
      <c r="L492">
        <f>RTD("tos.rtd", , "OPEN", ".QQQ201120C292.5")</f>
        <v>3.83</v>
      </c>
      <c r="M492" t="str">
        <f>RTD("tos.rtd", , "DELTA", ".QQQ201120C292.5")</f>
        <v>N/A</v>
      </c>
      <c r="N492" t="str">
        <f>RTD("tos.rtd", , "GAMMA", ".QQQ201120C292.5")</f>
        <v>N/A</v>
      </c>
      <c r="O492" t="str">
        <f>RTD("tos.rtd", , "THETA", ".QQQ201120C292.5")</f>
        <v>N/A</v>
      </c>
      <c r="P492" t="str">
        <f>RTD("tos.rtd", , "VEGA", ".QQQ201120C292.5")</f>
        <v>N/A</v>
      </c>
      <c r="Q492" t="str">
        <f>RTD("tos.rtd", , "RHO", ".QQQ201120C292.5")</f>
        <v>N/A</v>
      </c>
      <c r="R492" t="str">
        <f>RTD("tos.rtd", , "INTRINSIC", ".QQQ201120C292.5")</f>
        <v>N/A</v>
      </c>
      <c r="S492" t="str">
        <f>RTD("tos.rtd", , "EXTRINSIC", ".QQQ201120C292.5")</f>
        <v>N/A</v>
      </c>
      <c r="T492" t="str">
        <f>RTD("tos.rtd", , "PROB_OF_EXPIRING", ".QQQ201120C292.5")</f>
        <v>N/A</v>
      </c>
      <c r="U492" t="str">
        <f>RTD("tos.rtd", , "PROB_OTM", ".QQQ201120C292.5")</f>
        <v>N/A</v>
      </c>
      <c r="V492" t="str">
        <f>RTD("tos.rtd", , "PROB_OF_TOUCHING", ".QQQ201120C292.5")</f>
        <v>N/A</v>
      </c>
      <c r="W492" t="str">
        <f>RTD("tos.rtd", , "STRIKE", ".QQQ201120C292.5")</f>
        <v>N/A</v>
      </c>
    </row>
    <row r="493" spans="1:23" x14ac:dyDescent="0.45">
      <c r="A493" t="s">
        <v>514</v>
      </c>
      <c r="B493" t="str">
        <f>RTD("tos.rtd", , "DESCRIPTION", ".QQQ201120P292.5")</f>
        <v>N/A</v>
      </c>
      <c r="C493" t="str">
        <f>RTD("tos.rtd", , "PUT_CALL_RATIO", ".QQQ201120P292.5")</f>
        <v>N/A</v>
      </c>
      <c r="D493" t="str">
        <f>RTD("tos.rtd", , "IMPL_VOL", ".QQQ201120P292.5")</f>
        <v>N/A</v>
      </c>
      <c r="E493">
        <f>RTD("tos.rtd", , "LAST", ".QQQ201120P292.5")</f>
        <v>6.15</v>
      </c>
      <c r="F493">
        <f>RTD("tos.rtd", , "VOLUME", ".QQQ201120P292.5")</f>
        <v>154</v>
      </c>
      <c r="G493">
        <f>RTD("tos.rtd", , "OPEN_INT", ".QQQ201120P292.5")</f>
        <v>1450</v>
      </c>
      <c r="H493">
        <f>RTD("tos.rtd", , "BID", ".QQQ201120P292.5")</f>
        <v>6.11</v>
      </c>
      <c r="I493">
        <f>RTD("tos.rtd", , "ASK", ".QQQ201120P292.5")</f>
        <v>6.33</v>
      </c>
      <c r="J493">
        <f>RTD("tos.rtd", , "HIGH", ".QQQ201120P292.5")</f>
        <v>7.07</v>
      </c>
      <c r="K493">
        <f>RTD("tos.rtd", , "LOW", ".QQQ201120P292.5")</f>
        <v>4.97</v>
      </c>
      <c r="L493">
        <f>RTD("tos.rtd", , "OPEN", ".QQQ201120P292.5")</f>
        <v>5.99</v>
      </c>
      <c r="M493" t="str">
        <f>RTD("tos.rtd", , "DELTA", ".QQQ201120P292.5")</f>
        <v>N/A</v>
      </c>
      <c r="N493" t="str">
        <f>RTD("tos.rtd", , "GAMMA", ".QQQ201120P292.5")</f>
        <v>N/A</v>
      </c>
      <c r="O493" t="str">
        <f>RTD("tos.rtd", , "THETA", ".QQQ201120P292.5")</f>
        <v>N/A</v>
      </c>
      <c r="P493" t="str">
        <f>RTD("tos.rtd", , "VEGA", ".QQQ201120P292.5")</f>
        <v>N/A</v>
      </c>
      <c r="Q493" t="str">
        <f>RTD("tos.rtd", , "RHO", ".QQQ201120P292.5")</f>
        <v>N/A</v>
      </c>
      <c r="R493" t="str">
        <f>RTD("tos.rtd", , "INTRINSIC", ".QQQ201120P292.5")</f>
        <v>N/A</v>
      </c>
      <c r="S493" t="str">
        <f>RTD("tos.rtd", , "EXTRINSIC", ".QQQ201120P292.5")</f>
        <v>N/A</v>
      </c>
      <c r="T493" t="str">
        <f>RTD("tos.rtd", , "PROB_OF_EXPIRING", ".QQQ201120P292.5")</f>
        <v>N/A</v>
      </c>
      <c r="U493" t="str">
        <f>RTD("tos.rtd", , "PROB_OTM", ".QQQ201120P292.5")</f>
        <v>N/A</v>
      </c>
      <c r="V493" t="str">
        <f>RTD("tos.rtd", , "PROB_OF_TOUCHING", ".QQQ201120P292.5")</f>
        <v>N/A</v>
      </c>
      <c r="W493" t="str">
        <f>RTD("tos.rtd", , "STRIKE", ".QQQ201120P292.5")</f>
        <v>N/A</v>
      </c>
    </row>
    <row r="494" spans="1:23" x14ac:dyDescent="0.45">
      <c r="A494" t="s">
        <v>515</v>
      </c>
      <c r="B494" t="str">
        <f>RTD("tos.rtd", , "DESCRIPTION", ".QQQ201120C293")</f>
        <v>N/A</v>
      </c>
      <c r="C494" t="str">
        <f>RTD("tos.rtd", , "PUT_CALL_RATIO", ".QQQ201120C293")</f>
        <v>N/A</v>
      </c>
      <c r="D494" t="str">
        <f>RTD("tos.rtd", , "IMPL_VOL", ".QQQ201120C293")</f>
        <v>N/A</v>
      </c>
      <c r="E494">
        <f>RTD("tos.rtd", , "LAST", ".QQQ201120C293")</f>
        <v>2.67</v>
      </c>
      <c r="F494">
        <f>RTD("tos.rtd", , "VOLUME", ".QQQ201120C293")</f>
        <v>1827</v>
      </c>
      <c r="G494">
        <f>RTD("tos.rtd", , "OPEN_INT", ".QQQ201120C293")</f>
        <v>13049</v>
      </c>
      <c r="H494">
        <f>RTD("tos.rtd", , "BID", ".QQQ201120C293")</f>
        <v>2.58</v>
      </c>
      <c r="I494">
        <f>RTD("tos.rtd", , "ASK", ".QQQ201120C293")</f>
        <v>2.65</v>
      </c>
      <c r="J494">
        <f>RTD("tos.rtd", , "HIGH", ".QQQ201120C293")</f>
        <v>4.12</v>
      </c>
      <c r="K494">
        <f>RTD("tos.rtd", , "LOW", ".QQQ201120C293")</f>
        <v>2.16</v>
      </c>
      <c r="L494">
        <f>RTD("tos.rtd", , "OPEN", ".QQQ201120C293")</f>
        <v>3.65</v>
      </c>
      <c r="M494" t="str">
        <f>RTD("tos.rtd", , "DELTA", ".QQQ201120C293")</f>
        <v>N/A</v>
      </c>
      <c r="N494" t="str">
        <f>RTD("tos.rtd", , "GAMMA", ".QQQ201120C293")</f>
        <v>N/A</v>
      </c>
      <c r="O494" t="str">
        <f>RTD("tos.rtd", , "THETA", ".QQQ201120C293")</f>
        <v>N/A</v>
      </c>
      <c r="P494" t="str">
        <f>RTD("tos.rtd", , "VEGA", ".QQQ201120C293")</f>
        <v>N/A</v>
      </c>
      <c r="Q494" t="str">
        <f>RTD("tos.rtd", , "RHO", ".QQQ201120C293")</f>
        <v>N/A</v>
      </c>
      <c r="R494" t="str">
        <f>RTD("tos.rtd", , "INTRINSIC", ".QQQ201120C293")</f>
        <v>N/A</v>
      </c>
      <c r="S494" t="str">
        <f>RTD("tos.rtd", , "EXTRINSIC", ".QQQ201120C293")</f>
        <v>N/A</v>
      </c>
      <c r="T494" t="str">
        <f>RTD("tos.rtd", , "PROB_OF_EXPIRING", ".QQQ201120C293")</f>
        <v>N/A</v>
      </c>
      <c r="U494" t="str">
        <f>RTD("tos.rtd", , "PROB_OTM", ".QQQ201120C293")</f>
        <v>N/A</v>
      </c>
      <c r="V494" t="str">
        <f>RTD("tos.rtd", , "PROB_OF_TOUCHING", ".QQQ201120C293")</f>
        <v>N/A</v>
      </c>
      <c r="W494" t="str">
        <f>RTD("tos.rtd", , "STRIKE", ".QQQ201120C293")</f>
        <v>N/A</v>
      </c>
    </row>
    <row r="495" spans="1:23" x14ac:dyDescent="0.45">
      <c r="A495" t="s">
        <v>516</v>
      </c>
      <c r="B495" t="str">
        <f>RTD("tos.rtd", , "DESCRIPTION", ".QQQ201120P293")</f>
        <v>N/A</v>
      </c>
      <c r="C495" t="str">
        <f>RTD("tos.rtd", , "PUT_CALL_RATIO", ".QQQ201120P293")</f>
        <v>N/A</v>
      </c>
      <c r="D495" t="str">
        <f>RTD("tos.rtd", , "IMPL_VOL", ".QQQ201120P293")</f>
        <v>N/A</v>
      </c>
      <c r="E495">
        <f>RTD("tos.rtd", , "LAST", ".QQQ201120P293")</f>
        <v>6.6</v>
      </c>
      <c r="F495">
        <f>RTD("tos.rtd", , "VOLUME", ".QQQ201120P293")</f>
        <v>196</v>
      </c>
      <c r="G495">
        <f>RTD("tos.rtd", , "OPEN_INT", ".QQQ201120P293")</f>
        <v>2769</v>
      </c>
      <c r="H495">
        <f>RTD("tos.rtd", , "BID", ".QQQ201120P293")</f>
        <v>6.38</v>
      </c>
      <c r="I495">
        <f>RTD("tos.rtd", , "ASK", ".QQQ201120P293")</f>
        <v>6.61</v>
      </c>
      <c r="J495">
        <f>RTD("tos.rtd", , "HIGH", ".QQQ201120P293")</f>
        <v>8</v>
      </c>
      <c r="K495">
        <f>RTD("tos.rtd", , "LOW", ".QQQ201120P293")</f>
        <v>5.23</v>
      </c>
      <c r="L495">
        <f>RTD("tos.rtd", , "OPEN", ".QQQ201120P293")</f>
        <v>5.53</v>
      </c>
      <c r="M495" t="str">
        <f>RTD("tos.rtd", , "DELTA", ".QQQ201120P293")</f>
        <v>N/A</v>
      </c>
      <c r="N495" t="str">
        <f>RTD("tos.rtd", , "GAMMA", ".QQQ201120P293")</f>
        <v>N/A</v>
      </c>
      <c r="O495" t="str">
        <f>RTD("tos.rtd", , "THETA", ".QQQ201120P293")</f>
        <v>N/A</v>
      </c>
      <c r="P495" t="str">
        <f>RTD("tos.rtd", , "VEGA", ".QQQ201120P293")</f>
        <v>N/A</v>
      </c>
      <c r="Q495" t="str">
        <f>RTD("tos.rtd", , "RHO", ".QQQ201120P293")</f>
        <v>N/A</v>
      </c>
      <c r="R495" t="str">
        <f>RTD("tos.rtd", , "INTRINSIC", ".QQQ201120P293")</f>
        <v>N/A</v>
      </c>
      <c r="S495" t="str">
        <f>RTD("tos.rtd", , "EXTRINSIC", ".QQQ201120P293")</f>
        <v>N/A</v>
      </c>
      <c r="T495" t="str">
        <f>RTD("tos.rtd", , "PROB_OF_EXPIRING", ".QQQ201120P293")</f>
        <v>N/A</v>
      </c>
      <c r="U495" t="str">
        <f>RTD("tos.rtd", , "PROB_OTM", ".QQQ201120P293")</f>
        <v>N/A</v>
      </c>
      <c r="V495" t="str">
        <f>RTD("tos.rtd", , "PROB_OF_TOUCHING", ".QQQ201120P293")</f>
        <v>N/A</v>
      </c>
      <c r="W495" t="str">
        <f>RTD("tos.rtd", , "STRIKE", ".QQQ201120P293")</f>
        <v>N/A</v>
      </c>
    </row>
    <row r="496" spans="1:23" x14ac:dyDescent="0.45">
      <c r="A496" t="s">
        <v>517</v>
      </c>
      <c r="B496" t="str">
        <f>RTD("tos.rtd", , "DESCRIPTION", ".QQQ201120C294")</f>
        <v>N/A</v>
      </c>
      <c r="C496" t="str">
        <f>RTD("tos.rtd", , "PUT_CALL_RATIO", ".QQQ201120C294")</f>
        <v>N/A</v>
      </c>
      <c r="D496" t="str">
        <f>RTD("tos.rtd", , "IMPL_VOL", ".QQQ201120C294")</f>
        <v>N/A</v>
      </c>
      <c r="E496">
        <f>RTD("tos.rtd", , "LAST", ".QQQ201120C294")</f>
        <v>2.09</v>
      </c>
      <c r="F496">
        <f>RTD("tos.rtd", , "VOLUME", ".QQQ201120C294")</f>
        <v>3065</v>
      </c>
      <c r="G496">
        <f>RTD("tos.rtd", , "OPEN_INT", ".QQQ201120C294")</f>
        <v>7760</v>
      </c>
      <c r="H496">
        <f>RTD("tos.rtd", , "BID", ".QQQ201120C294")</f>
        <v>2.1800000000000002</v>
      </c>
      <c r="I496">
        <f>RTD("tos.rtd", , "ASK", ".QQQ201120C294")</f>
        <v>2.25</v>
      </c>
      <c r="J496">
        <f>RTD("tos.rtd", , "HIGH", ".QQQ201120C294")</f>
        <v>3.63</v>
      </c>
      <c r="K496">
        <f>RTD("tos.rtd", , "LOW", ".QQQ201120C294")</f>
        <v>1.83</v>
      </c>
      <c r="L496">
        <f>RTD("tos.rtd", , "OPEN", ".QQQ201120C294")</f>
        <v>3.1</v>
      </c>
      <c r="M496" t="str">
        <f>RTD("tos.rtd", , "DELTA", ".QQQ201120C294")</f>
        <v>N/A</v>
      </c>
      <c r="N496" t="str">
        <f>RTD("tos.rtd", , "GAMMA", ".QQQ201120C294")</f>
        <v>N/A</v>
      </c>
      <c r="O496" t="str">
        <f>RTD("tos.rtd", , "THETA", ".QQQ201120C294")</f>
        <v>N/A</v>
      </c>
      <c r="P496" t="str">
        <f>RTD("tos.rtd", , "VEGA", ".QQQ201120C294")</f>
        <v>N/A</v>
      </c>
      <c r="Q496" t="str">
        <f>RTD("tos.rtd", , "RHO", ".QQQ201120C294")</f>
        <v>N/A</v>
      </c>
      <c r="R496" t="str">
        <f>RTD("tos.rtd", , "INTRINSIC", ".QQQ201120C294")</f>
        <v>N/A</v>
      </c>
      <c r="S496" t="str">
        <f>RTD("tos.rtd", , "EXTRINSIC", ".QQQ201120C294")</f>
        <v>N/A</v>
      </c>
      <c r="T496" t="str">
        <f>RTD("tos.rtd", , "PROB_OF_EXPIRING", ".QQQ201120C294")</f>
        <v>N/A</v>
      </c>
      <c r="U496" t="str">
        <f>RTD("tos.rtd", , "PROB_OTM", ".QQQ201120C294")</f>
        <v>N/A</v>
      </c>
      <c r="V496" t="str">
        <f>RTD("tos.rtd", , "PROB_OF_TOUCHING", ".QQQ201120C294")</f>
        <v>N/A</v>
      </c>
      <c r="W496" t="str">
        <f>RTD("tos.rtd", , "STRIKE", ".QQQ201120C294")</f>
        <v>N/A</v>
      </c>
    </row>
    <row r="497" spans="1:23" x14ac:dyDescent="0.45">
      <c r="A497" t="s">
        <v>518</v>
      </c>
      <c r="B497" t="str">
        <f>RTD("tos.rtd", , "DESCRIPTION", ".QQQ201120P294")</f>
        <v>N/A</v>
      </c>
      <c r="C497" t="str">
        <f>RTD("tos.rtd", , "PUT_CALL_RATIO", ".QQQ201120P294")</f>
        <v>N/A</v>
      </c>
      <c r="D497" t="str">
        <f>RTD("tos.rtd", , "IMPL_VOL", ".QQQ201120P294")</f>
        <v>N/A</v>
      </c>
      <c r="E497">
        <f>RTD("tos.rtd", , "LAST", ".QQQ201120P294")</f>
        <v>7.75</v>
      </c>
      <c r="F497">
        <f>RTD("tos.rtd", , "VOLUME", ".QQQ201120P294")</f>
        <v>565</v>
      </c>
      <c r="G497">
        <f>RTD("tos.rtd", , "OPEN_INT", ".QQQ201120P294")</f>
        <v>2816</v>
      </c>
      <c r="H497">
        <f>RTD("tos.rtd", , "BID", ".QQQ201120P294")</f>
        <v>6.97</v>
      </c>
      <c r="I497">
        <f>RTD("tos.rtd", , "ASK", ".QQQ201120P294")</f>
        <v>7.21</v>
      </c>
      <c r="J497">
        <f>RTD("tos.rtd", , "HIGH", ".QQQ201120P294")</f>
        <v>8.4499999999999993</v>
      </c>
      <c r="K497">
        <f>RTD("tos.rtd", , "LOW", ".QQQ201120P294")</f>
        <v>5.6</v>
      </c>
      <c r="L497">
        <f>RTD("tos.rtd", , "OPEN", ".QQQ201120P294")</f>
        <v>6.79</v>
      </c>
      <c r="M497" t="str">
        <f>RTD("tos.rtd", , "DELTA", ".QQQ201120P294")</f>
        <v>N/A</v>
      </c>
      <c r="N497" t="str">
        <f>RTD("tos.rtd", , "GAMMA", ".QQQ201120P294")</f>
        <v>N/A</v>
      </c>
      <c r="O497" t="str">
        <f>RTD("tos.rtd", , "THETA", ".QQQ201120P294")</f>
        <v>N/A</v>
      </c>
      <c r="P497" t="str">
        <f>RTD("tos.rtd", , "VEGA", ".QQQ201120P294")</f>
        <v>N/A</v>
      </c>
      <c r="Q497" t="str">
        <f>RTD("tos.rtd", , "RHO", ".QQQ201120P294")</f>
        <v>N/A</v>
      </c>
      <c r="R497" t="str">
        <f>RTD("tos.rtd", , "INTRINSIC", ".QQQ201120P294")</f>
        <v>N/A</v>
      </c>
      <c r="S497" t="str">
        <f>RTD("tos.rtd", , "EXTRINSIC", ".QQQ201120P294")</f>
        <v>N/A</v>
      </c>
      <c r="T497" t="str">
        <f>RTD("tos.rtd", , "PROB_OF_EXPIRING", ".QQQ201120P294")</f>
        <v>N/A</v>
      </c>
      <c r="U497" t="str">
        <f>RTD("tos.rtd", , "PROB_OTM", ".QQQ201120P294")</f>
        <v>N/A</v>
      </c>
      <c r="V497" t="str">
        <f>RTD("tos.rtd", , "PROB_OF_TOUCHING", ".QQQ201120P294")</f>
        <v>N/A</v>
      </c>
      <c r="W497" t="str">
        <f>RTD("tos.rtd", , "STRIKE", ".QQQ201120P294")</f>
        <v>N/A</v>
      </c>
    </row>
    <row r="498" spans="1:23" x14ac:dyDescent="0.45">
      <c r="A498" t="s">
        <v>519</v>
      </c>
      <c r="B498" t="str">
        <f>RTD("tos.rtd", , "DESCRIPTION", "QUAL")</f>
        <v>N/A</v>
      </c>
      <c r="C498">
        <f>RTD("tos.rtd", , "PUT_CALL_RATIO", "QUAL")</f>
        <v>2.5</v>
      </c>
      <c r="D498" t="str">
        <f>RTD("tos.rtd", , "IMPL_VOL", "QUAL")</f>
        <v>40.93%</v>
      </c>
      <c r="E498">
        <f>RTD("tos.rtd", , "LAST", "QUAL")</f>
        <v>109.8</v>
      </c>
      <c r="F498">
        <f>RTD("tos.rtd", , "VOLUME", "QUAL")</f>
        <v>3356715</v>
      </c>
      <c r="G498">
        <f>RTD("tos.rtd", , "OPEN_INT", "QUAL")</f>
        <v>0</v>
      </c>
      <c r="H498">
        <f>RTD("tos.rtd", , "BID", "QUAL")</f>
        <v>94.55</v>
      </c>
      <c r="I498">
        <f>RTD("tos.rtd", , "ASK", "QUAL")</f>
        <v>116.57</v>
      </c>
      <c r="J498">
        <f>RTD("tos.rtd", , "HIGH", "QUAL")</f>
        <v>110.82</v>
      </c>
      <c r="K498">
        <f>RTD("tos.rtd", , "LOW", "QUAL")</f>
        <v>109.2405</v>
      </c>
      <c r="L498">
        <f>RTD("tos.rtd", , "OPEN", "QUAL")</f>
        <v>110.58</v>
      </c>
      <c r="M498">
        <f>RTD("tos.rtd", , "DELTA", "QUAL")</f>
        <v>1</v>
      </c>
      <c r="N498">
        <f>RTD("tos.rtd", , "GAMMA", "QUAL")</f>
        <v>0</v>
      </c>
      <c r="O498">
        <f>RTD("tos.rtd", , "THETA", "QUAL")</f>
        <v>0</v>
      </c>
      <c r="P498">
        <f>RTD("tos.rtd", , "VEGA", "QUAL")</f>
        <v>0</v>
      </c>
      <c r="Q498">
        <f>RTD("tos.rtd", , "RHO", "QUAL")</f>
        <v>0</v>
      </c>
      <c r="R498" t="str">
        <f>RTD("tos.rtd", , "INTRINSIC", "QUAL")</f>
        <v>N/A</v>
      </c>
      <c r="S498" t="str">
        <f>RTD("tos.rtd", , "EXTRINSIC", "QUAL")</f>
        <v>N/A</v>
      </c>
      <c r="T498" t="str">
        <f>RTD("tos.rtd", , "PROB_OF_EXPIRING", "QUAL")</f>
        <v>N/A</v>
      </c>
      <c r="U498" t="str">
        <f>RTD("tos.rtd", , "PROB_OTM", "QUAL")</f>
        <v>N/A</v>
      </c>
      <c r="V498" t="str">
        <f>RTD("tos.rtd", , "PROB_OF_TOUCHING", "QUAL")</f>
        <v>N/A</v>
      </c>
      <c r="W498" t="str">
        <f>RTD("tos.rtd", , "STRIKE", "QUAL")</f>
        <v>N/A</v>
      </c>
    </row>
    <row r="499" spans="1:23" x14ac:dyDescent="0.45">
      <c r="A499" t="s">
        <v>520</v>
      </c>
      <c r="B499" t="str">
        <f>RTD("tos.rtd", , "DESCRIPTION", ".QUAL201120C110")</f>
        <v>N/A</v>
      </c>
      <c r="C499" t="str">
        <f>RTD("tos.rtd", , "PUT_CALL_RATIO", ".QUAL201120C110")</f>
        <v>N/A</v>
      </c>
      <c r="D499" t="str">
        <f>RTD("tos.rtd", , "IMPL_VOL", ".QUAL201120C110")</f>
        <v>N/A</v>
      </c>
      <c r="E499" t="str">
        <f>RTD("tos.rtd", , "LAST", ".QUAL201120C110")</f>
        <v>N/A</v>
      </c>
      <c r="F499" t="str">
        <f>RTD("tos.rtd", , "VOLUME", ".QUAL201120C110")</f>
        <v>N/A</v>
      </c>
      <c r="G499" t="str">
        <f>RTD("tos.rtd", , "OPEN_INT", ".QUAL201120C110")</f>
        <v>N/A</v>
      </c>
      <c r="H499" t="str">
        <f>RTD("tos.rtd", , "BID", ".QUAL201120C110")</f>
        <v>N/A</v>
      </c>
      <c r="I499" t="str">
        <f>RTD("tos.rtd", , "ASK", ".QUAL201120C110")</f>
        <v>N/A</v>
      </c>
      <c r="J499" t="str">
        <f>RTD("tos.rtd", , "HIGH", ".QUAL201120C110")</f>
        <v>N/A</v>
      </c>
      <c r="K499" t="str">
        <f>RTD("tos.rtd", , "LOW", ".QUAL201120C110")</f>
        <v>N/A</v>
      </c>
      <c r="L499" t="str">
        <f>RTD("tos.rtd", , "OPEN", ".QUAL201120C110")</f>
        <v>N/A</v>
      </c>
      <c r="M499" t="str">
        <f>RTD("tos.rtd", , "DELTA", ".QUAL201120C110")</f>
        <v>N/A</v>
      </c>
      <c r="N499" t="str">
        <f>RTD("tos.rtd", , "GAMMA", ".QUAL201120C110")</f>
        <v>N/A</v>
      </c>
      <c r="O499" t="str">
        <f>RTD("tos.rtd", , "THETA", ".QUAL201120C110")</f>
        <v>N/A</v>
      </c>
      <c r="P499" t="str">
        <f>RTD("tos.rtd", , "VEGA", ".QUAL201120C110")</f>
        <v>N/A</v>
      </c>
      <c r="Q499" t="str">
        <f>RTD("tos.rtd", , "RHO", ".QUAL201120C110")</f>
        <v>N/A</v>
      </c>
      <c r="R499" t="str">
        <f>RTD("tos.rtd", , "INTRINSIC", ".QUAL201120C110")</f>
        <v>N/A</v>
      </c>
      <c r="S499" t="str">
        <f>RTD("tos.rtd", , "EXTRINSIC", ".QUAL201120C110")</f>
        <v>N/A</v>
      </c>
      <c r="T499" t="str">
        <f>RTD("tos.rtd", , "PROB_OF_EXPIRING", ".QUAL201120C110")</f>
        <v>N/A</v>
      </c>
      <c r="U499" t="str">
        <f>RTD("tos.rtd", , "PROB_OTM", ".QUAL201120C110")</f>
        <v>N/A</v>
      </c>
      <c r="V499" t="str">
        <f>RTD("tos.rtd", , "PROB_OF_TOUCHING", ".QUAL201120C110")</f>
        <v>N/A</v>
      </c>
      <c r="W499" t="str">
        <f>RTD("tos.rtd", , "STRIKE", ".QUAL201120C110")</f>
        <v>N/A</v>
      </c>
    </row>
    <row r="500" spans="1:23" x14ac:dyDescent="0.45">
      <c r="A500" t="s">
        <v>521</v>
      </c>
      <c r="B500" t="str">
        <f>RTD("tos.rtd", , "DESCRIPTION", ".QUAL201120P110")</f>
        <v>N/A</v>
      </c>
      <c r="C500" t="str">
        <f>RTD("tos.rtd", , "PUT_CALL_RATIO", ".QUAL201120P110")</f>
        <v>N/A</v>
      </c>
      <c r="D500" t="str">
        <f>RTD("tos.rtd", , "IMPL_VOL", ".QUAL201120P110")</f>
        <v>N/A</v>
      </c>
      <c r="E500">
        <f>RTD("tos.rtd", , "LAST", ".QUAL201120P110")</f>
        <v>0</v>
      </c>
      <c r="F500">
        <f>RTD("tos.rtd", , "VOLUME", ".QUAL201120P110")</f>
        <v>0</v>
      </c>
      <c r="G500">
        <f>RTD("tos.rtd", , "OPEN_INT", ".QUAL201120P110")</f>
        <v>0</v>
      </c>
      <c r="H500">
        <f>RTD("tos.rtd", , "BID", ".QUAL201120P110")</f>
        <v>0.15</v>
      </c>
      <c r="I500">
        <f>RTD("tos.rtd", , "ASK", ".QUAL201120P110")</f>
        <v>2.5</v>
      </c>
      <c r="J500">
        <f>RTD("tos.rtd", , "HIGH", ".QUAL201120P110")</f>
        <v>0</v>
      </c>
      <c r="K500">
        <f>RTD("tos.rtd", , "LOW", ".QUAL201120P110")</f>
        <v>0</v>
      </c>
      <c r="L500">
        <f>RTD("tos.rtd", , "OPEN", ".QUAL201120P110")</f>
        <v>0</v>
      </c>
      <c r="M500" t="str">
        <f>RTD("tos.rtd", , "DELTA", ".QUAL201120P110")</f>
        <v>N/A</v>
      </c>
      <c r="N500" t="str">
        <f>RTD("tos.rtd", , "GAMMA", ".QUAL201120P110")</f>
        <v>N/A</v>
      </c>
      <c r="O500" t="str">
        <f>RTD("tos.rtd", , "THETA", ".QUAL201120P110")</f>
        <v>N/A</v>
      </c>
      <c r="P500" t="str">
        <f>RTD("tos.rtd", , "VEGA", ".QUAL201120P110")</f>
        <v>N/A</v>
      </c>
      <c r="Q500" t="str">
        <f>RTD("tos.rtd", , "RHO", ".QUAL201120P110")</f>
        <v>N/A</v>
      </c>
      <c r="R500" t="str">
        <f>RTD("tos.rtd", , "INTRINSIC", ".QUAL201120P110")</f>
        <v>N/A</v>
      </c>
      <c r="S500" t="str">
        <f>RTD("tos.rtd", , "EXTRINSIC", ".QUAL201120P110")</f>
        <v>N/A</v>
      </c>
      <c r="T500" t="str">
        <f>RTD("tos.rtd", , "PROB_OF_EXPIRING", ".QUAL201120P110")</f>
        <v>N/A</v>
      </c>
      <c r="U500" t="str">
        <f>RTD("tos.rtd", , "PROB_OTM", ".QUAL201120P110")</f>
        <v>N/A</v>
      </c>
      <c r="V500" t="str">
        <f>RTD("tos.rtd", , "PROB_OF_TOUCHING", ".QUAL201120P110")</f>
        <v>N/A</v>
      </c>
      <c r="W500" t="str">
        <f>RTD("tos.rtd", , "STRIKE", ".QUAL201120P110")</f>
        <v>N/A</v>
      </c>
    </row>
    <row r="501" spans="1:23" x14ac:dyDescent="0.45">
      <c r="A501" t="s">
        <v>522</v>
      </c>
      <c r="B501" t="str">
        <f>RTD("tos.rtd", , "DESCRIPTION", ".QUAL201120C111")</f>
        <v>N/A</v>
      </c>
      <c r="C501" t="str">
        <f>RTD("tos.rtd", , "PUT_CALL_RATIO", ".QUAL201120C111")</f>
        <v>N/A</v>
      </c>
      <c r="D501" t="str">
        <f>RTD("tos.rtd", , "IMPL_VOL", ".QUAL201120C111")</f>
        <v>N/A</v>
      </c>
      <c r="E501">
        <f>RTD("tos.rtd", , "LAST", ".QUAL201120C111")</f>
        <v>3.04</v>
      </c>
      <c r="F501">
        <f>RTD("tos.rtd", , "VOLUME", ".QUAL201120C111")</f>
        <v>0</v>
      </c>
      <c r="G501">
        <f>RTD("tos.rtd", , "OPEN_INT", ".QUAL201120C111")</f>
        <v>1</v>
      </c>
      <c r="H501">
        <f>RTD("tos.rtd", , "BID", ".QUAL201120C111")</f>
        <v>0.2</v>
      </c>
      <c r="I501">
        <f>RTD("tos.rtd", , "ASK", ".QUAL201120C111")</f>
        <v>4.9000000000000004</v>
      </c>
      <c r="J501">
        <f>RTD("tos.rtd", , "HIGH", ".QUAL201120C111")</f>
        <v>0</v>
      </c>
      <c r="K501">
        <f>RTD("tos.rtd", , "LOW", ".QUAL201120C111")</f>
        <v>0</v>
      </c>
      <c r="L501">
        <f>RTD("tos.rtd", , "OPEN", ".QUAL201120C111")</f>
        <v>0</v>
      </c>
      <c r="M501" t="str">
        <f>RTD("tos.rtd", , "DELTA", ".QUAL201120C111")</f>
        <v>N/A</v>
      </c>
      <c r="N501" t="str">
        <f>RTD("tos.rtd", , "GAMMA", ".QUAL201120C111")</f>
        <v>N/A</v>
      </c>
      <c r="O501" t="str">
        <f>RTD("tos.rtd", , "THETA", ".QUAL201120C111")</f>
        <v>N/A</v>
      </c>
      <c r="P501" t="str">
        <f>RTD("tos.rtd", , "VEGA", ".QUAL201120C111")</f>
        <v>N/A</v>
      </c>
      <c r="Q501" t="str">
        <f>RTD("tos.rtd", , "RHO", ".QUAL201120C111")</f>
        <v>N/A</v>
      </c>
      <c r="R501" t="str">
        <f>RTD("tos.rtd", , "INTRINSIC", ".QUAL201120C111")</f>
        <v>N/A</v>
      </c>
      <c r="S501" t="str">
        <f>RTD("tos.rtd", , "EXTRINSIC", ".QUAL201120C111")</f>
        <v>N/A</v>
      </c>
      <c r="T501" t="str">
        <f>RTD("tos.rtd", , "PROB_OF_EXPIRING", ".QUAL201120C111")</f>
        <v>N/A</v>
      </c>
      <c r="U501" t="str">
        <f>RTD("tos.rtd", , "PROB_OTM", ".QUAL201120C111")</f>
        <v>N/A</v>
      </c>
      <c r="V501" t="str">
        <f>RTD("tos.rtd", , "PROB_OF_TOUCHING", ".QUAL201120C111")</f>
        <v>N/A</v>
      </c>
      <c r="W501" t="str">
        <f>RTD("tos.rtd", , "STRIKE", ".QUAL201120C111")</f>
        <v>N/A</v>
      </c>
    </row>
    <row r="502" spans="1:23" x14ac:dyDescent="0.45">
      <c r="A502" t="s">
        <v>523</v>
      </c>
      <c r="B502" t="str">
        <f>RTD("tos.rtd", , "DESCRIPTION", ".QUAL201120P111")</f>
        <v>N/A</v>
      </c>
      <c r="C502" t="str">
        <f>RTD("tos.rtd", , "PUT_CALL_RATIO", ".QUAL201120P111")</f>
        <v>N/A</v>
      </c>
      <c r="D502" t="str">
        <f>RTD("tos.rtd", , "IMPL_VOL", ".QUAL201120P111")</f>
        <v>N/A</v>
      </c>
      <c r="E502">
        <f>RTD("tos.rtd", , "LAST", ".QUAL201120P111")</f>
        <v>0</v>
      </c>
      <c r="F502">
        <f>RTD("tos.rtd", , "VOLUME", ".QUAL201120P111")</f>
        <v>0</v>
      </c>
      <c r="G502">
        <f>RTD("tos.rtd", , "OPEN_INT", ".QUAL201120P111")</f>
        <v>0</v>
      </c>
      <c r="H502">
        <f>RTD("tos.rtd", , "BID", ".QUAL201120P111")</f>
        <v>0</v>
      </c>
      <c r="I502">
        <f>RTD("tos.rtd", , "ASK", ".QUAL201120P111")</f>
        <v>4.9000000000000004</v>
      </c>
      <c r="J502">
        <f>RTD("tos.rtd", , "HIGH", ".QUAL201120P111")</f>
        <v>0</v>
      </c>
      <c r="K502">
        <f>RTD("tos.rtd", , "LOW", ".QUAL201120P111")</f>
        <v>0</v>
      </c>
      <c r="L502">
        <f>RTD("tos.rtd", , "OPEN", ".QUAL201120P111")</f>
        <v>0</v>
      </c>
      <c r="M502" t="str">
        <f>RTD("tos.rtd", , "DELTA", ".QUAL201120P111")</f>
        <v>N/A</v>
      </c>
      <c r="N502" t="str">
        <f>RTD("tos.rtd", , "GAMMA", ".QUAL201120P111")</f>
        <v>N/A</v>
      </c>
      <c r="O502" t="str">
        <f>RTD("tos.rtd", , "THETA", ".QUAL201120P111")</f>
        <v>N/A</v>
      </c>
      <c r="P502" t="str">
        <f>RTD("tos.rtd", , "VEGA", ".QUAL201120P111")</f>
        <v>N/A</v>
      </c>
      <c r="Q502" t="str">
        <f>RTD("tos.rtd", , "RHO", ".QUAL201120P111")</f>
        <v>N/A</v>
      </c>
      <c r="R502" t="str">
        <f>RTD("tos.rtd", , "INTRINSIC", ".QUAL201120P111")</f>
        <v>N/A</v>
      </c>
      <c r="S502" t="str">
        <f>RTD("tos.rtd", , "EXTRINSIC", ".QUAL201120P111")</f>
        <v>N/A</v>
      </c>
      <c r="T502" t="str">
        <f>RTD("tos.rtd", , "PROB_OF_EXPIRING", ".QUAL201120P111")</f>
        <v>N/A</v>
      </c>
      <c r="U502" t="str">
        <f>RTD("tos.rtd", , "PROB_OTM", ".QUAL201120P111")</f>
        <v>N/A</v>
      </c>
      <c r="V502" t="str">
        <f>RTD("tos.rtd", , "PROB_OF_TOUCHING", ".QUAL201120P111")</f>
        <v>N/A</v>
      </c>
      <c r="W502" t="str">
        <f>RTD("tos.rtd", , "STRIKE", ".QUAL201120P111")</f>
        <v>N/A</v>
      </c>
    </row>
    <row r="503" spans="1:23" x14ac:dyDescent="0.45">
      <c r="A503" t="s">
        <v>524</v>
      </c>
      <c r="B503" t="str">
        <f>RTD("tos.rtd", , "DESCRIPTION", ".QUAL201120C112")</f>
        <v>N/A</v>
      </c>
      <c r="C503" t="str">
        <f>RTD("tos.rtd", , "PUT_CALL_RATIO", ".QUAL201120C112")</f>
        <v>N/A</v>
      </c>
      <c r="D503" t="str">
        <f>RTD("tos.rtd", , "IMPL_VOL", ".QUAL201120C112")</f>
        <v>N/A</v>
      </c>
      <c r="E503" t="str">
        <f>RTD("tos.rtd", , "LAST", ".QUAL201120C112")</f>
        <v>N/A</v>
      </c>
      <c r="F503" t="str">
        <f>RTD("tos.rtd", , "VOLUME", ".QUAL201120C112")</f>
        <v>N/A</v>
      </c>
      <c r="G503" t="str">
        <f>RTD("tos.rtd", , "OPEN_INT", ".QUAL201120C112")</f>
        <v>N/A</v>
      </c>
      <c r="H503" t="str">
        <f>RTD("tos.rtd", , "BID", ".QUAL201120C112")</f>
        <v>N/A</v>
      </c>
      <c r="I503" t="str">
        <f>RTD("tos.rtd", , "ASK", ".QUAL201120C112")</f>
        <v>N/A</v>
      </c>
      <c r="J503" t="str">
        <f>RTD("tos.rtd", , "HIGH", ".QUAL201120C112")</f>
        <v>N/A</v>
      </c>
      <c r="K503" t="str">
        <f>RTD("tos.rtd", , "LOW", ".QUAL201120C112")</f>
        <v>N/A</v>
      </c>
      <c r="L503" t="str">
        <f>RTD("tos.rtd", , "OPEN", ".QUAL201120C112")</f>
        <v>N/A</v>
      </c>
      <c r="M503" t="str">
        <f>RTD("tos.rtd", , "DELTA", ".QUAL201120C112")</f>
        <v>N/A</v>
      </c>
      <c r="N503" t="str">
        <f>RTD("tos.rtd", , "GAMMA", ".QUAL201120C112")</f>
        <v>N/A</v>
      </c>
      <c r="O503" t="str">
        <f>RTD("tos.rtd", , "THETA", ".QUAL201120C112")</f>
        <v>N/A</v>
      </c>
      <c r="P503" t="str">
        <f>RTD("tos.rtd", , "VEGA", ".QUAL201120C112")</f>
        <v>N/A</v>
      </c>
      <c r="Q503" t="str">
        <f>RTD("tos.rtd", , "RHO", ".QUAL201120C112")</f>
        <v>N/A</v>
      </c>
      <c r="R503" t="str">
        <f>RTD("tos.rtd", , "INTRINSIC", ".QUAL201120C112")</f>
        <v>N/A</v>
      </c>
      <c r="S503" t="str">
        <f>RTD("tos.rtd", , "EXTRINSIC", ".QUAL201120C112")</f>
        <v>N/A</v>
      </c>
      <c r="T503" t="str">
        <f>RTD("tos.rtd", , "PROB_OF_EXPIRING", ".QUAL201120C112")</f>
        <v>N/A</v>
      </c>
      <c r="U503" t="str">
        <f>RTD("tos.rtd", , "PROB_OTM", ".QUAL201120C112")</f>
        <v>N/A</v>
      </c>
      <c r="V503" t="str">
        <f>RTD("tos.rtd", , "PROB_OF_TOUCHING", ".QUAL201120C112")</f>
        <v>N/A</v>
      </c>
      <c r="W503" t="str">
        <f>RTD("tos.rtd", , "STRIKE", ".QUAL201120C112")</f>
        <v>N/A</v>
      </c>
    </row>
    <row r="504" spans="1:23" x14ac:dyDescent="0.45">
      <c r="A504" t="s">
        <v>525</v>
      </c>
      <c r="B504" t="str">
        <f>RTD("tos.rtd", , "DESCRIPTION", ".QUAL201120P112")</f>
        <v>N/A</v>
      </c>
      <c r="C504" t="str">
        <f>RTD("tos.rtd", , "PUT_CALL_RATIO", ".QUAL201120P112")</f>
        <v>N/A</v>
      </c>
      <c r="D504" t="str">
        <f>RTD("tos.rtd", , "IMPL_VOL", ".QUAL201120P112")</f>
        <v>N/A</v>
      </c>
      <c r="E504" t="str">
        <f>RTD("tos.rtd", , "LAST", ".QUAL201120P112")</f>
        <v>N/A</v>
      </c>
      <c r="F504" t="str">
        <f>RTD("tos.rtd", , "VOLUME", ".QUAL201120P112")</f>
        <v>N/A</v>
      </c>
      <c r="G504" t="str">
        <f>RTD("tos.rtd", , "OPEN_INT", ".QUAL201120P112")</f>
        <v>N/A</v>
      </c>
      <c r="H504" t="str">
        <f>RTD("tos.rtd", , "BID", ".QUAL201120P112")</f>
        <v>N/A</v>
      </c>
      <c r="I504" t="str">
        <f>RTD("tos.rtd", , "ASK", ".QUAL201120P112")</f>
        <v>N/A</v>
      </c>
      <c r="J504" t="str">
        <f>RTD("tos.rtd", , "HIGH", ".QUAL201120P112")</f>
        <v>N/A</v>
      </c>
      <c r="K504" t="str">
        <f>RTD("tos.rtd", , "LOW", ".QUAL201120P112")</f>
        <v>N/A</v>
      </c>
      <c r="L504" t="str">
        <f>RTD("tos.rtd", , "OPEN", ".QUAL201120P112")</f>
        <v>N/A</v>
      </c>
      <c r="M504" t="str">
        <f>RTD("tos.rtd", , "DELTA", ".QUAL201120P112")</f>
        <v>N/A</v>
      </c>
      <c r="N504" t="str">
        <f>RTD("tos.rtd", , "GAMMA", ".QUAL201120P112")</f>
        <v>N/A</v>
      </c>
      <c r="O504" t="str">
        <f>RTD("tos.rtd", , "THETA", ".QUAL201120P112")</f>
        <v>N/A</v>
      </c>
      <c r="P504" t="str">
        <f>RTD("tos.rtd", , "VEGA", ".QUAL201120P112")</f>
        <v>N/A</v>
      </c>
      <c r="Q504" t="str">
        <f>RTD("tos.rtd", , "RHO", ".QUAL201120P112")</f>
        <v>N/A</v>
      </c>
      <c r="R504" t="str">
        <f>RTD("tos.rtd", , "INTRINSIC", ".QUAL201120P112")</f>
        <v>N/A</v>
      </c>
      <c r="S504" t="str">
        <f>RTD("tos.rtd", , "EXTRINSIC", ".QUAL201120P112")</f>
        <v>N/A</v>
      </c>
      <c r="T504" t="str">
        <f>RTD("tos.rtd", , "PROB_OF_EXPIRING", ".QUAL201120P112")</f>
        <v>N/A</v>
      </c>
      <c r="U504" t="str">
        <f>RTD("tos.rtd", , "PROB_OTM", ".QUAL201120P112")</f>
        <v>N/A</v>
      </c>
      <c r="V504" t="str">
        <f>RTD("tos.rtd", , "PROB_OF_TOUCHING", ".QUAL201120P112")</f>
        <v>N/A</v>
      </c>
      <c r="W504" t="str">
        <f>RTD("tos.rtd", , "STRIKE", ".QUAL201120P112")</f>
        <v>N/A</v>
      </c>
    </row>
    <row r="505" spans="1:23" x14ac:dyDescent="0.45">
      <c r="A505" t="s">
        <v>526</v>
      </c>
      <c r="B505" t="str">
        <f>RTD("tos.rtd", , "DESCRIPTION", "RSP")</f>
        <v>N/A</v>
      </c>
      <c r="C505">
        <f>RTD("tos.rtd", , "PUT_CALL_RATIO", "RSP")</f>
        <v>1.2949999999999999</v>
      </c>
      <c r="D505" t="str">
        <f>RTD("tos.rtd", , "IMPL_VOL", "RSP")</f>
        <v>23.46%</v>
      </c>
      <c r="E505">
        <f>RTD("tos.rtd", , "LAST", "RSP")</f>
        <v>117.46</v>
      </c>
      <c r="F505">
        <f>RTD("tos.rtd", , "VOLUME", "RSP")</f>
        <v>2249943</v>
      </c>
      <c r="G505">
        <f>RTD("tos.rtd", , "OPEN_INT", "RSP")</f>
        <v>0</v>
      </c>
      <c r="H505">
        <f>RTD("tos.rtd", , "BID", "RSP")</f>
        <v>117.01</v>
      </c>
      <c r="I505">
        <f>RTD("tos.rtd", , "ASK", "RSP")</f>
        <v>119.48</v>
      </c>
      <c r="J505">
        <f>RTD("tos.rtd", , "HIGH", "RSP")</f>
        <v>118.855</v>
      </c>
      <c r="K505">
        <f>RTD("tos.rtd", , "LOW", "RSP")</f>
        <v>116.5</v>
      </c>
      <c r="L505">
        <f>RTD("tos.rtd", , "OPEN", "RSP")</f>
        <v>118.56</v>
      </c>
      <c r="M505">
        <f>RTD("tos.rtd", , "DELTA", "RSP")</f>
        <v>1</v>
      </c>
      <c r="N505">
        <f>RTD("tos.rtd", , "GAMMA", "RSP")</f>
        <v>0</v>
      </c>
      <c r="O505">
        <f>RTD("tos.rtd", , "THETA", "RSP")</f>
        <v>0</v>
      </c>
      <c r="P505">
        <f>RTD("tos.rtd", , "VEGA", "RSP")</f>
        <v>0</v>
      </c>
      <c r="Q505">
        <f>RTD("tos.rtd", , "RHO", "RSP")</f>
        <v>0</v>
      </c>
      <c r="R505" t="str">
        <f>RTD("tos.rtd", , "INTRINSIC", "RSP")</f>
        <v>N/A</v>
      </c>
      <c r="S505" t="str">
        <f>RTD("tos.rtd", , "EXTRINSIC", "RSP")</f>
        <v>N/A</v>
      </c>
      <c r="T505" t="str">
        <f>RTD("tos.rtd", , "PROB_OF_EXPIRING", "RSP")</f>
        <v>N/A</v>
      </c>
      <c r="U505" t="str">
        <f>RTD("tos.rtd", , "PROB_OTM", "RSP")</f>
        <v>N/A</v>
      </c>
      <c r="V505" t="str">
        <f>RTD("tos.rtd", , "PROB_OF_TOUCHING", "RSP")</f>
        <v>N/A</v>
      </c>
      <c r="W505" t="str">
        <f>RTD("tos.rtd", , "STRIKE", "RSP")</f>
        <v>N/A</v>
      </c>
    </row>
    <row r="506" spans="1:23" x14ac:dyDescent="0.45">
      <c r="A506" t="s">
        <v>527</v>
      </c>
      <c r="B506" t="str">
        <f>RTD("tos.rtd", , "DESCRIPTION", ".RSP201120C118")</f>
        <v>N/A</v>
      </c>
      <c r="C506" t="str">
        <f>RTD("tos.rtd", , "PUT_CALL_RATIO", ".RSP201120C118")</f>
        <v>N/A</v>
      </c>
      <c r="D506" t="str">
        <f>RTD("tos.rtd", , "IMPL_VOL", ".RSP201120C118")</f>
        <v>N/A</v>
      </c>
      <c r="E506" t="str">
        <f>RTD("tos.rtd", , "LAST", ".RSP201120C118")</f>
        <v>N/A</v>
      </c>
      <c r="F506" t="str">
        <f>RTD("tos.rtd", , "VOLUME", ".RSP201120C118")</f>
        <v>N/A</v>
      </c>
      <c r="G506" t="str">
        <f>RTD("tos.rtd", , "OPEN_INT", ".RSP201120C118")</f>
        <v>N/A</v>
      </c>
      <c r="H506" t="str">
        <f>RTD("tos.rtd", , "BID", ".RSP201120C118")</f>
        <v>N/A</v>
      </c>
      <c r="I506" t="str">
        <f>RTD("tos.rtd", , "ASK", ".RSP201120C118")</f>
        <v>N/A</v>
      </c>
      <c r="J506" t="str">
        <f>RTD("tos.rtd", , "HIGH", ".RSP201120C118")</f>
        <v>N/A</v>
      </c>
      <c r="K506" t="str">
        <f>RTD("tos.rtd", , "LOW", ".RSP201120C118")</f>
        <v>N/A</v>
      </c>
      <c r="L506" t="str">
        <f>RTD("tos.rtd", , "OPEN", ".RSP201120C118")</f>
        <v>N/A</v>
      </c>
      <c r="M506" t="str">
        <f>RTD("tos.rtd", , "DELTA", ".RSP201120C118")</f>
        <v>N/A</v>
      </c>
      <c r="N506" t="str">
        <f>RTD("tos.rtd", , "GAMMA", ".RSP201120C118")</f>
        <v>N/A</v>
      </c>
      <c r="O506" t="str">
        <f>RTD("tos.rtd", , "THETA", ".RSP201120C118")</f>
        <v>N/A</v>
      </c>
      <c r="P506" t="str">
        <f>RTD("tos.rtd", , "VEGA", ".RSP201120C118")</f>
        <v>N/A</v>
      </c>
      <c r="Q506" t="str">
        <f>RTD("tos.rtd", , "RHO", ".RSP201120C118")</f>
        <v>N/A</v>
      </c>
      <c r="R506" t="str">
        <f>RTD("tos.rtd", , "INTRINSIC", ".RSP201120C118")</f>
        <v>N/A</v>
      </c>
      <c r="S506" t="str">
        <f>RTD("tos.rtd", , "EXTRINSIC", ".RSP201120C118")</f>
        <v>N/A</v>
      </c>
      <c r="T506" t="str">
        <f>RTD("tos.rtd", , "PROB_OF_EXPIRING", ".RSP201120C118")</f>
        <v>N/A</v>
      </c>
      <c r="U506" t="str">
        <f>RTD("tos.rtd", , "PROB_OTM", ".RSP201120C118")</f>
        <v>N/A</v>
      </c>
      <c r="V506" t="str">
        <f>RTD("tos.rtd", , "PROB_OF_TOUCHING", ".RSP201120C118")</f>
        <v>N/A</v>
      </c>
      <c r="W506" t="str">
        <f>RTD("tos.rtd", , "STRIKE", ".RSP201120C118")</f>
        <v>N/A</v>
      </c>
    </row>
    <row r="507" spans="1:23" x14ac:dyDescent="0.45">
      <c r="A507" t="s">
        <v>528</v>
      </c>
      <c r="B507" t="str">
        <f>RTD("tos.rtd", , "DESCRIPTION", ".RSP201120P118")</f>
        <v>N/A</v>
      </c>
      <c r="C507" t="str">
        <f>RTD("tos.rtd", , "PUT_CALL_RATIO", ".RSP201120P118")</f>
        <v>N/A</v>
      </c>
      <c r="D507" t="str">
        <f>RTD("tos.rtd", , "IMPL_VOL", ".RSP201120P118")</f>
        <v>N/A</v>
      </c>
      <c r="E507" t="str">
        <f>RTD("tos.rtd", , "LAST", ".RSP201120P118")</f>
        <v>N/A</v>
      </c>
      <c r="F507" t="str">
        <f>RTD("tos.rtd", , "VOLUME", ".RSP201120P118")</f>
        <v>N/A</v>
      </c>
      <c r="G507" t="str">
        <f>RTD("tos.rtd", , "OPEN_INT", ".RSP201120P118")</f>
        <v>N/A</v>
      </c>
      <c r="H507" t="str">
        <f>RTD("tos.rtd", , "BID", ".RSP201120P118")</f>
        <v>N/A</v>
      </c>
      <c r="I507" t="str">
        <f>RTD("tos.rtd", , "ASK", ".RSP201120P118")</f>
        <v>N/A</v>
      </c>
      <c r="J507" t="str">
        <f>RTD("tos.rtd", , "HIGH", ".RSP201120P118")</f>
        <v>N/A</v>
      </c>
      <c r="K507" t="str">
        <f>RTD("tos.rtd", , "LOW", ".RSP201120P118")</f>
        <v>N/A</v>
      </c>
      <c r="L507" t="str">
        <f>RTD("tos.rtd", , "OPEN", ".RSP201120P118")</f>
        <v>N/A</v>
      </c>
      <c r="M507" t="str">
        <f>RTD("tos.rtd", , "DELTA", ".RSP201120P118")</f>
        <v>N/A</v>
      </c>
      <c r="N507" t="str">
        <f>RTD("tos.rtd", , "GAMMA", ".RSP201120P118")</f>
        <v>N/A</v>
      </c>
      <c r="O507" t="str">
        <f>RTD("tos.rtd", , "THETA", ".RSP201120P118")</f>
        <v>N/A</v>
      </c>
      <c r="P507" t="str">
        <f>RTD("tos.rtd", , "VEGA", ".RSP201120P118")</f>
        <v>N/A</v>
      </c>
      <c r="Q507" t="str">
        <f>RTD("tos.rtd", , "RHO", ".RSP201120P118")</f>
        <v>N/A</v>
      </c>
      <c r="R507" t="str">
        <f>RTD("tos.rtd", , "INTRINSIC", ".RSP201120P118")</f>
        <v>N/A</v>
      </c>
      <c r="S507" t="str">
        <f>RTD("tos.rtd", , "EXTRINSIC", ".RSP201120P118")</f>
        <v>N/A</v>
      </c>
      <c r="T507" t="str">
        <f>RTD("tos.rtd", , "PROB_OF_EXPIRING", ".RSP201120P118")</f>
        <v>N/A</v>
      </c>
      <c r="U507" t="str">
        <f>RTD("tos.rtd", , "PROB_OTM", ".RSP201120P118")</f>
        <v>N/A</v>
      </c>
      <c r="V507" t="str">
        <f>RTD("tos.rtd", , "PROB_OF_TOUCHING", ".RSP201120P118")</f>
        <v>N/A</v>
      </c>
      <c r="W507" t="str">
        <f>RTD("tos.rtd", , "STRIKE", ".RSP201120P118")</f>
        <v>N/A</v>
      </c>
    </row>
    <row r="508" spans="1:23" x14ac:dyDescent="0.45">
      <c r="A508" t="s">
        <v>529</v>
      </c>
      <c r="B508" t="str">
        <f>RTD("tos.rtd", , "DESCRIPTION", ".RSP201120C119")</f>
        <v>N/A</v>
      </c>
      <c r="C508" t="str">
        <f>RTD("tos.rtd", , "PUT_CALL_RATIO", ".RSP201120C119")</f>
        <v>N/A</v>
      </c>
      <c r="D508" t="str">
        <f>RTD("tos.rtd", , "IMPL_VOL", ".RSP201120C119")</f>
        <v>N/A</v>
      </c>
      <c r="E508" t="str">
        <f>RTD("tos.rtd", , "LAST", ".RSP201120C119")</f>
        <v>N/A</v>
      </c>
      <c r="F508" t="str">
        <f>RTD("tos.rtd", , "VOLUME", ".RSP201120C119")</f>
        <v>N/A</v>
      </c>
      <c r="G508" t="str">
        <f>RTD("tos.rtd", , "OPEN_INT", ".RSP201120C119")</f>
        <v>N/A</v>
      </c>
      <c r="H508" t="str">
        <f>RTD("tos.rtd", , "BID", ".RSP201120C119")</f>
        <v>N/A</v>
      </c>
      <c r="I508" t="str">
        <f>RTD("tos.rtd", , "ASK", ".RSP201120C119")</f>
        <v>N/A</v>
      </c>
      <c r="J508" t="str">
        <f>RTD("tos.rtd", , "HIGH", ".RSP201120C119")</f>
        <v>N/A</v>
      </c>
      <c r="K508" t="str">
        <f>RTD("tos.rtd", , "LOW", ".RSP201120C119")</f>
        <v>N/A</v>
      </c>
      <c r="L508" t="str">
        <f>RTD("tos.rtd", , "OPEN", ".RSP201120C119")</f>
        <v>N/A</v>
      </c>
      <c r="M508" t="str">
        <f>RTD("tos.rtd", , "DELTA", ".RSP201120C119")</f>
        <v>N/A</v>
      </c>
      <c r="N508" t="str">
        <f>RTD("tos.rtd", , "GAMMA", ".RSP201120C119")</f>
        <v>N/A</v>
      </c>
      <c r="O508" t="str">
        <f>RTD("tos.rtd", , "THETA", ".RSP201120C119")</f>
        <v>N/A</v>
      </c>
      <c r="P508" t="str">
        <f>RTD("tos.rtd", , "VEGA", ".RSP201120C119")</f>
        <v>N/A</v>
      </c>
      <c r="Q508" t="str">
        <f>RTD("tos.rtd", , "RHO", ".RSP201120C119")</f>
        <v>N/A</v>
      </c>
      <c r="R508" t="str">
        <f>RTD("tos.rtd", , "INTRINSIC", ".RSP201120C119")</f>
        <v>N/A</v>
      </c>
      <c r="S508" t="str">
        <f>RTD("tos.rtd", , "EXTRINSIC", ".RSP201120C119")</f>
        <v>N/A</v>
      </c>
      <c r="T508" t="str">
        <f>RTD("tos.rtd", , "PROB_OF_EXPIRING", ".RSP201120C119")</f>
        <v>N/A</v>
      </c>
      <c r="U508" t="str">
        <f>RTD("tos.rtd", , "PROB_OTM", ".RSP201120C119")</f>
        <v>N/A</v>
      </c>
      <c r="V508" t="str">
        <f>RTD("tos.rtd", , "PROB_OF_TOUCHING", ".RSP201120C119")</f>
        <v>N/A</v>
      </c>
      <c r="W508" t="str">
        <f>RTD("tos.rtd", , "STRIKE", ".RSP201120C119")</f>
        <v>N/A</v>
      </c>
    </row>
    <row r="509" spans="1:23" x14ac:dyDescent="0.45">
      <c r="A509" t="s">
        <v>530</v>
      </c>
      <c r="B509" t="str">
        <f>RTD("tos.rtd", , "DESCRIPTION", ".RSP201120P119")</f>
        <v>N/A</v>
      </c>
      <c r="C509" t="str">
        <f>RTD("tos.rtd", , "PUT_CALL_RATIO", ".RSP201120P119")</f>
        <v>N/A</v>
      </c>
      <c r="D509" t="str">
        <f>RTD("tos.rtd", , "IMPL_VOL", ".RSP201120P119")</f>
        <v>N/A</v>
      </c>
      <c r="E509" t="str">
        <f>RTD("tos.rtd", , "LAST", ".RSP201120P119")</f>
        <v>N/A</v>
      </c>
      <c r="F509" t="str">
        <f>RTD("tos.rtd", , "VOLUME", ".RSP201120P119")</f>
        <v>N/A</v>
      </c>
      <c r="G509" t="str">
        <f>RTD("tos.rtd", , "OPEN_INT", ".RSP201120P119")</f>
        <v>N/A</v>
      </c>
      <c r="H509" t="str">
        <f>RTD("tos.rtd", , "BID", ".RSP201120P119")</f>
        <v>N/A</v>
      </c>
      <c r="I509" t="str">
        <f>RTD("tos.rtd", , "ASK", ".RSP201120P119")</f>
        <v>N/A</v>
      </c>
      <c r="J509" t="str">
        <f>RTD("tos.rtd", , "HIGH", ".RSP201120P119")</f>
        <v>N/A</v>
      </c>
      <c r="K509" t="str">
        <f>RTD("tos.rtd", , "LOW", ".RSP201120P119")</f>
        <v>N/A</v>
      </c>
      <c r="L509" t="str">
        <f>RTD("tos.rtd", , "OPEN", ".RSP201120P119")</f>
        <v>N/A</v>
      </c>
      <c r="M509" t="str">
        <f>RTD("tos.rtd", , "DELTA", ".RSP201120P119")</f>
        <v>N/A</v>
      </c>
      <c r="N509" t="str">
        <f>RTD("tos.rtd", , "GAMMA", ".RSP201120P119")</f>
        <v>N/A</v>
      </c>
      <c r="O509" t="str">
        <f>RTD("tos.rtd", , "THETA", ".RSP201120P119")</f>
        <v>N/A</v>
      </c>
      <c r="P509" t="str">
        <f>RTD("tos.rtd", , "VEGA", ".RSP201120P119")</f>
        <v>N/A</v>
      </c>
      <c r="Q509" t="str">
        <f>RTD("tos.rtd", , "RHO", ".RSP201120P119")</f>
        <v>N/A</v>
      </c>
      <c r="R509" t="str">
        <f>RTD("tos.rtd", , "INTRINSIC", ".RSP201120P119")</f>
        <v>N/A</v>
      </c>
      <c r="S509" t="str">
        <f>RTD("tos.rtd", , "EXTRINSIC", ".RSP201120P119")</f>
        <v>N/A</v>
      </c>
      <c r="T509" t="str">
        <f>RTD("tos.rtd", , "PROB_OF_EXPIRING", ".RSP201120P119")</f>
        <v>N/A</v>
      </c>
      <c r="U509" t="str">
        <f>RTD("tos.rtd", , "PROB_OTM", ".RSP201120P119")</f>
        <v>N/A</v>
      </c>
      <c r="V509" t="str">
        <f>RTD("tos.rtd", , "PROB_OF_TOUCHING", ".RSP201120P119")</f>
        <v>N/A</v>
      </c>
      <c r="W509" t="str">
        <f>RTD("tos.rtd", , "STRIKE", ".RSP201120P119")</f>
        <v>N/A</v>
      </c>
    </row>
    <row r="510" spans="1:23" x14ac:dyDescent="0.45">
      <c r="A510" t="s">
        <v>531</v>
      </c>
      <c r="B510" t="str">
        <f>RTD("tos.rtd", , "DESCRIPTION", ".RSP201120C120")</f>
        <v>N/A</v>
      </c>
      <c r="C510" t="str">
        <f>RTD("tos.rtd", , "PUT_CALL_RATIO", ".RSP201120C120")</f>
        <v>N/A</v>
      </c>
      <c r="D510" t="str">
        <f>RTD("tos.rtd", , "IMPL_VOL", ".RSP201120C120")</f>
        <v>N/A</v>
      </c>
      <c r="E510">
        <f>RTD("tos.rtd", , "LAST", ".RSP201120C120")</f>
        <v>1.35</v>
      </c>
      <c r="F510">
        <f>RTD("tos.rtd", , "VOLUME", ".RSP201120C120")</f>
        <v>0</v>
      </c>
      <c r="G510">
        <f>RTD("tos.rtd", , "OPEN_INT", ".RSP201120C120")</f>
        <v>348</v>
      </c>
      <c r="H510">
        <f>RTD("tos.rtd", , "BID", ".RSP201120C120")</f>
        <v>0.25</v>
      </c>
      <c r="I510">
        <f>RTD("tos.rtd", , "ASK", ".RSP201120C120")</f>
        <v>0.45</v>
      </c>
      <c r="J510">
        <f>RTD("tos.rtd", , "HIGH", ".RSP201120C120")</f>
        <v>0</v>
      </c>
      <c r="K510">
        <f>RTD("tos.rtd", , "LOW", ".RSP201120C120")</f>
        <v>0</v>
      </c>
      <c r="L510">
        <f>RTD("tos.rtd", , "OPEN", ".RSP201120C120")</f>
        <v>0</v>
      </c>
      <c r="M510" t="str">
        <f>RTD("tos.rtd", , "DELTA", ".RSP201120C120")</f>
        <v>N/A</v>
      </c>
      <c r="N510" t="str">
        <f>RTD("tos.rtd", , "GAMMA", ".RSP201120C120")</f>
        <v>N/A</v>
      </c>
      <c r="O510" t="str">
        <f>RTD("tos.rtd", , "THETA", ".RSP201120C120")</f>
        <v>N/A</v>
      </c>
      <c r="P510" t="str">
        <f>RTD("tos.rtd", , "VEGA", ".RSP201120C120")</f>
        <v>N/A</v>
      </c>
      <c r="Q510" t="str">
        <f>RTD("tos.rtd", , "RHO", ".RSP201120C120")</f>
        <v>N/A</v>
      </c>
      <c r="R510" t="str">
        <f>RTD("tos.rtd", , "INTRINSIC", ".RSP201120C120")</f>
        <v>N/A</v>
      </c>
      <c r="S510" t="str">
        <f>RTD("tos.rtd", , "EXTRINSIC", ".RSP201120C120")</f>
        <v>N/A</v>
      </c>
      <c r="T510" t="str">
        <f>RTD("tos.rtd", , "PROB_OF_EXPIRING", ".RSP201120C120")</f>
        <v>N/A</v>
      </c>
      <c r="U510" t="str">
        <f>RTD("tos.rtd", , "PROB_OTM", ".RSP201120C120")</f>
        <v>N/A</v>
      </c>
      <c r="V510" t="str">
        <f>RTD("tos.rtd", , "PROB_OF_TOUCHING", ".RSP201120C120")</f>
        <v>N/A</v>
      </c>
      <c r="W510" t="str">
        <f>RTD("tos.rtd", , "STRIKE", ".RSP201120C120")</f>
        <v>N/A</v>
      </c>
    </row>
    <row r="511" spans="1:23" x14ac:dyDescent="0.45">
      <c r="A511" t="s">
        <v>532</v>
      </c>
      <c r="B511" t="str">
        <f>RTD("tos.rtd", , "DESCRIPTION", ".RSP201120P120")</f>
        <v>N/A</v>
      </c>
      <c r="C511" t="str">
        <f>RTD("tos.rtd", , "PUT_CALL_RATIO", ".RSP201120P120")</f>
        <v>N/A</v>
      </c>
      <c r="D511" t="str">
        <f>RTD("tos.rtd", , "IMPL_VOL", ".RSP201120P120")</f>
        <v>N/A</v>
      </c>
      <c r="E511" t="str">
        <f>RTD("tos.rtd", , "LAST", ".RSP201120P120")</f>
        <v>N/A</v>
      </c>
      <c r="F511" t="str">
        <f>RTD("tos.rtd", , "VOLUME", ".RSP201120P120")</f>
        <v>N/A</v>
      </c>
      <c r="G511" t="str">
        <f>RTD("tos.rtd", , "OPEN_INT", ".RSP201120P120")</f>
        <v>N/A</v>
      </c>
      <c r="H511" t="str">
        <f>RTD("tos.rtd", , "BID", ".RSP201120P120")</f>
        <v>N/A</v>
      </c>
      <c r="I511" t="str">
        <f>RTD("tos.rtd", , "ASK", ".RSP201120P120")</f>
        <v>N/A</v>
      </c>
      <c r="J511" t="str">
        <f>RTD("tos.rtd", , "HIGH", ".RSP201120P120")</f>
        <v>N/A</v>
      </c>
      <c r="K511" t="str">
        <f>RTD("tos.rtd", , "LOW", ".RSP201120P120")</f>
        <v>N/A</v>
      </c>
      <c r="L511" t="str">
        <f>RTD("tos.rtd", , "OPEN", ".RSP201120P120")</f>
        <v>N/A</v>
      </c>
      <c r="M511" t="str">
        <f>RTD("tos.rtd", , "DELTA", ".RSP201120P120")</f>
        <v>N/A</v>
      </c>
      <c r="N511" t="str">
        <f>RTD("tos.rtd", , "GAMMA", ".RSP201120P120")</f>
        <v>N/A</v>
      </c>
      <c r="O511" t="str">
        <f>RTD("tos.rtd", , "THETA", ".RSP201120P120")</f>
        <v>N/A</v>
      </c>
      <c r="P511" t="str">
        <f>RTD("tos.rtd", , "VEGA", ".RSP201120P120")</f>
        <v>N/A</v>
      </c>
      <c r="Q511" t="str">
        <f>RTD("tos.rtd", , "RHO", ".RSP201120P120")</f>
        <v>N/A</v>
      </c>
      <c r="R511" t="str">
        <f>RTD("tos.rtd", , "INTRINSIC", ".RSP201120P120")</f>
        <v>N/A</v>
      </c>
      <c r="S511" t="str">
        <f>RTD("tos.rtd", , "EXTRINSIC", ".RSP201120P120")</f>
        <v>N/A</v>
      </c>
      <c r="T511" t="str">
        <f>RTD("tos.rtd", , "PROB_OF_EXPIRING", ".RSP201120P120")</f>
        <v>N/A</v>
      </c>
      <c r="U511" t="str">
        <f>RTD("tos.rtd", , "PROB_OTM", ".RSP201120P120")</f>
        <v>N/A</v>
      </c>
      <c r="V511" t="str">
        <f>RTD("tos.rtd", , "PROB_OF_TOUCHING", ".RSP201120P120")</f>
        <v>N/A</v>
      </c>
      <c r="W511" t="str">
        <f>RTD("tos.rtd", , "STRIKE", ".RSP201120P120")</f>
        <v>N/A</v>
      </c>
    </row>
    <row r="512" spans="1:23" x14ac:dyDescent="0.45">
      <c r="A512" t="s">
        <v>533</v>
      </c>
      <c r="B512" t="str">
        <f>RTD("tos.rtd", , "DESCRIPTION", "RSX")</f>
        <v>N/A</v>
      </c>
      <c r="C512">
        <f>RTD("tos.rtd", , "PUT_CALL_RATIO", "RSX")</f>
        <v>2.7829999999999999</v>
      </c>
      <c r="D512" t="str">
        <f>RTD("tos.rtd", , "IMPL_VOL", "RSX")</f>
        <v>28.18%</v>
      </c>
      <c r="E512">
        <f>RTD("tos.rtd", , "LAST", "RSX")</f>
        <v>22.1</v>
      </c>
      <c r="F512">
        <f>RTD("tos.rtd", , "VOLUME", "RSX")</f>
        <v>4551215</v>
      </c>
      <c r="G512">
        <f>RTD("tos.rtd", , "OPEN_INT", "RSX")</f>
        <v>0</v>
      </c>
      <c r="H512">
        <f>RTD("tos.rtd", , "BID", "RSX")</f>
        <v>22.05</v>
      </c>
      <c r="I512">
        <f>RTD("tos.rtd", , "ASK", "RSX")</f>
        <v>24.58</v>
      </c>
      <c r="J512">
        <f>RTD("tos.rtd", , "HIGH", "RSX")</f>
        <v>22.395</v>
      </c>
      <c r="K512">
        <f>RTD("tos.rtd", , "LOW", "RSX")</f>
        <v>22.055</v>
      </c>
      <c r="L512">
        <f>RTD("tos.rtd", , "OPEN", "RSX")</f>
        <v>22.26</v>
      </c>
      <c r="M512">
        <f>RTD("tos.rtd", , "DELTA", "RSX")</f>
        <v>1</v>
      </c>
      <c r="N512">
        <f>RTD("tos.rtd", , "GAMMA", "RSX")</f>
        <v>0</v>
      </c>
      <c r="O512">
        <f>RTD("tos.rtd", , "THETA", "RSX")</f>
        <v>0</v>
      </c>
      <c r="P512">
        <f>RTD("tos.rtd", , "VEGA", "RSX")</f>
        <v>0</v>
      </c>
      <c r="Q512">
        <f>RTD("tos.rtd", , "RHO", "RSX")</f>
        <v>0</v>
      </c>
      <c r="R512" t="str">
        <f>RTD("tos.rtd", , "INTRINSIC", "RSX")</f>
        <v>N/A</v>
      </c>
      <c r="S512" t="str">
        <f>RTD("tos.rtd", , "EXTRINSIC", "RSX")</f>
        <v>N/A</v>
      </c>
      <c r="T512" t="str">
        <f>RTD("tos.rtd", , "PROB_OF_EXPIRING", "RSX")</f>
        <v>N/A</v>
      </c>
      <c r="U512" t="str">
        <f>RTD("tos.rtd", , "PROB_OTM", "RSX")</f>
        <v>N/A</v>
      </c>
      <c r="V512" t="str">
        <f>RTD("tos.rtd", , "PROB_OF_TOUCHING", "RSX")</f>
        <v>N/A</v>
      </c>
      <c r="W512" t="str">
        <f>RTD("tos.rtd", , "STRIKE", "RSX")</f>
        <v>N/A</v>
      </c>
    </row>
    <row r="513" spans="1:23" x14ac:dyDescent="0.45">
      <c r="A513" t="s">
        <v>534</v>
      </c>
      <c r="B513" t="str">
        <f>RTD("tos.rtd", , "DESCRIPTION", ".RSX201120C22")</f>
        <v>N/A</v>
      </c>
      <c r="C513" t="str">
        <f>RTD("tos.rtd", , "PUT_CALL_RATIO", ".RSX201120C22")</f>
        <v>N/A</v>
      </c>
      <c r="D513" t="str">
        <f>RTD("tos.rtd", , "IMPL_VOL", ".RSX201120C22")</f>
        <v>N/A</v>
      </c>
      <c r="E513" t="str">
        <f>RTD("tos.rtd", , "LAST", ".RSX201120C22")</f>
        <v>N/A</v>
      </c>
      <c r="F513" t="str">
        <f>RTD("tos.rtd", , "VOLUME", ".RSX201120C22")</f>
        <v>N/A</v>
      </c>
      <c r="G513" t="str">
        <f>RTD("tos.rtd", , "OPEN_INT", ".RSX201120C22")</f>
        <v>N/A</v>
      </c>
      <c r="H513" t="str">
        <f>RTD("tos.rtd", , "BID", ".RSX201120C22")</f>
        <v>N/A</v>
      </c>
      <c r="I513" t="str">
        <f>RTD("tos.rtd", , "ASK", ".RSX201120C22")</f>
        <v>N/A</v>
      </c>
      <c r="J513" t="str">
        <f>RTD("tos.rtd", , "HIGH", ".RSX201120C22")</f>
        <v>N/A</v>
      </c>
      <c r="K513" t="str">
        <f>RTD("tos.rtd", , "LOW", ".RSX201120C22")</f>
        <v>N/A</v>
      </c>
      <c r="L513" t="str">
        <f>RTD("tos.rtd", , "OPEN", ".RSX201120C22")</f>
        <v>N/A</v>
      </c>
      <c r="M513" t="str">
        <f>RTD("tos.rtd", , "DELTA", ".RSX201120C22")</f>
        <v>N/A</v>
      </c>
      <c r="N513" t="str">
        <f>RTD("tos.rtd", , "GAMMA", ".RSX201120C22")</f>
        <v>N/A</v>
      </c>
      <c r="O513" t="str">
        <f>RTD("tos.rtd", , "THETA", ".RSX201120C22")</f>
        <v>N/A</v>
      </c>
      <c r="P513" t="str">
        <f>RTD("tos.rtd", , "VEGA", ".RSX201120C22")</f>
        <v>N/A</v>
      </c>
      <c r="Q513" t="str">
        <f>RTD("tos.rtd", , "RHO", ".RSX201120C22")</f>
        <v>N/A</v>
      </c>
      <c r="R513" t="str">
        <f>RTD("tos.rtd", , "INTRINSIC", ".RSX201120C22")</f>
        <v>N/A</v>
      </c>
      <c r="S513" t="str">
        <f>RTD("tos.rtd", , "EXTRINSIC", ".RSX201120C22")</f>
        <v>N/A</v>
      </c>
      <c r="T513" t="str">
        <f>RTD("tos.rtd", , "PROB_OF_EXPIRING", ".RSX201120C22")</f>
        <v>N/A</v>
      </c>
      <c r="U513" t="str">
        <f>RTD("tos.rtd", , "PROB_OTM", ".RSX201120C22")</f>
        <v>N/A</v>
      </c>
      <c r="V513" t="str">
        <f>RTD("tos.rtd", , "PROB_OF_TOUCHING", ".RSX201120C22")</f>
        <v>N/A</v>
      </c>
      <c r="W513" t="str">
        <f>RTD("tos.rtd", , "STRIKE", ".RSX201120C22")</f>
        <v>N/A</v>
      </c>
    </row>
    <row r="514" spans="1:23" x14ac:dyDescent="0.45">
      <c r="A514" t="s">
        <v>535</v>
      </c>
      <c r="B514" t="str">
        <f>RTD("tos.rtd", , "DESCRIPTION", ".RSX201120P22")</f>
        <v>N/A</v>
      </c>
      <c r="C514" t="str">
        <f>RTD("tos.rtd", , "PUT_CALL_RATIO", ".RSX201120P22")</f>
        <v>N/A</v>
      </c>
      <c r="D514" t="str">
        <f>RTD("tos.rtd", , "IMPL_VOL", ".RSX201120P22")</f>
        <v>N/A</v>
      </c>
      <c r="E514">
        <f>RTD("tos.rtd", , "LAST", ".RSX201120P22")</f>
        <v>0.28999999999999998</v>
      </c>
      <c r="F514">
        <f>RTD("tos.rtd", , "VOLUME", ".RSX201120P22")</f>
        <v>777</v>
      </c>
      <c r="G514">
        <f>RTD("tos.rtd", , "OPEN_INT", ".RSX201120P22")</f>
        <v>1122</v>
      </c>
      <c r="H514">
        <f>RTD("tos.rtd", , "BID", ".RSX201120P22")</f>
        <v>0.25</v>
      </c>
      <c r="I514">
        <f>RTD("tos.rtd", , "ASK", ".RSX201120P22")</f>
        <v>0.38</v>
      </c>
      <c r="J514">
        <f>RTD("tos.rtd", , "HIGH", ".RSX201120P22")</f>
        <v>0.28999999999999998</v>
      </c>
      <c r="K514">
        <f>RTD("tos.rtd", , "LOW", ".RSX201120P22")</f>
        <v>0.18</v>
      </c>
      <c r="L514">
        <f>RTD("tos.rtd", , "OPEN", ".RSX201120P22")</f>
        <v>0.23</v>
      </c>
      <c r="M514" t="str">
        <f>RTD("tos.rtd", , "DELTA", ".RSX201120P22")</f>
        <v>N/A</v>
      </c>
      <c r="N514" t="str">
        <f>RTD("tos.rtd", , "GAMMA", ".RSX201120P22")</f>
        <v>N/A</v>
      </c>
      <c r="O514" t="str">
        <f>RTD("tos.rtd", , "THETA", ".RSX201120P22")</f>
        <v>N/A</v>
      </c>
      <c r="P514" t="str">
        <f>RTD("tos.rtd", , "VEGA", ".RSX201120P22")</f>
        <v>N/A</v>
      </c>
      <c r="Q514" t="str">
        <f>RTD("tos.rtd", , "RHO", ".RSX201120P22")</f>
        <v>N/A</v>
      </c>
      <c r="R514" t="str">
        <f>RTD("tos.rtd", , "INTRINSIC", ".RSX201120P22")</f>
        <v>N/A</v>
      </c>
      <c r="S514" t="str">
        <f>RTD("tos.rtd", , "EXTRINSIC", ".RSX201120P22")</f>
        <v>N/A</v>
      </c>
      <c r="T514" t="str">
        <f>RTD("tos.rtd", , "PROB_OF_EXPIRING", ".RSX201120P22")</f>
        <v>N/A</v>
      </c>
      <c r="U514" t="str">
        <f>RTD("tos.rtd", , "PROB_OTM", ".RSX201120P22")</f>
        <v>N/A</v>
      </c>
      <c r="V514" t="str">
        <f>RTD("tos.rtd", , "PROB_OF_TOUCHING", ".RSX201120P22")</f>
        <v>N/A</v>
      </c>
      <c r="W514" t="str">
        <f>RTD("tos.rtd", , "STRIKE", ".RSX201120P22")</f>
        <v>N/A</v>
      </c>
    </row>
    <row r="515" spans="1:23" x14ac:dyDescent="0.45">
      <c r="A515" t="s">
        <v>536</v>
      </c>
      <c r="B515" t="str">
        <f>RTD("tos.rtd", , "DESCRIPTION", ".RSX201120C22.5")</f>
        <v>N/A</v>
      </c>
      <c r="C515" t="str">
        <f>RTD("tos.rtd", , "PUT_CALL_RATIO", ".RSX201120C22.5")</f>
        <v>N/A</v>
      </c>
      <c r="D515" t="str">
        <f>RTD("tos.rtd", , "IMPL_VOL", ".RSX201120C22.5")</f>
        <v>N/A</v>
      </c>
      <c r="E515" t="str">
        <f>RTD("tos.rtd", , "LAST", ".RSX201120C22.5")</f>
        <v>N/A</v>
      </c>
      <c r="F515" t="str">
        <f>RTD("tos.rtd", , "VOLUME", ".RSX201120C22.5")</f>
        <v>N/A</v>
      </c>
      <c r="G515" t="str">
        <f>RTD("tos.rtd", , "OPEN_INT", ".RSX201120C22.5")</f>
        <v>N/A</v>
      </c>
      <c r="H515" t="str">
        <f>RTD("tos.rtd", , "BID", ".RSX201120C22.5")</f>
        <v>N/A</v>
      </c>
      <c r="I515" t="str">
        <f>RTD("tos.rtd", , "ASK", ".RSX201120C22.5")</f>
        <v>N/A</v>
      </c>
      <c r="J515" t="str">
        <f>RTD("tos.rtd", , "HIGH", ".RSX201120C22.5")</f>
        <v>N/A</v>
      </c>
      <c r="K515" t="str">
        <f>RTD("tos.rtd", , "LOW", ".RSX201120C22.5")</f>
        <v>N/A</v>
      </c>
      <c r="L515" t="str">
        <f>RTD("tos.rtd", , "OPEN", ".RSX201120C22.5")</f>
        <v>N/A</v>
      </c>
      <c r="M515" t="str">
        <f>RTD("tos.rtd", , "DELTA", ".RSX201120C22.5")</f>
        <v>N/A</v>
      </c>
      <c r="N515" t="str">
        <f>RTD("tos.rtd", , "GAMMA", ".RSX201120C22.5")</f>
        <v>N/A</v>
      </c>
      <c r="O515" t="str">
        <f>RTD("tos.rtd", , "THETA", ".RSX201120C22.5")</f>
        <v>N/A</v>
      </c>
      <c r="P515" t="str">
        <f>RTD("tos.rtd", , "VEGA", ".RSX201120C22.5")</f>
        <v>N/A</v>
      </c>
      <c r="Q515" t="str">
        <f>RTD("tos.rtd", , "RHO", ".RSX201120C22.5")</f>
        <v>N/A</v>
      </c>
      <c r="R515" t="str">
        <f>RTD("tos.rtd", , "INTRINSIC", ".RSX201120C22.5")</f>
        <v>N/A</v>
      </c>
      <c r="S515" t="str">
        <f>RTD("tos.rtd", , "EXTRINSIC", ".RSX201120C22.5")</f>
        <v>N/A</v>
      </c>
      <c r="T515" t="str">
        <f>RTD("tos.rtd", , "PROB_OF_EXPIRING", ".RSX201120C22.5")</f>
        <v>N/A</v>
      </c>
      <c r="U515" t="str">
        <f>RTD("tos.rtd", , "PROB_OTM", ".RSX201120C22.5")</f>
        <v>N/A</v>
      </c>
      <c r="V515" t="str">
        <f>RTD("tos.rtd", , "PROB_OF_TOUCHING", ".RSX201120C22.5")</f>
        <v>N/A</v>
      </c>
      <c r="W515" t="str">
        <f>RTD("tos.rtd", , "STRIKE", ".RSX201120C22.5")</f>
        <v>N/A</v>
      </c>
    </row>
    <row r="516" spans="1:23" x14ac:dyDescent="0.45">
      <c r="A516" t="s">
        <v>537</v>
      </c>
      <c r="B516" t="str">
        <f>RTD("tos.rtd", , "DESCRIPTION", ".RSX201120P22.5")</f>
        <v>N/A</v>
      </c>
      <c r="C516" t="str">
        <f>RTD("tos.rtd", , "PUT_CALL_RATIO", ".RSX201120P22.5")</f>
        <v>N/A</v>
      </c>
      <c r="D516" t="str">
        <f>RTD("tos.rtd", , "IMPL_VOL", ".RSX201120P22.5")</f>
        <v>N/A</v>
      </c>
      <c r="E516" t="str">
        <f>RTD("tos.rtd", , "LAST", ".RSX201120P22.5")</f>
        <v>N/A</v>
      </c>
      <c r="F516" t="str">
        <f>RTD("tos.rtd", , "VOLUME", ".RSX201120P22.5")</f>
        <v>N/A</v>
      </c>
      <c r="G516" t="str">
        <f>RTD("tos.rtd", , "OPEN_INT", ".RSX201120P22.5")</f>
        <v>N/A</v>
      </c>
      <c r="H516" t="str">
        <f>RTD("tos.rtd", , "BID", ".RSX201120P22.5")</f>
        <v>N/A</v>
      </c>
      <c r="I516" t="str">
        <f>RTD("tos.rtd", , "ASK", ".RSX201120P22.5")</f>
        <v>N/A</v>
      </c>
      <c r="J516" t="str">
        <f>RTD("tos.rtd", , "HIGH", ".RSX201120P22.5")</f>
        <v>N/A</v>
      </c>
      <c r="K516" t="str">
        <f>RTD("tos.rtd", , "LOW", ".RSX201120P22.5")</f>
        <v>N/A</v>
      </c>
      <c r="L516" t="str">
        <f>RTD("tos.rtd", , "OPEN", ".RSX201120P22.5")</f>
        <v>N/A</v>
      </c>
      <c r="M516" t="str">
        <f>RTD("tos.rtd", , "DELTA", ".RSX201120P22.5")</f>
        <v>N/A</v>
      </c>
      <c r="N516" t="str">
        <f>RTD("tos.rtd", , "GAMMA", ".RSX201120P22.5")</f>
        <v>N/A</v>
      </c>
      <c r="O516" t="str">
        <f>RTD("tos.rtd", , "THETA", ".RSX201120P22.5")</f>
        <v>N/A</v>
      </c>
      <c r="P516" t="str">
        <f>RTD("tos.rtd", , "VEGA", ".RSX201120P22.5")</f>
        <v>N/A</v>
      </c>
      <c r="Q516" t="str">
        <f>RTD("tos.rtd", , "RHO", ".RSX201120P22.5")</f>
        <v>N/A</v>
      </c>
      <c r="R516" t="str">
        <f>RTD("tos.rtd", , "INTRINSIC", ".RSX201120P22.5")</f>
        <v>N/A</v>
      </c>
      <c r="S516" t="str">
        <f>RTD("tos.rtd", , "EXTRINSIC", ".RSX201120P22.5")</f>
        <v>N/A</v>
      </c>
      <c r="T516" t="str">
        <f>RTD("tos.rtd", , "PROB_OF_EXPIRING", ".RSX201120P22.5")</f>
        <v>N/A</v>
      </c>
      <c r="U516" t="str">
        <f>RTD("tos.rtd", , "PROB_OTM", ".RSX201120P22.5")</f>
        <v>N/A</v>
      </c>
      <c r="V516" t="str">
        <f>RTD("tos.rtd", , "PROB_OF_TOUCHING", ".RSX201120P22.5")</f>
        <v>N/A</v>
      </c>
      <c r="W516" t="str">
        <f>RTD("tos.rtd", , "STRIKE", ".RSX201120P22.5")</f>
        <v>N/A</v>
      </c>
    </row>
    <row r="517" spans="1:23" x14ac:dyDescent="0.45">
      <c r="A517" t="s">
        <v>538</v>
      </c>
      <c r="B517" t="str">
        <f>RTD("tos.rtd", , "DESCRIPTION", "RWM")</f>
        <v>N/A</v>
      </c>
      <c r="C517">
        <f>RTD("tos.rtd", , "PUT_CALL_RATIO", "RWM")</f>
        <v>0.02</v>
      </c>
      <c r="D517" t="str">
        <f>RTD("tos.rtd", , "IMPL_VOL", "RWM")</f>
        <v>31.05%</v>
      </c>
      <c r="E517">
        <f>RTD("tos.rtd", , "LAST", "RWM")</f>
        <v>29.61</v>
      </c>
      <c r="F517">
        <f>RTD("tos.rtd", , "VOLUME", "RWM")</f>
        <v>2020957</v>
      </c>
      <c r="G517">
        <f>RTD("tos.rtd", , "OPEN_INT", "RWM")</f>
        <v>0</v>
      </c>
      <c r="H517">
        <f>RTD("tos.rtd", , "BID", "RWM")</f>
        <v>29.45</v>
      </c>
      <c r="I517">
        <f>RTD("tos.rtd", , "ASK", "RWM")</f>
        <v>30.07</v>
      </c>
      <c r="J517">
        <f>RTD("tos.rtd", , "HIGH", "RWM")</f>
        <v>29.89</v>
      </c>
      <c r="K517">
        <f>RTD("tos.rtd", , "LOW", "RWM")</f>
        <v>29.285</v>
      </c>
      <c r="L517">
        <f>RTD("tos.rtd", , "OPEN", "RWM")</f>
        <v>29.36</v>
      </c>
      <c r="M517">
        <f>RTD("tos.rtd", , "DELTA", "RWM")</f>
        <v>1</v>
      </c>
      <c r="N517">
        <f>RTD("tos.rtd", , "GAMMA", "RWM")</f>
        <v>0</v>
      </c>
      <c r="O517">
        <f>RTD("tos.rtd", , "THETA", "RWM")</f>
        <v>0</v>
      </c>
      <c r="P517">
        <f>RTD("tos.rtd", , "VEGA", "RWM")</f>
        <v>0</v>
      </c>
      <c r="Q517">
        <f>RTD("tos.rtd", , "RHO", "RWM")</f>
        <v>0</v>
      </c>
      <c r="R517" t="str">
        <f>RTD("tos.rtd", , "INTRINSIC", "RWM")</f>
        <v>N/A</v>
      </c>
      <c r="S517" t="str">
        <f>RTD("tos.rtd", , "EXTRINSIC", "RWM")</f>
        <v>N/A</v>
      </c>
      <c r="T517" t="str">
        <f>RTD("tos.rtd", , "PROB_OF_EXPIRING", "RWM")</f>
        <v>N/A</v>
      </c>
      <c r="U517" t="str">
        <f>RTD("tos.rtd", , "PROB_OTM", "RWM")</f>
        <v>N/A</v>
      </c>
      <c r="V517" t="str">
        <f>RTD("tos.rtd", , "PROB_OF_TOUCHING", "RWM")</f>
        <v>N/A</v>
      </c>
      <c r="W517" t="str">
        <f>RTD("tos.rtd", , "STRIKE", "RWM")</f>
        <v>N/A</v>
      </c>
    </row>
    <row r="518" spans="1:23" x14ac:dyDescent="0.45">
      <c r="A518" t="s">
        <v>539</v>
      </c>
      <c r="B518" t="str">
        <f>RTD("tos.rtd", , "DESCRIPTION", ".RWM201120C29")</f>
        <v>N/A</v>
      </c>
      <c r="C518" t="str">
        <f>RTD("tos.rtd", , "PUT_CALL_RATIO", ".RWM201120C29")</f>
        <v>N/A</v>
      </c>
      <c r="D518" t="str">
        <f>RTD("tos.rtd", , "IMPL_VOL", ".RWM201120C29")</f>
        <v>N/A</v>
      </c>
      <c r="E518">
        <f>RTD("tos.rtd", , "LAST", ".RWM201120C29")</f>
        <v>0.8</v>
      </c>
      <c r="F518">
        <f>RTD("tos.rtd", , "VOLUME", ".RWM201120C29")</f>
        <v>2</v>
      </c>
      <c r="G518">
        <f>RTD("tos.rtd", , "OPEN_INT", ".RWM201120C29")</f>
        <v>66</v>
      </c>
      <c r="H518">
        <f>RTD("tos.rtd", , "BID", ".RWM201120C29")</f>
        <v>0.85</v>
      </c>
      <c r="I518">
        <f>RTD("tos.rtd", , "ASK", ".RWM201120C29")</f>
        <v>0.95</v>
      </c>
      <c r="J518">
        <f>RTD("tos.rtd", , "HIGH", ".RWM201120C29")</f>
        <v>0.8</v>
      </c>
      <c r="K518">
        <f>RTD("tos.rtd", , "LOW", ".RWM201120C29")</f>
        <v>0.65</v>
      </c>
      <c r="L518">
        <f>RTD("tos.rtd", , "OPEN", ".RWM201120C29")</f>
        <v>0.65</v>
      </c>
      <c r="M518" t="str">
        <f>RTD("tos.rtd", , "DELTA", ".RWM201120C29")</f>
        <v>N/A</v>
      </c>
      <c r="N518" t="str">
        <f>RTD("tos.rtd", , "GAMMA", ".RWM201120C29")</f>
        <v>N/A</v>
      </c>
      <c r="O518" t="str">
        <f>RTD("tos.rtd", , "THETA", ".RWM201120C29")</f>
        <v>N/A</v>
      </c>
      <c r="P518" t="str">
        <f>RTD("tos.rtd", , "VEGA", ".RWM201120C29")</f>
        <v>N/A</v>
      </c>
      <c r="Q518" t="str">
        <f>RTD("tos.rtd", , "RHO", ".RWM201120C29")</f>
        <v>N/A</v>
      </c>
      <c r="R518" t="str">
        <f>RTD("tos.rtd", , "INTRINSIC", ".RWM201120C29")</f>
        <v>N/A</v>
      </c>
      <c r="S518" t="str">
        <f>RTD("tos.rtd", , "EXTRINSIC", ".RWM201120C29")</f>
        <v>N/A</v>
      </c>
      <c r="T518" t="str">
        <f>RTD("tos.rtd", , "PROB_OF_EXPIRING", ".RWM201120C29")</f>
        <v>N/A</v>
      </c>
      <c r="U518" t="str">
        <f>RTD("tos.rtd", , "PROB_OTM", ".RWM201120C29")</f>
        <v>N/A</v>
      </c>
      <c r="V518" t="str">
        <f>RTD("tos.rtd", , "PROB_OF_TOUCHING", ".RWM201120C29")</f>
        <v>N/A</v>
      </c>
      <c r="W518" t="str">
        <f>RTD("tos.rtd", , "STRIKE", ".RWM201120C29")</f>
        <v>N/A</v>
      </c>
    </row>
    <row r="519" spans="1:23" x14ac:dyDescent="0.45">
      <c r="A519" t="s">
        <v>540</v>
      </c>
      <c r="B519" t="str">
        <f>RTD("tos.rtd", , "DESCRIPTION", ".RWM201120P29")</f>
        <v>N/A</v>
      </c>
      <c r="C519" t="str">
        <f>RTD("tos.rtd", , "PUT_CALL_RATIO", ".RWM201120P29")</f>
        <v>N/A</v>
      </c>
      <c r="D519" t="str">
        <f>RTD("tos.rtd", , "IMPL_VOL", ".RWM201120P29")</f>
        <v>N/A</v>
      </c>
      <c r="E519">
        <f>RTD("tos.rtd", , "LAST", ".RWM201120P29")</f>
        <v>0.42</v>
      </c>
      <c r="F519">
        <f>RTD("tos.rtd", , "VOLUME", ".RWM201120P29")</f>
        <v>0</v>
      </c>
      <c r="G519">
        <f>RTD("tos.rtd", , "OPEN_INT", ".RWM201120P29")</f>
        <v>5</v>
      </c>
      <c r="H519">
        <f>RTD("tos.rtd", , "BID", ".RWM201120P29")</f>
        <v>0.2</v>
      </c>
      <c r="I519">
        <f>RTD("tos.rtd", , "ASK", ".RWM201120P29")</f>
        <v>0.3</v>
      </c>
      <c r="J519">
        <f>RTD("tos.rtd", , "HIGH", ".RWM201120P29")</f>
        <v>0</v>
      </c>
      <c r="K519">
        <f>RTD("tos.rtd", , "LOW", ".RWM201120P29")</f>
        <v>0</v>
      </c>
      <c r="L519">
        <f>RTD("tos.rtd", , "OPEN", ".RWM201120P29")</f>
        <v>0</v>
      </c>
      <c r="M519" t="str">
        <f>RTD("tos.rtd", , "DELTA", ".RWM201120P29")</f>
        <v>N/A</v>
      </c>
      <c r="N519" t="str">
        <f>RTD("tos.rtd", , "GAMMA", ".RWM201120P29")</f>
        <v>N/A</v>
      </c>
      <c r="O519" t="str">
        <f>RTD("tos.rtd", , "THETA", ".RWM201120P29")</f>
        <v>N/A</v>
      </c>
      <c r="P519" t="str">
        <f>RTD("tos.rtd", , "VEGA", ".RWM201120P29")</f>
        <v>N/A</v>
      </c>
      <c r="Q519" t="str">
        <f>RTD("tos.rtd", , "RHO", ".RWM201120P29")</f>
        <v>N/A</v>
      </c>
      <c r="R519" t="str">
        <f>RTD("tos.rtd", , "INTRINSIC", ".RWM201120P29")</f>
        <v>N/A</v>
      </c>
      <c r="S519" t="str">
        <f>RTD("tos.rtd", , "EXTRINSIC", ".RWM201120P29")</f>
        <v>N/A</v>
      </c>
      <c r="T519" t="str">
        <f>RTD("tos.rtd", , "PROB_OF_EXPIRING", ".RWM201120P29")</f>
        <v>N/A</v>
      </c>
      <c r="U519" t="str">
        <f>RTD("tos.rtd", , "PROB_OTM", ".RWM201120P29")</f>
        <v>N/A</v>
      </c>
      <c r="V519" t="str">
        <f>RTD("tos.rtd", , "PROB_OF_TOUCHING", ".RWM201120P29")</f>
        <v>N/A</v>
      </c>
      <c r="W519" t="str">
        <f>RTD("tos.rtd", , "STRIKE", ".RWM201120P29")</f>
        <v>N/A</v>
      </c>
    </row>
    <row r="520" spans="1:23" x14ac:dyDescent="0.45">
      <c r="A520" t="s">
        <v>541</v>
      </c>
      <c r="B520" t="str">
        <f>RTD("tos.rtd", , "DESCRIPTION", "SCHD")</f>
        <v>N/A</v>
      </c>
      <c r="C520">
        <f>RTD("tos.rtd", , "PUT_CALL_RATIO", "SCHD")</f>
        <v>0.252</v>
      </c>
      <c r="D520" t="str">
        <f>RTD("tos.rtd", , "IMPL_VOL", "SCHD")</f>
        <v>23.80%</v>
      </c>
      <c r="E520">
        <f>RTD("tos.rtd", , "LAST", "SCHD")</f>
        <v>60.36</v>
      </c>
      <c r="F520">
        <f>RTD("tos.rtd", , "VOLUME", "SCHD")</f>
        <v>1766341</v>
      </c>
      <c r="G520">
        <f>RTD("tos.rtd", , "OPEN_INT", "SCHD")</f>
        <v>0</v>
      </c>
      <c r="H520">
        <f>RTD("tos.rtd", , "BID", "SCHD")</f>
        <v>60.2</v>
      </c>
      <c r="I520">
        <f>RTD("tos.rtd", , "ASK", "SCHD")</f>
        <v>60.3</v>
      </c>
      <c r="J520">
        <f>RTD("tos.rtd", , "HIGH", "SCHD")</f>
        <v>61.08</v>
      </c>
      <c r="K520">
        <f>RTD("tos.rtd", , "LOW", "SCHD")</f>
        <v>59.87</v>
      </c>
      <c r="L520">
        <f>RTD("tos.rtd", , "OPEN", "SCHD")</f>
        <v>61.08</v>
      </c>
      <c r="M520">
        <f>RTD("tos.rtd", , "DELTA", "SCHD")</f>
        <v>1</v>
      </c>
      <c r="N520">
        <f>RTD("tos.rtd", , "GAMMA", "SCHD")</f>
        <v>0</v>
      </c>
      <c r="O520">
        <f>RTD("tos.rtd", , "THETA", "SCHD")</f>
        <v>0</v>
      </c>
      <c r="P520">
        <f>RTD("tos.rtd", , "VEGA", "SCHD")</f>
        <v>0</v>
      </c>
      <c r="Q520">
        <f>RTD("tos.rtd", , "RHO", "SCHD")</f>
        <v>0</v>
      </c>
      <c r="R520" t="str">
        <f>RTD("tos.rtd", , "INTRINSIC", "SCHD")</f>
        <v>N/A</v>
      </c>
      <c r="S520" t="str">
        <f>RTD("tos.rtd", , "EXTRINSIC", "SCHD")</f>
        <v>N/A</v>
      </c>
      <c r="T520" t="str">
        <f>RTD("tos.rtd", , "PROB_OF_EXPIRING", "SCHD")</f>
        <v>N/A</v>
      </c>
      <c r="U520" t="str">
        <f>RTD("tos.rtd", , "PROB_OTM", "SCHD")</f>
        <v>N/A</v>
      </c>
      <c r="V520" t="str">
        <f>RTD("tos.rtd", , "PROB_OF_TOUCHING", "SCHD")</f>
        <v>N/A</v>
      </c>
      <c r="W520" t="str">
        <f>RTD("tos.rtd", , "STRIKE", "SCHD")</f>
        <v>N/A</v>
      </c>
    </row>
    <row r="521" spans="1:23" x14ac:dyDescent="0.45">
      <c r="A521" t="s">
        <v>542</v>
      </c>
      <c r="B521" t="str">
        <f>RTD("tos.rtd", , "DESCRIPTION", ".SCHD201120C61")</f>
        <v>N/A</v>
      </c>
      <c r="C521" t="str">
        <f>RTD("tos.rtd", , "PUT_CALL_RATIO", ".SCHD201120C61")</f>
        <v>N/A</v>
      </c>
      <c r="D521" t="str">
        <f>RTD("tos.rtd", , "IMPL_VOL", ".SCHD201120C61")</f>
        <v>N/A</v>
      </c>
      <c r="E521" t="str">
        <f>RTD("tos.rtd", , "LAST", ".SCHD201120C61")</f>
        <v>N/A</v>
      </c>
      <c r="F521" t="str">
        <f>RTD("tos.rtd", , "VOLUME", ".SCHD201120C61")</f>
        <v>N/A</v>
      </c>
      <c r="G521" t="str">
        <f>RTD("tos.rtd", , "OPEN_INT", ".SCHD201120C61")</f>
        <v>N/A</v>
      </c>
      <c r="H521" t="str">
        <f>RTD("tos.rtd", , "BID", ".SCHD201120C61")</f>
        <v>N/A</v>
      </c>
      <c r="I521" t="str">
        <f>RTD("tos.rtd", , "ASK", ".SCHD201120C61")</f>
        <v>N/A</v>
      </c>
      <c r="J521" t="str">
        <f>RTD("tos.rtd", , "HIGH", ".SCHD201120C61")</f>
        <v>N/A</v>
      </c>
      <c r="K521" t="str">
        <f>RTD("tos.rtd", , "LOW", ".SCHD201120C61")</f>
        <v>N/A</v>
      </c>
      <c r="L521" t="str">
        <f>RTD("tos.rtd", , "OPEN", ".SCHD201120C61")</f>
        <v>N/A</v>
      </c>
      <c r="M521" t="str">
        <f>RTD("tos.rtd", , "DELTA", ".SCHD201120C61")</f>
        <v>N/A</v>
      </c>
      <c r="N521" t="str">
        <f>RTD("tos.rtd", , "GAMMA", ".SCHD201120C61")</f>
        <v>N/A</v>
      </c>
      <c r="O521" t="str">
        <f>RTD("tos.rtd", , "THETA", ".SCHD201120C61")</f>
        <v>N/A</v>
      </c>
      <c r="P521" t="str">
        <f>RTD("tos.rtd", , "VEGA", ".SCHD201120C61")</f>
        <v>N/A</v>
      </c>
      <c r="Q521" t="str">
        <f>RTD("tos.rtd", , "RHO", ".SCHD201120C61")</f>
        <v>N/A</v>
      </c>
      <c r="R521" t="str">
        <f>RTD("tos.rtd", , "INTRINSIC", ".SCHD201120C61")</f>
        <v>N/A</v>
      </c>
      <c r="S521" t="str">
        <f>RTD("tos.rtd", , "EXTRINSIC", ".SCHD201120C61")</f>
        <v>N/A</v>
      </c>
      <c r="T521" t="str">
        <f>RTD("tos.rtd", , "PROB_OF_EXPIRING", ".SCHD201120C61")</f>
        <v>N/A</v>
      </c>
      <c r="U521" t="str">
        <f>RTD("tos.rtd", , "PROB_OTM", ".SCHD201120C61")</f>
        <v>N/A</v>
      </c>
      <c r="V521" t="str">
        <f>RTD("tos.rtd", , "PROB_OF_TOUCHING", ".SCHD201120C61")</f>
        <v>N/A</v>
      </c>
      <c r="W521" t="str">
        <f>RTD("tos.rtd", , "STRIKE", ".SCHD201120C61")</f>
        <v>N/A</v>
      </c>
    </row>
    <row r="522" spans="1:23" x14ac:dyDescent="0.45">
      <c r="A522" t="s">
        <v>543</v>
      </c>
      <c r="B522" t="str">
        <f>RTD("tos.rtd", , "DESCRIPTION", ".SCHD201120P61")</f>
        <v>N/A</v>
      </c>
      <c r="C522" t="str">
        <f>RTD("tos.rtd", , "PUT_CALL_RATIO", ".SCHD201120P61")</f>
        <v>N/A</v>
      </c>
      <c r="D522" t="str">
        <f>RTD("tos.rtd", , "IMPL_VOL", ".SCHD201120P61")</f>
        <v>N/A</v>
      </c>
      <c r="E522" t="str">
        <f>RTD("tos.rtd", , "LAST", ".SCHD201120P61")</f>
        <v>N/A</v>
      </c>
      <c r="F522" t="str">
        <f>RTD("tos.rtd", , "VOLUME", ".SCHD201120P61")</f>
        <v>N/A</v>
      </c>
      <c r="G522" t="str">
        <f>RTD("tos.rtd", , "OPEN_INT", ".SCHD201120P61")</f>
        <v>N/A</v>
      </c>
      <c r="H522" t="str">
        <f>RTD("tos.rtd", , "BID", ".SCHD201120P61")</f>
        <v>N/A</v>
      </c>
      <c r="I522" t="str">
        <f>RTD("tos.rtd", , "ASK", ".SCHD201120P61")</f>
        <v>N/A</v>
      </c>
      <c r="J522" t="str">
        <f>RTD("tos.rtd", , "HIGH", ".SCHD201120P61")</f>
        <v>N/A</v>
      </c>
      <c r="K522" t="str">
        <f>RTD("tos.rtd", , "LOW", ".SCHD201120P61")</f>
        <v>N/A</v>
      </c>
      <c r="L522" t="str">
        <f>RTD("tos.rtd", , "OPEN", ".SCHD201120P61")</f>
        <v>N/A</v>
      </c>
      <c r="M522" t="str">
        <f>RTD("tos.rtd", , "DELTA", ".SCHD201120P61")</f>
        <v>N/A</v>
      </c>
      <c r="N522" t="str">
        <f>RTD("tos.rtd", , "GAMMA", ".SCHD201120P61")</f>
        <v>N/A</v>
      </c>
      <c r="O522" t="str">
        <f>RTD("tos.rtd", , "THETA", ".SCHD201120P61")</f>
        <v>N/A</v>
      </c>
      <c r="P522" t="str">
        <f>RTD("tos.rtd", , "VEGA", ".SCHD201120P61")</f>
        <v>N/A</v>
      </c>
      <c r="Q522" t="str">
        <f>RTD("tos.rtd", , "RHO", ".SCHD201120P61")</f>
        <v>N/A</v>
      </c>
      <c r="R522" t="str">
        <f>RTD("tos.rtd", , "INTRINSIC", ".SCHD201120P61")</f>
        <v>N/A</v>
      </c>
      <c r="S522" t="str">
        <f>RTD("tos.rtd", , "EXTRINSIC", ".SCHD201120P61")</f>
        <v>N/A</v>
      </c>
      <c r="T522" t="str">
        <f>RTD("tos.rtd", , "PROB_OF_EXPIRING", ".SCHD201120P61")</f>
        <v>N/A</v>
      </c>
      <c r="U522" t="str">
        <f>RTD("tos.rtd", , "PROB_OTM", ".SCHD201120P61")</f>
        <v>N/A</v>
      </c>
      <c r="V522" t="str">
        <f>RTD("tos.rtd", , "PROB_OF_TOUCHING", ".SCHD201120P61")</f>
        <v>N/A</v>
      </c>
      <c r="W522" t="str">
        <f>RTD("tos.rtd", , "STRIKE", ".SCHD201120P61")</f>
        <v>N/A</v>
      </c>
    </row>
    <row r="523" spans="1:23" x14ac:dyDescent="0.45">
      <c r="A523" t="s">
        <v>544</v>
      </c>
      <c r="B523" t="str">
        <f>RTD("tos.rtd", , "DESCRIPTION", ".SCHD201120C62")</f>
        <v>N/A</v>
      </c>
      <c r="C523" t="str">
        <f>RTD("tos.rtd", , "PUT_CALL_RATIO", ".SCHD201120C62")</f>
        <v>N/A</v>
      </c>
      <c r="D523" t="str">
        <f>RTD("tos.rtd", , "IMPL_VOL", ".SCHD201120C62")</f>
        <v>N/A</v>
      </c>
      <c r="E523" t="str">
        <f>RTD("tos.rtd", , "LAST", ".SCHD201120C62")</f>
        <v>N/A</v>
      </c>
      <c r="F523" t="str">
        <f>RTD("tos.rtd", , "VOLUME", ".SCHD201120C62")</f>
        <v>N/A</v>
      </c>
      <c r="G523" t="str">
        <f>RTD("tos.rtd", , "OPEN_INT", ".SCHD201120C62")</f>
        <v>N/A</v>
      </c>
      <c r="H523" t="str">
        <f>RTD("tos.rtd", , "BID", ".SCHD201120C62")</f>
        <v>N/A</v>
      </c>
      <c r="I523" t="str">
        <f>RTD("tos.rtd", , "ASK", ".SCHD201120C62")</f>
        <v>N/A</v>
      </c>
      <c r="J523" t="str">
        <f>RTD("tos.rtd", , "HIGH", ".SCHD201120C62")</f>
        <v>N/A</v>
      </c>
      <c r="K523" t="str">
        <f>RTD("tos.rtd", , "LOW", ".SCHD201120C62")</f>
        <v>N/A</v>
      </c>
      <c r="L523" t="str">
        <f>RTD("tos.rtd", , "OPEN", ".SCHD201120C62")</f>
        <v>N/A</v>
      </c>
      <c r="M523" t="str">
        <f>RTD("tos.rtd", , "DELTA", ".SCHD201120C62")</f>
        <v>N/A</v>
      </c>
      <c r="N523" t="str">
        <f>RTD("tos.rtd", , "GAMMA", ".SCHD201120C62")</f>
        <v>N/A</v>
      </c>
      <c r="O523" t="str">
        <f>RTD("tos.rtd", , "THETA", ".SCHD201120C62")</f>
        <v>N/A</v>
      </c>
      <c r="P523" t="str">
        <f>RTD("tos.rtd", , "VEGA", ".SCHD201120C62")</f>
        <v>N/A</v>
      </c>
      <c r="Q523" t="str">
        <f>RTD("tos.rtd", , "RHO", ".SCHD201120C62")</f>
        <v>N/A</v>
      </c>
      <c r="R523" t="str">
        <f>RTD("tos.rtd", , "INTRINSIC", ".SCHD201120C62")</f>
        <v>N/A</v>
      </c>
      <c r="S523" t="str">
        <f>RTD("tos.rtd", , "EXTRINSIC", ".SCHD201120C62")</f>
        <v>N/A</v>
      </c>
      <c r="T523" t="str">
        <f>RTD("tos.rtd", , "PROB_OF_EXPIRING", ".SCHD201120C62")</f>
        <v>N/A</v>
      </c>
      <c r="U523" t="str">
        <f>RTD("tos.rtd", , "PROB_OTM", ".SCHD201120C62")</f>
        <v>N/A</v>
      </c>
      <c r="V523" t="str">
        <f>RTD("tos.rtd", , "PROB_OF_TOUCHING", ".SCHD201120C62")</f>
        <v>N/A</v>
      </c>
      <c r="W523" t="str">
        <f>RTD("tos.rtd", , "STRIKE", ".SCHD201120C62")</f>
        <v>N/A</v>
      </c>
    </row>
    <row r="524" spans="1:23" x14ac:dyDescent="0.45">
      <c r="A524" t="s">
        <v>545</v>
      </c>
      <c r="B524" t="str">
        <f>RTD("tos.rtd", , "DESCRIPTION", ".SCHD201120P62")</f>
        <v>N/A</v>
      </c>
      <c r="C524" t="str">
        <f>RTD("tos.rtd", , "PUT_CALL_RATIO", ".SCHD201120P62")</f>
        <v>N/A</v>
      </c>
      <c r="D524" t="str">
        <f>RTD("tos.rtd", , "IMPL_VOL", ".SCHD201120P62")</f>
        <v>N/A</v>
      </c>
      <c r="E524" t="str">
        <f>RTD("tos.rtd", , "LAST", ".SCHD201120P62")</f>
        <v>N/A</v>
      </c>
      <c r="F524" t="str">
        <f>RTD("tos.rtd", , "VOLUME", ".SCHD201120P62")</f>
        <v>N/A</v>
      </c>
      <c r="G524" t="str">
        <f>RTD("tos.rtd", , "OPEN_INT", ".SCHD201120P62")</f>
        <v>N/A</v>
      </c>
      <c r="H524" t="str">
        <f>RTD("tos.rtd", , "BID", ".SCHD201120P62")</f>
        <v>N/A</v>
      </c>
      <c r="I524" t="str">
        <f>RTD("tos.rtd", , "ASK", ".SCHD201120P62")</f>
        <v>N/A</v>
      </c>
      <c r="J524" t="str">
        <f>RTD("tos.rtd", , "HIGH", ".SCHD201120P62")</f>
        <v>N/A</v>
      </c>
      <c r="K524" t="str">
        <f>RTD("tos.rtd", , "LOW", ".SCHD201120P62")</f>
        <v>N/A</v>
      </c>
      <c r="L524" t="str">
        <f>RTD("tos.rtd", , "OPEN", ".SCHD201120P62")</f>
        <v>N/A</v>
      </c>
      <c r="M524" t="str">
        <f>RTD("tos.rtd", , "DELTA", ".SCHD201120P62")</f>
        <v>N/A</v>
      </c>
      <c r="N524" t="str">
        <f>RTD("tos.rtd", , "GAMMA", ".SCHD201120P62")</f>
        <v>N/A</v>
      </c>
      <c r="O524" t="str">
        <f>RTD("tos.rtd", , "THETA", ".SCHD201120P62")</f>
        <v>N/A</v>
      </c>
      <c r="P524" t="str">
        <f>RTD("tos.rtd", , "VEGA", ".SCHD201120P62")</f>
        <v>N/A</v>
      </c>
      <c r="Q524" t="str">
        <f>RTD("tos.rtd", , "RHO", ".SCHD201120P62")</f>
        <v>N/A</v>
      </c>
      <c r="R524" t="str">
        <f>RTD("tos.rtd", , "INTRINSIC", ".SCHD201120P62")</f>
        <v>N/A</v>
      </c>
      <c r="S524" t="str">
        <f>RTD("tos.rtd", , "EXTRINSIC", ".SCHD201120P62")</f>
        <v>N/A</v>
      </c>
      <c r="T524" t="str">
        <f>RTD("tos.rtd", , "PROB_OF_EXPIRING", ".SCHD201120P62")</f>
        <v>N/A</v>
      </c>
      <c r="U524" t="str">
        <f>RTD("tos.rtd", , "PROB_OTM", ".SCHD201120P62")</f>
        <v>N/A</v>
      </c>
      <c r="V524" t="str">
        <f>RTD("tos.rtd", , "PROB_OF_TOUCHING", ".SCHD201120P62")</f>
        <v>N/A</v>
      </c>
      <c r="W524" t="str">
        <f>RTD("tos.rtd", , "STRIKE", ".SCHD201120P62")</f>
        <v>N/A</v>
      </c>
    </row>
    <row r="525" spans="1:23" x14ac:dyDescent="0.45">
      <c r="A525" t="s">
        <v>546</v>
      </c>
      <c r="B525" t="str">
        <f>RTD("tos.rtd", , "DESCRIPTION", "SCHE")</f>
        <v>N/A</v>
      </c>
      <c r="C525">
        <f>RTD("tos.rtd", , "PUT_CALL_RATIO", "SCHE")</f>
        <v>9.0999999999999998E-2</v>
      </c>
      <c r="D525" t="str">
        <f>RTD("tos.rtd", , "IMPL_VOL", "SCHE")</f>
        <v>20.46%</v>
      </c>
      <c r="E525">
        <f>RTD("tos.rtd", , "LAST", "SCHE")</f>
        <v>28.89</v>
      </c>
      <c r="F525">
        <f>RTD("tos.rtd", , "VOLUME", "SCHE")</f>
        <v>1346288</v>
      </c>
      <c r="G525">
        <f>RTD("tos.rtd", , "OPEN_INT", "SCHE")</f>
        <v>0</v>
      </c>
      <c r="H525">
        <f>RTD("tos.rtd", , "BID", "SCHE")</f>
        <v>25</v>
      </c>
      <c r="I525">
        <f>RTD("tos.rtd", , "ASK", "SCHE")</f>
        <v>35.520000000000003</v>
      </c>
      <c r="J525">
        <f>RTD("tos.rtd", , "HIGH", "SCHE")</f>
        <v>29.27</v>
      </c>
      <c r="K525">
        <f>RTD("tos.rtd", , "LOW", "SCHE")</f>
        <v>28.815000000000001</v>
      </c>
      <c r="L525">
        <f>RTD("tos.rtd", , "OPEN", "SCHE")</f>
        <v>29.16</v>
      </c>
      <c r="M525">
        <f>RTD("tos.rtd", , "DELTA", "SCHE")</f>
        <v>1</v>
      </c>
      <c r="N525">
        <f>RTD("tos.rtd", , "GAMMA", "SCHE")</f>
        <v>0</v>
      </c>
      <c r="O525">
        <f>RTD("tos.rtd", , "THETA", "SCHE")</f>
        <v>0</v>
      </c>
      <c r="P525">
        <f>RTD("tos.rtd", , "VEGA", "SCHE")</f>
        <v>0</v>
      </c>
      <c r="Q525">
        <f>RTD("tos.rtd", , "RHO", "SCHE")</f>
        <v>0</v>
      </c>
      <c r="R525" t="str">
        <f>RTD("tos.rtd", , "INTRINSIC", "SCHE")</f>
        <v>N/A</v>
      </c>
      <c r="S525" t="str">
        <f>RTD("tos.rtd", , "EXTRINSIC", "SCHE")</f>
        <v>N/A</v>
      </c>
      <c r="T525" t="str">
        <f>RTD("tos.rtd", , "PROB_OF_EXPIRING", "SCHE")</f>
        <v>N/A</v>
      </c>
      <c r="U525" t="str">
        <f>RTD("tos.rtd", , "PROB_OTM", "SCHE")</f>
        <v>N/A</v>
      </c>
      <c r="V525" t="str">
        <f>RTD("tos.rtd", , "PROB_OF_TOUCHING", "SCHE")</f>
        <v>N/A</v>
      </c>
      <c r="W525" t="str">
        <f>RTD("tos.rtd", , "STRIKE", "SCHE")</f>
        <v>N/A</v>
      </c>
    </row>
    <row r="526" spans="1:23" x14ac:dyDescent="0.45">
      <c r="A526" t="s">
        <v>547</v>
      </c>
      <c r="B526" t="str">
        <f>RTD("tos.rtd", , "DESCRIPTION", ".SCHE201120C29")</f>
        <v>N/A</v>
      </c>
      <c r="C526" t="str">
        <f>RTD("tos.rtd", , "PUT_CALL_RATIO", ".SCHE201120C29")</f>
        <v>N/A</v>
      </c>
      <c r="D526" t="str">
        <f>RTD("tos.rtd", , "IMPL_VOL", ".SCHE201120C29")</f>
        <v>N/A</v>
      </c>
      <c r="E526" t="str">
        <f>RTD("tos.rtd", , "LAST", ".SCHE201120C29")</f>
        <v>N/A</v>
      </c>
      <c r="F526" t="str">
        <f>RTD("tos.rtd", , "VOLUME", ".SCHE201120C29")</f>
        <v>N/A</v>
      </c>
      <c r="G526" t="str">
        <f>RTD("tos.rtd", , "OPEN_INT", ".SCHE201120C29")</f>
        <v>N/A</v>
      </c>
      <c r="H526" t="str">
        <f>RTD("tos.rtd", , "BID", ".SCHE201120C29")</f>
        <v>N/A</v>
      </c>
      <c r="I526" t="str">
        <f>RTD("tos.rtd", , "ASK", ".SCHE201120C29")</f>
        <v>N/A</v>
      </c>
      <c r="J526" t="str">
        <f>RTD("tos.rtd", , "HIGH", ".SCHE201120C29")</f>
        <v>N/A</v>
      </c>
      <c r="K526" t="str">
        <f>RTD("tos.rtd", , "LOW", ".SCHE201120C29")</f>
        <v>N/A</v>
      </c>
      <c r="L526" t="str">
        <f>RTD("tos.rtd", , "OPEN", ".SCHE201120C29")</f>
        <v>N/A</v>
      </c>
      <c r="M526" t="str">
        <f>RTD("tos.rtd", , "DELTA", ".SCHE201120C29")</f>
        <v>N/A</v>
      </c>
      <c r="N526" t="str">
        <f>RTD("tos.rtd", , "GAMMA", ".SCHE201120C29")</f>
        <v>N/A</v>
      </c>
      <c r="O526" t="str">
        <f>RTD("tos.rtd", , "THETA", ".SCHE201120C29")</f>
        <v>N/A</v>
      </c>
      <c r="P526" t="str">
        <f>RTD("tos.rtd", , "VEGA", ".SCHE201120C29")</f>
        <v>N/A</v>
      </c>
      <c r="Q526" t="str">
        <f>RTD("tos.rtd", , "RHO", ".SCHE201120C29")</f>
        <v>N/A</v>
      </c>
      <c r="R526" t="str">
        <f>RTD("tos.rtd", , "INTRINSIC", ".SCHE201120C29")</f>
        <v>N/A</v>
      </c>
      <c r="S526" t="str">
        <f>RTD("tos.rtd", , "EXTRINSIC", ".SCHE201120C29")</f>
        <v>N/A</v>
      </c>
      <c r="T526" t="str">
        <f>RTD("tos.rtd", , "PROB_OF_EXPIRING", ".SCHE201120C29")</f>
        <v>N/A</v>
      </c>
      <c r="U526" t="str">
        <f>RTD("tos.rtd", , "PROB_OTM", ".SCHE201120C29")</f>
        <v>N/A</v>
      </c>
      <c r="V526" t="str">
        <f>RTD("tos.rtd", , "PROB_OF_TOUCHING", ".SCHE201120C29")</f>
        <v>N/A</v>
      </c>
      <c r="W526" t="str">
        <f>RTD("tos.rtd", , "STRIKE", ".SCHE201120C29")</f>
        <v>N/A</v>
      </c>
    </row>
    <row r="527" spans="1:23" x14ac:dyDescent="0.45">
      <c r="A527" t="s">
        <v>548</v>
      </c>
      <c r="B527" t="str">
        <f>RTD("tos.rtd", , "DESCRIPTION", ".SCHE201120P29")</f>
        <v>N/A</v>
      </c>
      <c r="C527" t="str">
        <f>RTD("tos.rtd", , "PUT_CALL_RATIO", ".SCHE201120P29")</f>
        <v>N/A</v>
      </c>
      <c r="D527" t="str">
        <f>RTD("tos.rtd", , "IMPL_VOL", ".SCHE201120P29")</f>
        <v>N/A</v>
      </c>
      <c r="E527" t="str">
        <f>RTD("tos.rtd", , "LAST", ".SCHE201120P29")</f>
        <v>N/A</v>
      </c>
      <c r="F527" t="str">
        <f>RTD("tos.rtd", , "VOLUME", ".SCHE201120P29")</f>
        <v>N/A</v>
      </c>
      <c r="G527" t="str">
        <f>RTD("tos.rtd", , "OPEN_INT", ".SCHE201120P29")</f>
        <v>N/A</v>
      </c>
      <c r="H527" t="str">
        <f>RTD("tos.rtd", , "BID", ".SCHE201120P29")</f>
        <v>N/A</v>
      </c>
      <c r="I527" t="str">
        <f>RTD("tos.rtd", , "ASK", ".SCHE201120P29")</f>
        <v>N/A</v>
      </c>
      <c r="J527" t="str">
        <f>RTD("tos.rtd", , "HIGH", ".SCHE201120P29")</f>
        <v>N/A</v>
      </c>
      <c r="K527" t="str">
        <f>RTD("tos.rtd", , "LOW", ".SCHE201120P29")</f>
        <v>N/A</v>
      </c>
      <c r="L527" t="str">
        <f>RTD("tos.rtd", , "OPEN", ".SCHE201120P29")</f>
        <v>N/A</v>
      </c>
      <c r="M527" t="str">
        <f>RTD("tos.rtd", , "DELTA", ".SCHE201120P29")</f>
        <v>N/A</v>
      </c>
      <c r="N527" t="str">
        <f>RTD("tos.rtd", , "GAMMA", ".SCHE201120P29")</f>
        <v>N/A</v>
      </c>
      <c r="O527" t="str">
        <f>RTD("tos.rtd", , "THETA", ".SCHE201120P29")</f>
        <v>N/A</v>
      </c>
      <c r="P527" t="str">
        <f>RTD("tos.rtd", , "VEGA", ".SCHE201120P29")</f>
        <v>N/A</v>
      </c>
      <c r="Q527" t="str">
        <f>RTD("tos.rtd", , "RHO", ".SCHE201120P29")</f>
        <v>N/A</v>
      </c>
      <c r="R527" t="str">
        <f>RTD("tos.rtd", , "INTRINSIC", ".SCHE201120P29")</f>
        <v>N/A</v>
      </c>
      <c r="S527" t="str">
        <f>RTD("tos.rtd", , "EXTRINSIC", ".SCHE201120P29")</f>
        <v>N/A</v>
      </c>
      <c r="T527" t="str">
        <f>RTD("tos.rtd", , "PROB_OF_EXPIRING", ".SCHE201120P29")</f>
        <v>N/A</v>
      </c>
      <c r="U527" t="str">
        <f>RTD("tos.rtd", , "PROB_OTM", ".SCHE201120P29")</f>
        <v>N/A</v>
      </c>
      <c r="V527" t="str">
        <f>RTD("tos.rtd", , "PROB_OF_TOUCHING", ".SCHE201120P29")</f>
        <v>N/A</v>
      </c>
      <c r="W527" t="str">
        <f>RTD("tos.rtd", , "STRIKE", ".SCHE201120P29")</f>
        <v>N/A</v>
      </c>
    </row>
    <row r="528" spans="1:23" x14ac:dyDescent="0.45">
      <c r="A528" t="s">
        <v>549</v>
      </c>
      <c r="B528" t="str">
        <f>RTD("tos.rtd", , "DESCRIPTION", "SCHF")</f>
        <v>N/A</v>
      </c>
      <c r="C528">
        <f>RTD("tos.rtd", , "PUT_CALL_RATIO", "SCHF")</f>
        <v>0.08</v>
      </c>
      <c r="D528" t="str">
        <f>RTD("tos.rtd", , "IMPL_VOL", "SCHF")</f>
        <v>41.44%</v>
      </c>
      <c r="E528">
        <f>RTD("tos.rtd", , "LAST", "SCHF")</f>
        <v>33.6</v>
      </c>
      <c r="F528">
        <f>RTD("tos.rtd", , "VOLUME", "SCHF")</f>
        <v>3204982</v>
      </c>
      <c r="G528">
        <f>RTD("tos.rtd", , "OPEN_INT", "SCHF")</f>
        <v>0</v>
      </c>
      <c r="H528">
        <f>RTD("tos.rtd", , "BID", "SCHF")</f>
        <v>33.31</v>
      </c>
      <c r="I528">
        <f>RTD("tos.rtd", , "ASK", "SCHF")</f>
        <v>33.83</v>
      </c>
      <c r="J528">
        <f>RTD("tos.rtd", , "HIGH", "SCHF")</f>
        <v>33.909999999999997</v>
      </c>
      <c r="K528">
        <f>RTD("tos.rtd", , "LOW", "SCHF")</f>
        <v>33.514099999999999</v>
      </c>
      <c r="L528">
        <f>RTD("tos.rtd", , "OPEN", "SCHF")</f>
        <v>33.83</v>
      </c>
      <c r="M528">
        <f>RTD("tos.rtd", , "DELTA", "SCHF")</f>
        <v>1</v>
      </c>
      <c r="N528">
        <f>RTD("tos.rtd", , "GAMMA", "SCHF")</f>
        <v>0</v>
      </c>
      <c r="O528">
        <f>RTD("tos.rtd", , "THETA", "SCHF")</f>
        <v>0</v>
      </c>
      <c r="P528">
        <f>RTD("tos.rtd", , "VEGA", "SCHF")</f>
        <v>0</v>
      </c>
      <c r="Q528">
        <f>RTD("tos.rtd", , "RHO", "SCHF")</f>
        <v>0</v>
      </c>
      <c r="R528" t="str">
        <f>RTD("tos.rtd", , "INTRINSIC", "SCHF")</f>
        <v>N/A</v>
      </c>
      <c r="S528" t="str">
        <f>RTD("tos.rtd", , "EXTRINSIC", "SCHF")</f>
        <v>N/A</v>
      </c>
      <c r="T528" t="str">
        <f>RTD("tos.rtd", , "PROB_OF_EXPIRING", "SCHF")</f>
        <v>N/A</v>
      </c>
      <c r="U528" t="str">
        <f>RTD("tos.rtd", , "PROB_OTM", "SCHF")</f>
        <v>N/A</v>
      </c>
      <c r="V528" t="str">
        <f>RTD("tos.rtd", , "PROB_OF_TOUCHING", "SCHF")</f>
        <v>N/A</v>
      </c>
      <c r="W528" t="str">
        <f>RTD("tos.rtd", , "STRIKE", "SCHF")</f>
        <v>N/A</v>
      </c>
    </row>
    <row r="529" spans="1:23" x14ac:dyDescent="0.45">
      <c r="A529" t="s">
        <v>550</v>
      </c>
      <c r="B529" t="str">
        <f>RTD("tos.rtd", , "DESCRIPTION", ".SCHF201120C34")</f>
        <v>N/A</v>
      </c>
      <c r="C529" t="str">
        <f>RTD("tos.rtd", , "PUT_CALL_RATIO", ".SCHF201120C34")</f>
        <v>N/A</v>
      </c>
      <c r="D529" t="str">
        <f>RTD("tos.rtd", , "IMPL_VOL", ".SCHF201120C34")</f>
        <v>N/A</v>
      </c>
      <c r="E529" t="str">
        <f>RTD("tos.rtd", , "LAST", ".SCHF201120C34")</f>
        <v>N/A</v>
      </c>
      <c r="F529" t="str">
        <f>RTD("tos.rtd", , "VOLUME", ".SCHF201120C34")</f>
        <v>N/A</v>
      </c>
      <c r="G529" t="str">
        <f>RTD("tos.rtd", , "OPEN_INT", ".SCHF201120C34")</f>
        <v>N/A</v>
      </c>
      <c r="H529" t="str">
        <f>RTD("tos.rtd", , "BID", ".SCHF201120C34")</f>
        <v>N/A</v>
      </c>
      <c r="I529" t="str">
        <f>RTD("tos.rtd", , "ASK", ".SCHF201120C34")</f>
        <v>N/A</v>
      </c>
      <c r="J529" t="str">
        <f>RTD("tos.rtd", , "HIGH", ".SCHF201120C34")</f>
        <v>N/A</v>
      </c>
      <c r="K529" t="str">
        <f>RTD("tos.rtd", , "LOW", ".SCHF201120C34")</f>
        <v>N/A</v>
      </c>
      <c r="L529" t="str">
        <f>RTD("tos.rtd", , "OPEN", ".SCHF201120C34")</f>
        <v>N/A</v>
      </c>
      <c r="M529" t="str">
        <f>RTD("tos.rtd", , "DELTA", ".SCHF201120C34")</f>
        <v>N/A</v>
      </c>
      <c r="N529" t="str">
        <f>RTD("tos.rtd", , "GAMMA", ".SCHF201120C34")</f>
        <v>N/A</v>
      </c>
      <c r="O529" t="str">
        <f>RTD("tos.rtd", , "THETA", ".SCHF201120C34")</f>
        <v>N/A</v>
      </c>
      <c r="P529" t="str">
        <f>RTD("tos.rtd", , "VEGA", ".SCHF201120C34")</f>
        <v>N/A</v>
      </c>
      <c r="Q529" t="str">
        <f>RTD("tos.rtd", , "RHO", ".SCHF201120C34")</f>
        <v>N/A</v>
      </c>
      <c r="R529" t="str">
        <f>RTD("tos.rtd", , "INTRINSIC", ".SCHF201120C34")</f>
        <v>N/A</v>
      </c>
      <c r="S529" t="str">
        <f>RTD("tos.rtd", , "EXTRINSIC", ".SCHF201120C34")</f>
        <v>N/A</v>
      </c>
      <c r="T529" t="str">
        <f>RTD("tos.rtd", , "PROB_OF_EXPIRING", ".SCHF201120C34")</f>
        <v>N/A</v>
      </c>
      <c r="U529" t="str">
        <f>RTD("tos.rtd", , "PROB_OTM", ".SCHF201120C34")</f>
        <v>N/A</v>
      </c>
      <c r="V529" t="str">
        <f>RTD("tos.rtd", , "PROB_OF_TOUCHING", ".SCHF201120C34")</f>
        <v>N/A</v>
      </c>
      <c r="W529" t="str">
        <f>RTD("tos.rtd", , "STRIKE", ".SCHF201120C34")</f>
        <v>N/A</v>
      </c>
    </row>
    <row r="530" spans="1:23" x14ac:dyDescent="0.45">
      <c r="A530" t="s">
        <v>551</v>
      </c>
      <c r="B530" t="str">
        <f>RTD("tos.rtd", , "DESCRIPTION", ".SCHF201120P34")</f>
        <v>N/A</v>
      </c>
      <c r="C530" t="str">
        <f>RTD("tos.rtd", , "PUT_CALL_RATIO", ".SCHF201120P34")</f>
        <v>N/A</v>
      </c>
      <c r="D530" t="str">
        <f>RTD("tos.rtd", , "IMPL_VOL", ".SCHF201120P34")</f>
        <v>N/A</v>
      </c>
      <c r="E530" t="str">
        <f>RTD("tos.rtd", , "LAST", ".SCHF201120P34")</f>
        <v>N/A</v>
      </c>
      <c r="F530" t="str">
        <f>RTD("tos.rtd", , "VOLUME", ".SCHF201120P34")</f>
        <v>N/A</v>
      </c>
      <c r="G530" t="str">
        <f>RTD("tos.rtd", , "OPEN_INT", ".SCHF201120P34")</f>
        <v>N/A</v>
      </c>
      <c r="H530" t="str">
        <f>RTD("tos.rtd", , "BID", ".SCHF201120P34")</f>
        <v>N/A</v>
      </c>
      <c r="I530" t="str">
        <f>RTD("tos.rtd", , "ASK", ".SCHF201120P34")</f>
        <v>N/A</v>
      </c>
      <c r="J530" t="str">
        <f>RTD("tos.rtd", , "HIGH", ".SCHF201120P34")</f>
        <v>N/A</v>
      </c>
      <c r="K530" t="str">
        <f>RTD("tos.rtd", , "LOW", ".SCHF201120P34")</f>
        <v>N/A</v>
      </c>
      <c r="L530" t="str">
        <f>RTD("tos.rtd", , "OPEN", ".SCHF201120P34")</f>
        <v>N/A</v>
      </c>
      <c r="M530" t="str">
        <f>RTD("tos.rtd", , "DELTA", ".SCHF201120P34")</f>
        <v>N/A</v>
      </c>
      <c r="N530" t="str">
        <f>RTD("tos.rtd", , "GAMMA", ".SCHF201120P34")</f>
        <v>N/A</v>
      </c>
      <c r="O530" t="str">
        <f>RTD("tos.rtd", , "THETA", ".SCHF201120P34")</f>
        <v>N/A</v>
      </c>
      <c r="P530" t="str">
        <f>RTD("tos.rtd", , "VEGA", ".SCHF201120P34")</f>
        <v>N/A</v>
      </c>
      <c r="Q530" t="str">
        <f>RTD("tos.rtd", , "RHO", ".SCHF201120P34")</f>
        <v>N/A</v>
      </c>
      <c r="R530" t="str">
        <f>RTD("tos.rtd", , "INTRINSIC", ".SCHF201120P34")</f>
        <v>N/A</v>
      </c>
      <c r="S530" t="str">
        <f>RTD("tos.rtd", , "EXTRINSIC", ".SCHF201120P34")</f>
        <v>N/A</v>
      </c>
      <c r="T530" t="str">
        <f>RTD("tos.rtd", , "PROB_OF_EXPIRING", ".SCHF201120P34")</f>
        <v>N/A</v>
      </c>
      <c r="U530" t="str">
        <f>RTD("tos.rtd", , "PROB_OTM", ".SCHF201120P34")</f>
        <v>N/A</v>
      </c>
      <c r="V530" t="str">
        <f>RTD("tos.rtd", , "PROB_OF_TOUCHING", ".SCHF201120P34")</f>
        <v>N/A</v>
      </c>
      <c r="W530" t="str">
        <f>RTD("tos.rtd", , "STRIKE", ".SCHF201120P34")</f>
        <v>N/A</v>
      </c>
    </row>
    <row r="531" spans="1:23" x14ac:dyDescent="0.45">
      <c r="A531" t="s">
        <v>552</v>
      </c>
      <c r="B531" t="str">
        <f>RTD("tos.rtd", , "DESCRIPTION", "SCHP")</f>
        <v>N/A</v>
      </c>
      <c r="C531">
        <f>RTD("tos.rtd", , "PUT_CALL_RATIO", "SCHP")</f>
        <v>4</v>
      </c>
      <c r="D531" t="str">
        <f>RTD("tos.rtd", , "IMPL_VOL", "SCHP")</f>
        <v>3.15%</v>
      </c>
      <c r="E531">
        <f>RTD("tos.rtd", , "LAST", "SCHP")</f>
        <v>61.03</v>
      </c>
      <c r="F531">
        <f>RTD("tos.rtd", , "VOLUME", "SCHP")</f>
        <v>1140948</v>
      </c>
      <c r="G531">
        <f>RTD("tos.rtd", , "OPEN_INT", "SCHP")</f>
        <v>0</v>
      </c>
      <c r="H531">
        <f>RTD("tos.rtd", , "BID", "SCHP")</f>
        <v>60</v>
      </c>
      <c r="I531">
        <f>RTD("tos.rtd", , "ASK", "SCHP")</f>
        <v>61.42</v>
      </c>
      <c r="J531">
        <f>RTD("tos.rtd", , "HIGH", "SCHP")</f>
        <v>61.09</v>
      </c>
      <c r="K531">
        <f>RTD("tos.rtd", , "LOW", "SCHP")</f>
        <v>60.954999999999998</v>
      </c>
      <c r="L531">
        <f>RTD("tos.rtd", , "OPEN", "SCHP")</f>
        <v>60.98</v>
      </c>
      <c r="M531">
        <f>RTD("tos.rtd", , "DELTA", "SCHP")</f>
        <v>1</v>
      </c>
      <c r="N531">
        <f>RTD("tos.rtd", , "GAMMA", "SCHP")</f>
        <v>0</v>
      </c>
      <c r="O531">
        <f>RTD("tos.rtd", , "THETA", "SCHP")</f>
        <v>0</v>
      </c>
      <c r="P531">
        <f>RTD("tos.rtd", , "VEGA", "SCHP")</f>
        <v>0</v>
      </c>
      <c r="Q531">
        <f>RTD("tos.rtd", , "RHO", "SCHP")</f>
        <v>0</v>
      </c>
      <c r="R531" t="str">
        <f>RTD("tos.rtd", , "INTRINSIC", "SCHP")</f>
        <v>N/A</v>
      </c>
      <c r="S531" t="str">
        <f>RTD("tos.rtd", , "EXTRINSIC", "SCHP")</f>
        <v>N/A</v>
      </c>
      <c r="T531" t="str">
        <f>RTD("tos.rtd", , "PROB_OF_EXPIRING", "SCHP")</f>
        <v>N/A</v>
      </c>
      <c r="U531" t="str">
        <f>RTD("tos.rtd", , "PROB_OTM", "SCHP")</f>
        <v>N/A</v>
      </c>
      <c r="V531" t="str">
        <f>RTD("tos.rtd", , "PROB_OF_TOUCHING", "SCHP")</f>
        <v>N/A</v>
      </c>
      <c r="W531" t="str">
        <f>RTD("tos.rtd", , "STRIKE", "SCHP")</f>
        <v>N/A</v>
      </c>
    </row>
    <row r="532" spans="1:23" x14ac:dyDescent="0.45">
      <c r="A532" t="s">
        <v>553</v>
      </c>
      <c r="B532" t="str">
        <f>RTD("tos.rtd", , "DESCRIPTION", ".SCHP201120C61")</f>
        <v>N/A</v>
      </c>
      <c r="C532" t="str">
        <f>RTD("tos.rtd", , "PUT_CALL_RATIO", ".SCHP201120C61")</f>
        <v>N/A</v>
      </c>
      <c r="D532" t="str">
        <f>RTD("tos.rtd", , "IMPL_VOL", ".SCHP201120C61")</f>
        <v>N/A</v>
      </c>
      <c r="E532">
        <f>RTD("tos.rtd", , "LAST", ".SCHP201120C61")</f>
        <v>0.9</v>
      </c>
      <c r="F532">
        <f>RTD("tos.rtd", , "VOLUME", ".SCHP201120C61")</f>
        <v>0</v>
      </c>
      <c r="G532">
        <f>RTD("tos.rtd", , "OPEN_INT", ".SCHP201120C61")</f>
        <v>1</v>
      </c>
      <c r="H532">
        <f>RTD("tos.rtd", , "BID", ".SCHP201120C61")</f>
        <v>0.05</v>
      </c>
      <c r="I532">
        <f>RTD("tos.rtd", , "ASK", ".SCHP201120C61")</f>
        <v>0.25</v>
      </c>
      <c r="J532">
        <f>RTD("tos.rtd", , "HIGH", ".SCHP201120C61")</f>
        <v>0</v>
      </c>
      <c r="K532">
        <f>RTD("tos.rtd", , "LOW", ".SCHP201120C61")</f>
        <v>0</v>
      </c>
      <c r="L532">
        <f>RTD("tos.rtd", , "OPEN", ".SCHP201120C61")</f>
        <v>0</v>
      </c>
      <c r="M532" t="str">
        <f>RTD("tos.rtd", , "DELTA", ".SCHP201120C61")</f>
        <v>N/A</v>
      </c>
      <c r="N532" t="str">
        <f>RTD("tos.rtd", , "GAMMA", ".SCHP201120C61")</f>
        <v>N/A</v>
      </c>
      <c r="O532" t="str">
        <f>RTD("tos.rtd", , "THETA", ".SCHP201120C61")</f>
        <v>N/A</v>
      </c>
      <c r="P532" t="str">
        <f>RTD("tos.rtd", , "VEGA", ".SCHP201120C61")</f>
        <v>N/A</v>
      </c>
      <c r="Q532" t="str">
        <f>RTD("tos.rtd", , "RHO", ".SCHP201120C61")</f>
        <v>N/A</v>
      </c>
      <c r="R532" t="str">
        <f>RTD("tos.rtd", , "INTRINSIC", ".SCHP201120C61")</f>
        <v>N/A</v>
      </c>
      <c r="S532" t="str">
        <f>RTD("tos.rtd", , "EXTRINSIC", ".SCHP201120C61")</f>
        <v>N/A</v>
      </c>
      <c r="T532" t="str">
        <f>RTD("tos.rtd", , "PROB_OF_EXPIRING", ".SCHP201120C61")</f>
        <v>N/A</v>
      </c>
      <c r="U532" t="str">
        <f>RTD("tos.rtd", , "PROB_OTM", ".SCHP201120C61")</f>
        <v>N/A</v>
      </c>
      <c r="V532" t="str">
        <f>RTD("tos.rtd", , "PROB_OF_TOUCHING", ".SCHP201120C61")</f>
        <v>N/A</v>
      </c>
      <c r="W532" t="str">
        <f>RTD("tos.rtd", , "STRIKE", ".SCHP201120C61")</f>
        <v>N/A</v>
      </c>
    </row>
    <row r="533" spans="1:23" x14ac:dyDescent="0.45">
      <c r="A533" t="s">
        <v>554</v>
      </c>
      <c r="B533" t="str">
        <f>RTD("tos.rtd", , "DESCRIPTION", ".SCHP201120P61")</f>
        <v>N/A</v>
      </c>
      <c r="C533" t="str">
        <f>RTD("tos.rtd", , "PUT_CALL_RATIO", ".SCHP201120P61")</f>
        <v>N/A</v>
      </c>
      <c r="D533" t="str">
        <f>RTD("tos.rtd", , "IMPL_VOL", ".SCHP201120P61")</f>
        <v>N/A</v>
      </c>
      <c r="E533">
        <f>RTD("tos.rtd", , "LAST", ".SCHP201120P61")</f>
        <v>0.54</v>
      </c>
      <c r="F533">
        <f>RTD("tos.rtd", , "VOLUME", ".SCHP201120P61")</f>
        <v>0</v>
      </c>
      <c r="G533">
        <f>RTD("tos.rtd", , "OPEN_INT", ".SCHP201120P61")</f>
        <v>1</v>
      </c>
      <c r="H533">
        <f>RTD("tos.rtd", , "BID", ".SCHP201120P61")</f>
        <v>0</v>
      </c>
      <c r="I533">
        <f>RTD("tos.rtd", , "ASK", ".SCHP201120P61")</f>
        <v>0.25</v>
      </c>
      <c r="J533">
        <f>RTD("tos.rtd", , "HIGH", ".SCHP201120P61")</f>
        <v>0</v>
      </c>
      <c r="K533">
        <f>RTD("tos.rtd", , "LOW", ".SCHP201120P61")</f>
        <v>0</v>
      </c>
      <c r="L533">
        <f>RTD("tos.rtd", , "OPEN", ".SCHP201120P61")</f>
        <v>0</v>
      </c>
      <c r="M533" t="str">
        <f>RTD("tos.rtd", , "DELTA", ".SCHP201120P61")</f>
        <v>N/A</v>
      </c>
      <c r="N533" t="str">
        <f>RTD("tos.rtd", , "GAMMA", ".SCHP201120P61")</f>
        <v>N/A</v>
      </c>
      <c r="O533" t="str">
        <f>RTD("tos.rtd", , "THETA", ".SCHP201120P61")</f>
        <v>N/A</v>
      </c>
      <c r="P533" t="str">
        <f>RTD("tos.rtd", , "VEGA", ".SCHP201120P61")</f>
        <v>N/A</v>
      </c>
      <c r="Q533" t="str">
        <f>RTD("tos.rtd", , "RHO", ".SCHP201120P61")</f>
        <v>N/A</v>
      </c>
      <c r="R533" t="str">
        <f>RTD("tos.rtd", , "INTRINSIC", ".SCHP201120P61")</f>
        <v>N/A</v>
      </c>
      <c r="S533" t="str">
        <f>RTD("tos.rtd", , "EXTRINSIC", ".SCHP201120P61")</f>
        <v>N/A</v>
      </c>
      <c r="T533" t="str">
        <f>RTD("tos.rtd", , "PROB_OF_EXPIRING", ".SCHP201120P61")</f>
        <v>N/A</v>
      </c>
      <c r="U533" t="str">
        <f>RTD("tos.rtd", , "PROB_OTM", ".SCHP201120P61")</f>
        <v>N/A</v>
      </c>
      <c r="V533" t="str">
        <f>RTD("tos.rtd", , "PROB_OF_TOUCHING", ".SCHP201120P61")</f>
        <v>N/A</v>
      </c>
      <c r="W533" t="str">
        <f>RTD("tos.rtd", , "STRIKE", ".SCHP201120P61")</f>
        <v>N/A</v>
      </c>
    </row>
    <row r="534" spans="1:23" x14ac:dyDescent="0.45">
      <c r="A534" t="s">
        <v>555</v>
      </c>
      <c r="B534" t="str">
        <f>RTD("tos.rtd", , "DESCRIPTION", "SCZ")</f>
        <v>N/A</v>
      </c>
      <c r="C534">
        <f>RTD("tos.rtd", , "PUT_CALL_RATIO", "SCZ")</f>
        <v>504.5</v>
      </c>
      <c r="D534" t="str">
        <f>RTD("tos.rtd", , "IMPL_VOL", "SCZ")</f>
        <v>30.37%</v>
      </c>
      <c r="E534">
        <f>RTD("tos.rtd", , "LAST", "SCZ")</f>
        <v>61.98</v>
      </c>
      <c r="F534">
        <f>RTD("tos.rtd", , "VOLUME", "SCZ")</f>
        <v>1514057</v>
      </c>
      <c r="G534">
        <f>RTD("tos.rtd", , "OPEN_INT", "SCZ")</f>
        <v>0</v>
      </c>
      <c r="H534">
        <f>RTD("tos.rtd", , "BID", "SCZ")</f>
        <v>58.3</v>
      </c>
      <c r="I534">
        <f>RTD("tos.rtd", , "ASK", "SCZ")</f>
        <v>64.88</v>
      </c>
      <c r="J534">
        <f>RTD("tos.rtd", , "HIGH", "SCZ")</f>
        <v>62.6</v>
      </c>
      <c r="K534">
        <f>RTD("tos.rtd", , "LOW", "SCZ")</f>
        <v>61.84</v>
      </c>
      <c r="L534">
        <f>RTD("tos.rtd", , "OPEN", "SCZ")</f>
        <v>62.49</v>
      </c>
      <c r="M534">
        <f>RTD("tos.rtd", , "DELTA", "SCZ")</f>
        <v>1</v>
      </c>
      <c r="N534">
        <f>RTD("tos.rtd", , "GAMMA", "SCZ")</f>
        <v>0</v>
      </c>
      <c r="O534">
        <f>RTD("tos.rtd", , "THETA", "SCZ")</f>
        <v>0</v>
      </c>
      <c r="P534">
        <f>RTD("tos.rtd", , "VEGA", "SCZ")</f>
        <v>0</v>
      </c>
      <c r="Q534">
        <f>RTD("tos.rtd", , "RHO", "SCZ")</f>
        <v>0</v>
      </c>
      <c r="R534" t="str">
        <f>RTD("tos.rtd", , "INTRINSIC", "SCZ")</f>
        <v>N/A</v>
      </c>
      <c r="S534" t="str">
        <f>RTD("tos.rtd", , "EXTRINSIC", "SCZ")</f>
        <v>N/A</v>
      </c>
      <c r="T534" t="str">
        <f>RTD("tos.rtd", , "PROB_OF_EXPIRING", "SCZ")</f>
        <v>N/A</v>
      </c>
      <c r="U534" t="str">
        <f>RTD("tos.rtd", , "PROB_OTM", "SCZ")</f>
        <v>N/A</v>
      </c>
      <c r="V534" t="str">
        <f>RTD("tos.rtd", , "PROB_OF_TOUCHING", "SCZ")</f>
        <v>N/A</v>
      </c>
      <c r="W534" t="str">
        <f>RTD("tos.rtd", , "STRIKE", "SCZ")</f>
        <v>N/A</v>
      </c>
    </row>
    <row r="535" spans="1:23" x14ac:dyDescent="0.45">
      <c r="A535" t="s">
        <v>556</v>
      </c>
      <c r="B535" t="str">
        <f>RTD("tos.rtd", , "DESCRIPTION", ".SCZ201120C63")</f>
        <v>N/A</v>
      </c>
      <c r="C535" t="str">
        <f>RTD("tos.rtd", , "PUT_CALL_RATIO", ".SCZ201120C63")</f>
        <v>N/A</v>
      </c>
      <c r="D535" t="str">
        <f>RTD("tos.rtd", , "IMPL_VOL", ".SCZ201120C63")</f>
        <v>N/A</v>
      </c>
      <c r="E535" t="str">
        <f>RTD("tos.rtd", , "LAST", ".SCZ201120C63")</f>
        <v>N/A</v>
      </c>
      <c r="F535" t="str">
        <f>RTD("tos.rtd", , "VOLUME", ".SCZ201120C63")</f>
        <v>N/A</v>
      </c>
      <c r="G535" t="str">
        <f>RTD("tos.rtd", , "OPEN_INT", ".SCZ201120C63")</f>
        <v>N/A</v>
      </c>
      <c r="H535" t="str">
        <f>RTD("tos.rtd", , "BID", ".SCZ201120C63")</f>
        <v>N/A</v>
      </c>
      <c r="I535" t="str">
        <f>RTD("tos.rtd", , "ASK", ".SCZ201120C63")</f>
        <v>N/A</v>
      </c>
      <c r="J535" t="str">
        <f>RTD("tos.rtd", , "HIGH", ".SCZ201120C63")</f>
        <v>N/A</v>
      </c>
      <c r="K535" t="str">
        <f>RTD("tos.rtd", , "LOW", ".SCZ201120C63")</f>
        <v>N/A</v>
      </c>
      <c r="L535" t="str">
        <f>RTD("tos.rtd", , "OPEN", ".SCZ201120C63")</f>
        <v>N/A</v>
      </c>
      <c r="M535" t="str">
        <f>RTD("tos.rtd", , "DELTA", ".SCZ201120C63")</f>
        <v>N/A</v>
      </c>
      <c r="N535" t="str">
        <f>RTD("tos.rtd", , "GAMMA", ".SCZ201120C63")</f>
        <v>N/A</v>
      </c>
      <c r="O535" t="str">
        <f>RTD("tos.rtd", , "THETA", ".SCZ201120C63")</f>
        <v>N/A</v>
      </c>
      <c r="P535" t="str">
        <f>RTD("tos.rtd", , "VEGA", ".SCZ201120C63")</f>
        <v>N/A</v>
      </c>
      <c r="Q535" t="str">
        <f>RTD("tos.rtd", , "RHO", ".SCZ201120C63")</f>
        <v>N/A</v>
      </c>
      <c r="R535" t="str">
        <f>RTD("tos.rtd", , "INTRINSIC", ".SCZ201120C63")</f>
        <v>N/A</v>
      </c>
      <c r="S535" t="str">
        <f>RTD("tos.rtd", , "EXTRINSIC", ".SCZ201120C63")</f>
        <v>N/A</v>
      </c>
      <c r="T535" t="str">
        <f>RTD("tos.rtd", , "PROB_OF_EXPIRING", ".SCZ201120C63")</f>
        <v>N/A</v>
      </c>
      <c r="U535" t="str">
        <f>RTD("tos.rtd", , "PROB_OTM", ".SCZ201120C63")</f>
        <v>N/A</v>
      </c>
      <c r="V535" t="str">
        <f>RTD("tos.rtd", , "PROB_OF_TOUCHING", ".SCZ201120C63")</f>
        <v>N/A</v>
      </c>
      <c r="W535" t="str">
        <f>RTD("tos.rtd", , "STRIKE", ".SCZ201120C63")</f>
        <v>N/A</v>
      </c>
    </row>
    <row r="536" spans="1:23" x14ac:dyDescent="0.45">
      <c r="A536" t="s">
        <v>557</v>
      </c>
      <c r="B536" t="str">
        <f>RTD("tos.rtd", , "DESCRIPTION", ".SCZ201120P63")</f>
        <v>N/A</v>
      </c>
      <c r="C536" t="str">
        <f>RTD("tos.rtd", , "PUT_CALL_RATIO", ".SCZ201120P63")</f>
        <v>N/A</v>
      </c>
      <c r="D536" t="str">
        <f>RTD("tos.rtd", , "IMPL_VOL", ".SCZ201120P63")</f>
        <v>N/A</v>
      </c>
      <c r="E536">
        <f>RTD("tos.rtd", , "LAST", ".SCZ201120P63")</f>
        <v>0</v>
      </c>
      <c r="F536">
        <f>RTD("tos.rtd", , "VOLUME", ".SCZ201120P63")</f>
        <v>0</v>
      </c>
      <c r="G536">
        <f>RTD("tos.rtd", , "OPEN_INT", ".SCZ201120P63")</f>
        <v>0</v>
      </c>
      <c r="H536">
        <f>RTD("tos.rtd", , "BID", ".SCZ201120P63")</f>
        <v>0.1</v>
      </c>
      <c r="I536">
        <f>RTD("tos.rtd", , "ASK", ".SCZ201120P63")</f>
        <v>2.2000000000000002</v>
      </c>
      <c r="J536">
        <f>RTD("tos.rtd", , "HIGH", ".SCZ201120P63")</f>
        <v>0</v>
      </c>
      <c r="K536">
        <f>RTD("tos.rtd", , "LOW", ".SCZ201120P63")</f>
        <v>0</v>
      </c>
      <c r="L536">
        <f>RTD("tos.rtd", , "OPEN", ".SCZ201120P63")</f>
        <v>0</v>
      </c>
      <c r="M536" t="str">
        <f>RTD("tos.rtd", , "DELTA", ".SCZ201120P63")</f>
        <v>N/A</v>
      </c>
      <c r="N536" t="str">
        <f>RTD("tos.rtd", , "GAMMA", ".SCZ201120P63")</f>
        <v>N/A</v>
      </c>
      <c r="O536" t="str">
        <f>RTD("tos.rtd", , "THETA", ".SCZ201120P63")</f>
        <v>N/A</v>
      </c>
      <c r="P536" t="str">
        <f>RTD("tos.rtd", , "VEGA", ".SCZ201120P63")</f>
        <v>N/A</v>
      </c>
      <c r="Q536" t="str">
        <f>RTD("tos.rtd", , "RHO", ".SCZ201120P63")</f>
        <v>N/A</v>
      </c>
      <c r="R536" t="str">
        <f>RTD("tos.rtd", , "INTRINSIC", ".SCZ201120P63")</f>
        <v>N/A</v>
      </c>
      <c r="S536" t="str">
        <f>RTD("tos.rtd", , "EXTRINSIC", ".SCZ201120P63")</f>
        <v>N/A</v>
      </c>
      <c r="T536" t="str">
        <f>RTD("tos.rtd", , "PROB_OF_EXPIRING", ".SCZ201120P63")</f>
        <v>N/A</v>
      </c>
      <c r="U536" t="str">
        <f>RTD("tos.rtd", , "PROB_OTM", ".SCZ201120P63")</f>
        <v>N/A</v>
      </c>
      <c r="V536" t="str">
        <f>RTD("tos.rtd", , "PROB_OF_TOUCHING", ".SCZ201120P63")</f>
        <v>N/A</v>
      </c>
      <c r="W536" t="str">
        <f>RTD("tos.rtd", , "STRIKE", ".SCZ201120P63")</f>
        <v>N/A</v>
      </c>
    </row>
    <row r="537" spans="1:23" x14ac:dyDescent="0.45">
      <c r="A537" t="s">
        <v>558</v>
      </c>
      <c r="B537" t="str">
        <f>RTD("tos.rtd", , "DESCRIPTION", "SDS")</f>
        <v>PROSHARES TRUST ULTRASHRT S&amp;P500 ETF</v>
      </c>
      <c r="C537">
        <f>RTD("tos.rtd", , "PUT_CALL_RATIO", "SDS")</f>
        <v>5.3999999999999999E-2</v>
      </c>
      <c r="D537" t="str">
        <f>RTD("tos.rtd", , "IMPL_VOL", "SDS")</f>
        <v>50.60%</v>
      </c>
      <c r="E537">
        <f>RTD("tos.rtd", , "LAST", "SDS")</f>
        <v>14.09</v>
      </c>
      <c r="F537">
        <f>RTD("tos.rtd", , "VOLUME", "SDS")</f>
        <v>15543604</v>
      </c>
      <c r="G537">
        <f>RTD("tos.rtd", , "OPEN_INT", "SDS")</f>
        <v>0</v>
      </c>
      <c r="H537">
        <f>RTD("tos.rtd", , "BID", "SDS")</f>
        <v>14.13</v>
      </c>
      <c r="I537">
        <f>RTD("tos.rtd", , "ASK", "SDS")</f>
        <v>14.14</v>
      </c>
      <c r="J537">
        <f>RTD("tos.rtd", , "HIGH", "SDS")</f>
        <v>14.244999999999999</v>
      </c>
      <c r="K537">
        <f>RTD("tos.rtd", , "LOW", "SDS")</f>
        <v>13.845000000000001</v>
      </c>
      <c r="L537">
        <f>RTD("tos.rtd", , "OPEN", "SDS")</f>
        <v>13.92</v>
      </c>
      <c r="M537">
        <f>RTD("tos.rtd", , "DELTA", "SDS")</f>
        <v>1</v>
      </c>
      <c r="N537">
        <f>RTD("tos.rtd", , "GAMMA", "SDS")</f>
        <v>0</v>
      </c>
      <c r="O537">
        <f>RTD("tos.rtd", , "THETA", "SDS")</f>
        <v>0</v>
      </c>
      <c r="P537">
        <f>RTD("tos.rtd", , "VEGA", "SDS")</f>
        <v>0</v>
      </c>
      <c r="Q537">
        <f>RTD("tos.rtd", , "RHO", "SDS")</f>
        <v>0</v>
      </c>
      <c r="R537" t="str">
        <f>RTD("tos.rtd", , "INTRINSIC", "SDS")</f>
        <v>N/A</v>
      </c>
      <c r="S537" t="str">
        <f>RTD("tos.rtd", , "EXTRINSIC", "SDS")</f>
        <v>N/A</v>
      </c>
      <c r="T537" t="str">
        <f>RTD("tos.rtd", , "PROB_OF_EXPIRING", "SDS")</f>
        <v>N/A</v>
      </c>
      <c r="U537" t="str">
        <f>RTD("tos.rtd", , "PROB_OTM", "SDS")</f>
        <v>N/A</v>
      </c>
      <c r="V537" t="str">
        <f>RTD("tos.rtd", , "PROB_OF_TOUCHING", "SDS")</f>
        <v>N/A</v>
      </c>
      <c r="W537" t="str">
        <f>RTD("tos.rtd", , "STRIKE", "SDS")</f>
        <v>N/A</v>
      </c>
    </row>
    <row r="538" spans="1:23" x14ac:dyDescent="0.45">
      <c r="A538" t="s">
        <v>559</v>
      </c>
      <c r="B538" t="str">
        <f>RTD("tos.rtd", , "DESCRIPTION", ".SDS201120C13.5")</f>
        <v>N/A</v>
      </c>
      <c r="C538" t="str">
        <f>RTD("tos.rtd", , "PUT_CALL_RATIO", ".SDS201120C13.5")</f>
        <v>N/A</v>
      </c>
      <c r="D538" t="str">
        <f>RTD("tos.rtd", , "IMPL_VOL", ".SDS201120C13.5")</f>
        <v>N/A</v>
      </c>
      <c r="E538" t="str">
        <f>RTD("tos.rtd", , "LAST", ".SDS201120C13.5")</f>
        <v>N/A</v>
      </c>
      <c r="F538" t="str">
        <f>RTD("tos.rtd", , "VOLUME", ".SDS201120C13.5")</f>
        <v>N/A</v>
      </c>
      <c r="G538" t="str">
        <f>RTD("tos.rtd", , "OPEN_INT", ".SDS201120C13.5")</f>
        <v>N/A</v>
      </c>
      <c r="H538" t="str">
        <f>RTD("tos.rtd", , "BID", ".SDS201120C13.5")</f>
        <v>N/A</v>
      </c>
      <c r="I538" t="str">
        <f>RTD("tos.rtd", , "ASK", ".SDS201120C13.5")</f>
        <v>N/A</v>
      </c>
      <c r="J538" t="str">
        <f>RTD("tos.rtd", , "HIGH", ".SDS201120C13.5")</f>
        <v>N/A</v>
      </c>
      <c r="K538" t="str">
        <f>RTD("tos.rtd", , "LOW", ".SDS201120C13.5")</f>
        <v>N/A</v>
      </c>
      <c r="L538" t="str">
        <f>RTD("tos.rtd", , "OPEN", ".SDS201120C13.5")</f>
        <v>N/A</v>
      </c>
      <c r="M538" t="str">
        <f>RTD("tos.rtd", , "DELTA", ".SDS201120C13.5")</f>
        <v>N/A</v>
      </c>
      <c r="N538" t="str">
        <f>RTD("tos.rtd", , "GAMMA", ".SDS201120C13.5")</f>
        <v>N/A</v>
      </c>
      <c r="O538" t="str">
        <f>RTD("tos.rtd", , "THETA", ".SDS201120C13.5")</f>
        <v>N/A</v>
      </c>
      <c r="P538" t="str">
        <f>RTD("tos.rtd", , "VEGA", ".SDS201120C13.5")</f>
        <v>N/A</v>
      </c>
      <c r="Q538" t="str">
        <f>RTD("tos.rtd", , "RHO", ".SDS201120C13.5")</f>
        <v>N/A</v>
      </c>
      <c r="R538" t="str">
        <f>RTD("tos.rtd", , "INTRINSIC", ".SDS201120C13.5")</f>
        <v>N/A</v>
      </c>
      <c r="S538" t="str">
        <f>RTD("tos.rtd", , "EXTRINSIC", ".SDS201120C13.5")</f>
        <v>N/A</v>
      </c>
      <c r="T538" t="str">
        <f>RTD("tos.rtd", , "PROB_OF_EXPIRING", ".SDS201120C13.5")</f>
        <v>N/A</v>
      </c>
      <c r="U538" t="str">
        <f>RTD("tos.rtd", , "PROB_OTM", ".SDS201120C13.5")</f>
        <v>N/A</v>
      </c>
      <c r="V538" t="str">
        <f>RTD("tos.rtd", , "PROB_OF_TOUCHING", ".SDS201120C13.5")</f>
        <v>N/A</v>
      </c>
      <c r="W538" t="str">
        <f>RTD("tos.rtd", , "STRIKE", ".SDS201120C13.5")</f>
        <v>N/A</v>
      </c>
    </row>
    <row r="539" spans="1:23" x14ac:dyDescent="0.45">
      <c r="A539" t="s">
        <v>560</v>
      </c>
      <c r="B539" t="str">
        <f>RTD("tos.rtd", , "DESCRIPTION", ".SDS201120P13.5")</f>
        <v>N/A</v>
      </c>
      <c r="C539" t="str">
        <f>RTD("tos.rtd", , "PUT_CALL_RATIO", ".SDS201120P13.5")</f>
        <v>N/A</v>
      </c>
      <c r="D539" t="str">
        <f>RTD("tos.rtd", , "IMPL_VOL", ".SDS201120P13.5")</f>
        <v>N/A</v>
      </c>
      <c r="E539" t="str">
        <f>RTD("tos.rtd", , "LAST", ".SDS201120P13.5")</f>
        <v>N/A</v>
      </c>
      <c r="F539" t="str">
        <f>RTD("tos.rtd", , "VOLUME", ".SDS201120P13.5")</f>
        <v>N/A</v>
      </c>
      <c r="G539" t="str">
        <f>RTD("tos.rtd", , "OPEN_INT", ".SDS201120P13.5")</f>
        <v>N/A</v>
      </c>
      <c r="H539" t="str">
        <f>RTD("tos.rtd", , "BID", ".SDS201120P13.5")</f>
        <v>N/A</v>
      </c>
      <c r="I539" t="str">
        <f>RTD("tos.rtd", , "ASK", ".SDS201120P13.5")</f>
        <v>N/A</v>
      </c>
      <c r="J539" t="str">
        <f>RTD("tos.rtd", , "HIGH", ".SDS201120P13.5")</f>
        <v>N/A</v>
      </c>
      <c r="K539" t="str">
        <f>RTD("tos.rtd", , "LOW", ".SDS201120P13.5")</f>
        <v>N/A</v>
      </c>
      <c r="L539" t="str">
        <f>RTD("tos.rtd", , "OPEN", ".SDS201120P13.5")</f>
        <v>N/A</v>
      </c>
      <c r="M539" t="str">
        <f>RTD("tos.rtd", , "DELTA", ".SDS201120P13.5")</f>
        <v>N/A</v>
      </c>
      <c r="N539" t="str">
        <f>RTD("tos.rtd", , "GAMMA", ".SDS201120P13.5")</f>
        <v>N/A</v>
      </c>
      <c r="O539" t="str">
        <f>RTD("tos.rtd", , "THETA", ".SDS201120P13.5")</f>
        <v>N/A</v>
      </c>
      <c r="P539" t="str">
        <f>RTD("tos.rtd", , "VEGA", ".SDS201120P13.5")</f>
        <v>N/A</v>
      </c>
      <c r="Q539" t="str">
        <f>RTD("tos.rtd", , "RHO", ".SDS201120P13.5")</f>
        <v>N/A</v>
      </c>
      <c r="R539" t="str">
        <f>RTD("tos.rtd", , "INTRINSIC", ".SDS201120P13.5")</f>
        <v>N/A</v>
      </c>
      <c r="S539" t="str">
        <f>RTD("tos.rtd", , "EXTRINSIC", ".SDS201120P13.5")</f>
        <v>N/A</v>
      </c>
      <c r="T539" t="str">
        <f>RTD("tos.rtd", , "PROB_OF_EXPIRING", ".SDS201120P13.5")</f>
        <v>N/A</v>
      </c>
      <c r="U539" t="str">
        <f>RTD("tos.rtd", , "PROB_OTM", ".SDS201120P13.5")</f>
        <v>N/A</v>
      </c>
      <c r="V539" t="str">
        <f>RTD("tos.rtd", , "PROB_OF_TOUCHING", ".SDS201120P13.5")</f>
        <v>N/A</v>
      </c>
      <c r="W539" t="str">
        <f>RTD("tos.rtd", , "STRIKE", ".SDS201120P13.5")</f>
        <v>N/A</v>
      </c>
    </row>
    <row r="540" spans="1:23" x14ac:dyDescent="0.45">
      <c r="A540" t="s">
        <v>561</v>
      </c>
      <c r="B540" t="str">
        <f>RTD("tos.rtd", , "DESCRIPTION", ".SDS201120C14")</f>
        <v>N/A</v>
      </c>
      <c r="C540" t="str">
        <f>RTD("tos.rtd", , "PUT_CALL_RATIO", ".SDS201120C14")</f>
        <v>N/A</v>
      </c>
      <c r="D540" t="str">
        <f>RTD("tos.rtd", , "IMPL_VOL", ".SDS201120C14")</f>
        <v>N/A</v>
      </c>
      <c r="E540">
        <f>RTD("tos.rtd", , "LAST", ".SDS201120C14")</f>
        <v>0.41</v>
      </c>
      <c r="F540">
        <f>RTD("tos.rtd", , "VOLUME", ".SDS201120C14")</f>
        <v>1375</v>
      </c>
      <c r="G540">
        <f>RTD("tos.rtd", , "OPEN_INT", ".SDS201120C14")</f>
        <v>3306</v>
      </c>
      <c r="H540">
        <f>RTD("tos.rtd", , "BID", ".SDS201120C14")</f>
        <v>0.38</v>
      </c>
      <c r="I540">
        <f>RTD("tos.rtd", , "ASK", ".SDS201120C14")</f>
        <v>0.43</v>
      </c>
      <c r="J540">
        <f>RTD("tos.rtd", , "HIGH", ".SDS201120C14")</f>
        <v>0.49</v>
      </c>
      <c r="K540">
        <f>RTD("tos.rtd", , "LOW", ".SDS201120C14")</f>
        <v>0.26</v>
      </c>
      <c r="L540">
        <f>RTD("tos.rtd", , "OPEN", ".SDS201120C14")</f>
        <v>0.34</v>
      </c>
      <c r="M540" t="str">
        <f>RTD("tos.rtd", , "DELTA", ".SDS201120C14")</f>
        <v>N/A</v>
      </c>
      <c r="N540" t="str">
        <f>RTD("tos.rtd", , "GAMMA", ".SDS201120C14")</f>
        <v>N/A</v>
      </c>
      <c r="O540" t="str">
        <f>RTD("tos.rtd", , "THETA", ".SDS201120C14")</f>
        <v>N/A</v>
      </c>
      <c r="P540" t="str">
        <f>RTD("tos.rtd", , "VEGA", ".SDS201120C14")</f>
        <v>N/A</v>
      </c>
      <c r="Q540" t="str">
        <f>RTD("tos.rtd", , "RHO", ".SDS201120C14")</f>
        <v>N/A</v>
      </c>
      <c r="R540" t="str">
        <f>RTD("tos.rtd", , "INTRINSIC", ".SDS201120C14")</f>
        <v>N/A</v>
      </c>
      <c r="S540" t="str">
        <f>RTD("tos.rtd", , "EXTRINSIC", ".SDS201120C14")</f>
        <v>N/A</v>
      </c>
      <c r="T540" t="str">
        <f>RTD("tos.rtd", , "PROB_OF_EXPIRING", ".SDS201120C14")</f>
        <v>N/A</v>
      </c>
      <c r="U540" t="str">
        <f>RTD("tos.rtd", , "PROB_OTM", ".SDS201120C14")</f>
        <v>N/A</v>
      </c>
      <c r="V540" t="str">
        <f>RTD("tos.rtd", , "PROB_OF_TOUCHING", ".SDS201120C14")</f>
        <v>N/A</v>
      </c>
      <c r="W540" t="str">
        <f>RTD("tos.rtd", , "STRIKE", ".SDS201120C14")</f>
        <v>N/A</v>
      </c>
    </row>
    <row r="541" spans="1:23" x14ac:dyDescent="0.45">
      <c r="A541" t="s">
        <v>562</v>
      </c>
      <c r="B541" t="str">
        <f>RTD("tos.rtd", , "DESCRIPTION", ".SDS201120P14")</f>
        <v>N/A</v>
      </c>
      <c r="C541" t="str">
        <f>RTD("tos.rtd", , "PUT_CALL_RATIO", ".SDS201120P14")</f>
        <v>N/A</v>
      </c>
      <c r="D541" t="str">
        <f>RTD("tos.rtd", , "IMPL_VOL", ".SDS201120P14")</f>
        <v>N/A</v>
      </c>
      <c r="E541" t="str">
        <f>RTD("tos.rtd", , "LAST", ".SDS201120P14")</f>
        <v>N/A</v>
      </c>
      <c r="F541" t="str">
        <f>RTD("tos.rtd", , "VOLUME", ".SDS201120P14")</f>
        <v>N/A</v>
      </c>
      <c r="G541" t="str">
        <f>RTD("tos.rtd", , "OPEN_INT", ".SDS201120P14")</f>
        <v>N/A</v>
      </c>
      <c r="H541" t="str">
        <f>RTD("tos.rtd", , "BID", ".SDS201120P14")</f>
        <v>N/A</v>
      </c>
      <c r="I541" t="str">
        <f>RTD("tos.rtd", , "ASK", ".SDS201120P14")</f>
        <v>N/A</v>
      </c>
      <c r="J541" t="str">
        <f>RTD("tos.rtd", , "HIGH", ".SDS201120P14")</f>
        <v>N/A</v>
      </c>
      <c r="K541" t="str">
        <f>RTD("tos.rtd", , "LOW", ".SDS201120P14")</f>
        <v>N/A</v>
      </c>
      <c r="L541" t="str">
        <f>RTD("tos.rtd", , "OPEN", ".SDS201120P14")</f>
        <v>N/A</v>
      </c>
      <c r="M541" t="str">
        <f>RTD("tos.rtd", , "DELTA", ".SDS201120P14")</f>
        <v>N/A</v>
      </c>
      <c r="N541" t="str">
        <f>RTD("tos.rtd", , "GAMMA", ".SDS201120P14")</f>
        <v>N/A</v>
      </c>
      <c r="O541" t="str">
        <f>RTD("tos.rtd", , "THETA", ".SDS201120P14")</f>
        <v>N/A</v>
      </c>
      <c r="P541" t="str">
        <f>RTD("tos.rtd", , "VEGA", ".SDS201120P14")</f>
        <v>N/A</v>
      </c>
      <c r="Q541" t="str">
        <f>RTD("tos.rtd", , "RHO", ".SDS201120P14")</f>
        <v>N/A</v>
      </c>
      <c r="R541" t="str">
        <f>RTD("tos.rtd", , "INTRINSIC", ".SDS201120P14")</f>
        <v>N/A</v>
      </c>
      <c r="S541" t="str">
        <f>RTD("tos.rtd", , "EXTRINSIC", ".SDS201120P14")</f>
        <v>N/A</v>
      </c>
      <c r="T541" t="str">
        <f>RTD("tos.rtd", , "PROB_OF_EXPIRING", ".SDS201120P14")</f>
        <v>N/A</v>
      </c>
      <c r="U541" t="str">
        <f>RTD("tos.rtd", , "PROB_OTM", ".SDS201120P14")</f>
        <v>N/A</v>
      </c>
      <c r="V541" t="str">
        <f>RTD("tos.rtd", , "PROB_OF_TOUCHING", ".SDS201120P14")</f>
        <v>N/A</v>
      </c>
      <c r="W541" t="str">
        <f>RTD("tos.rtd", , "STRIKE", ".SDS201120P14")</f>
        <v>N/A</v>
      </c>
    </row>
    <row r="542" spans="1:23" x14ac:dyDescent="0.45">
      <c r="A542" t="s">
        <v>563</v>
      </c>
      <c r="B542" t="str">
        <f>RTD("tos.rtd", , "DESCRIPTION", "SH")</f>
        <v>N/A</v>
      </c>
      <c r="C542">
        <f>RTD("tos.rtd", , "PUT_CALL_RATIO", "SH")</f>
        <v>0.33900000000000002</v>
      </c>
      <c r="D542" t="str">
        <f>RTD("tos.rtd", , "IMPL_VOL", "SH")</f>
        <v>24.45%</v>
      </c>
      <c r="E542">
        <f>RTD("tos.rtd", , "LAST", "SH")</f>
        <v>19.16</v>
      </c>
      <c r="F542">
        <f>RTD("tos.rtd", , "VOLUME", "SH")</f>
        <v>12053707</v>
      </c>
      <c r="G542">
        <f>RTD("tos.rtd", , "OPEN_INT", "SH")</f>
        <v>0</v>
      </c>
      <c r="H542">
        <f>RTD("tos.rtd", , "BID", "SH")</f>
        <v>19.09</v>
      </c>
      <c r="I542">
        <f>RTD("tos.rtd", , "ASK", "SH")</f>
        <v>19.21</v>
      </c>
      <c r="J542">
        <f>RTD("tos.rtd", , "HIGH", "SH")</f>
        <v>19.260000000000002</v>
      </c>
      <c r="K542">
        <f>RTD("tos.rtd", , "LOW", "SH")</f>
        <v>18.98</v>
      </c>
      <c r="L542">
        <f>RTD("tos.rtd", , "OPEN", "SH")</f>
        <v>19.030100000000001</v>
      </c>
      <c r="M542">
        <f>RTD("tos.rtd", , "DELTA", "SH")</f>
        <v>1</v>
      </c>
      <c r="N542">
        <f>RTD("tos.rtd", , "GAMMA", "SH")</f>
        <v>0</v>
      </c>
      <c r="O542">
        <f>RTD("tos.rtd", , "THETA", "SH")</f>
        <v>0</v>
      </c>
      <c r="P542">
        <f>RTD("tos.rtd", , "VEGA", "SH")</f>
        <v>0</v>
      </c>
      <c r="Q542">
        <f>RTD("tos.rtd", , "RHO", "SH")</f>
        <v>0</v>
      </c>
      <c r="R542" t="str">
        <f>RTD("tos.rtd", , "INTRINSIC", "SH")</f>
        <v>N/A</v>
      </c>
      <c r="S542" t="str">
        <f>RTD("tos.rtd", , "EXTRINSIC", "SH")</f>
        <v>N/A</v>
      </c>
      <c r="T542" t="str">
        <f>RTD("tos.rtd", , "PROB_OF_EXPIRING", "SH")</f>
        <v>N/A</v>
      </c>
      <c r="U542" t="str">
        <f>RTD("tos.rtd", , "PROB_OTM", "SH")</f>
        <v>N/A</v>
      </c>
      <c r="V542" t="str">
        <f>RTD("tos.rtd", , "PROB_OF_TOUCHING", "SH")</f>
        <v>N/A</v>
      </c>
      <c r="W542" t="str">
        <f>RTD("tos.rtd", , "STRIKE", "SH")</f>
        <v>N/A</v>
      </c>
    </row>
    <row r="543" spans="1:23" x14ac:dyDescent="0.45">
      <c r="A543" t="s">
        <v>564</v>
      </c>
      <c r="B543" t="str">
        <f>RTD("tos.rtd", , "DESCRIPTION", ".SH201120C19")</f>
        <v>N/A</v>
      </c>
      <c r="C543" t="str">
        <f>RTD("tos.rtd", , "PUT_CALL_RATIO", ".SH201120C19")</f>
        <v>N/A</v>
      </c>
      <c r="D543" t="str">
        <f>RTD("tos.rtd", , "IMPL_VOL", ".SH201120C19")</f>
        <v>N/A</v>
      </c>
      <c r="E543">
        <f>RTD("tos.rtd", , "LAST", ".SH201120C19")</f>
        <v>0.35</v>
      </c>
      <c r="F543">
        <f>RTD("tos.rtd", , "VOLUME", ".SH201120C19")</f>
        <v>125</v>
      </c>
      <c r="G543">
        <f>RTD("tos.rtd", , "OPEN_INT", ".SH201120C19")</f>
        <v>4208</v>
      </c>
      <c r="H543">
        <f>RTD("tos.rtd", , "BID", ".SH201120C19")</f>
        <v>0.3</v>
      </c>
      <c r="I543">
        <f>RTD("tos.rtd", , "ASK", ".SH201120C19")</f>
        <v>0.35</v>
      </c>
      <c r="J543">
        <f>RTD("tos.rtd", , "HIGH", ".SH201120C19")</f>
        <v>0.4</v>
      </c>
      <c r="K543">
        <f>RTD("tos.rtd", , "LOW", ".SH201120C19")</f>
        <v>0.2</v>
      </c>
      <c r="L543">
        <f>RTD("tos.rtd", , "OPEN", ".SH201120C19")</f>
        <v>0.25</v>
      </c>
      <c r="M543" t="str">
        <f>RTD("tos.rtd", , "DELTA", ".SH201120C19")</f>
        <v>N/A</v>
      </c>
      <c r="N543" t="str">
        <f>RTD("tos.rtd", , "GAMMA", ".SH201120C19")</f>
        <v>N/A</v>
      </c>
      <c r="O543" t="str">
        <f>RTD("tos.rtd", , "THETA", ".SH201120C19")</f>
        <v>N/A</v>
      </c>
      <c r="P543" t="str">
        <f>RTD("tos.rtd", , "VEGA", ".SH201120C19")</f>
        <v>N/A</v>
      </c>
      <c r="Q543" t="str">
        <f>RTD("tos.rtd", , "RHO", ".SH201120C19")</f>
        <v>N/A</v>
      </c>
      <c r="R543" t="str">
        <f>RTD("tos.rtd", , "INTRINSIC", ".SH201120C19")</f>
        <v>N/A</v>
      </c>
      <c r="S543" t="str">
        <f>RTD("tos.rtd", , "EXTRINSIC", ".SH201120C19")</f>
        <v>N/A</v>
      </c>
      <c r="T543" t="str">
        <f>RTD("tos.rtd", , "PROB_OF_EXPIRING", ".SH201120C19")</f>
        <v>N/A</v>
      </c>
      <c r="U543" t="str">
        <f>RTD("tos.rtd", , "PROB_OTM", ".SH201120C19")</f>
        <v>N/A</v>
      </c>
      <c r="V543" t="str">
        <f>RTD("tos.rtd", , "PROB_OF_TOUCHING", ".SH201120C19")</f>
        <v>N/A</v>
      </c>
      <c r="W543" t="str">
        <f>RTD("tos.rtd", , "STRIKE", ".SH201120C19")</f>
        <v>N/A</v>
      </c>
    </row>
    <row r="544" spans="1:23" x14ac:dyDescent="0.45">
      <c r="A544" t="s">
        <v>565</v>
      </c>
      <c r="B544" t="str">
        <f>RTD("tos.rtd", , "DESCRIPTION", ".SH201120P19")</f>
        <v>N/A</v>
      </c>
      <c r="C544" t="str">
        <f>RTD("tos.rtd", , "PUT_CALL_RATIO", ".SH201120P19")</f>
        <v>N/A</v>
      </c>
      <c r="D544" t="str">
        <f>RTD("tos.rtd", , "IMPL_VOL", ".SH201120P19")</f>
        <v>N/A</v>
      </c>
      <c r="E544" t="str">
        <f>RTD("tos.rtd", , "LAST", ".SH201120P19")</f>
        <v>N/A</v>
      </c>
      <c r="F544" t="str">
        <f>RTD("tos.rtd", , "VOLUME", ".SH201120P19")</f>
        <v>N/A</v>
      </c>
      <c r="G544" t="str">
        <f>RTD("tos.rtd", , "OPEN_INT", ".SH201120P19")</f>
        <v>N/A</v>
      </c>
      <c r="H544" t="str">
        <f>RTD("tos.rtd", , "BID", ".SH201120P19")</f>
        <v>N/A</v>
      </c>
      <c r="I544" t="str">
        <f>RTD("tos.rtd", , "ASK", ".SH201120P19")</f>
        <v>N/A</v>
      </c>
      <c r="J544" t="str">
        <f>RTD("tos.rtd", , "HIGH", ".SH201120P19")</f>
        <v>N/A</v>
      </c>
      <c r="K544" t="str">
        <f>RTD("tos.rtd", , "LOW", ".SH201120P19")</f>
        <v>N/A</v>
      </c>
      <c r="L544" t="str">
        <f>RTD("tos.rtd", , "OPEN", ".SH201120P19")</f>
        <v>N/A</v>
      </c>
      <c r="M544" t="str">
        <f>RTD("tos.rtd", , "DELTA", ".SH201120P19")</f>
        <v>N/A</v>
      </c>
      <c r="N544" t="str">
        <f>RTD("tos.rtd", , "GAMMA", ".SH201120P19")</f>
        <v>N/A</v>
      </c>
      <c r="O544" t="str">
        <f>RTD("tos.rtd", , "THETA", ".SH201120P19")</f>
        <v>N/A</v>
      </c>
      <c r="P544" t="str">
        <f>RTD("tos.rtd", , "VEGA", ".SH201120P19")</f>
        <v>N/A</v>
      </c>
      <c r="Q544" t="str">
        <f>RTD("tos.rtd", , "RHO", ".SH201120P19")</f>
        <v>N/A</v>
      </c>
      <c r="R544" t="str">
        <f>RTD("tos.rtd", , "INTRINSIC", ".SH201120P19")</f>
        <v>N/A</v>
      </c>
      <c r="S544" t="str">
        <f>RTD("tos.rtd", , "EXTRINSIC", ".SH201120P19")</f>
        <v>N/A</v>
      </c>
      <c r="T544" t="str">
        <f>RTD("tos.rtd", , "PROB_OF_EXPIRING", ".SH201120P19")</f>
        <v>N/A</v>
      </c>
      <c r="U544" t="str">
        <f>RTD("tos.rtd", , "PROB_OTM", ".SH201120P19")</f>
        <v>N/A</v>
      </c>
      <c r="V544" t="str">
        <f>RTD("tos.rtd", , "PROB_OF_TOUCHING", ".SH201120P19")</f>
        <v>N/A</v>
      </c>
      <c r="W544" t="str">
        <f>RTD("tos.rtd", , "STRIKE", ".SH201120P19")</f>
        <v>N/A</v>
      </c>
    </row>
    <row r="545" spans="1:23" x14ac:dyDescent="0.45">
      <c r="A545" t="s">
        <v>566</v>
      </c>
      <c r="B545" t="str">
        <f>RTD("tos.rtd", , "DESCRIPTION", "SHY")</f>
        <v>N/A</v>
      </c>
      <c r="C545">
        <f>RTD("tos.rtd", , "PUT_CALL_RATIO", "SHY")</f>
        <v>0.83299999999999996</v>
      </c>
      <c r="D545" t="str">
        <f>RTD("tos.rtd", , "IMPL_VOL", "SHY")</f>
        <v>0.63%</v>
      </c>
      <c r="E545">
        <f>RTD("tos.rtd", , "LAST", "SHY")</f>
        <v>86.33</v>
      </c>
      <c r="F545">
        <f>RTD("tos.rtd", , "VOLUME", "SHY")</f>
        <v>3915821</v>
      </c>
      <c r="G545">
        <f>RTD("tos.rtd", , "OPEN_INT", "SHY")</f>
        <v>0</v>
      </c>
      <c r="H545">
        <f>RTD("tos.rtd", , "BID", "SHY")</f>
        <v>86.12</v>
      </c>
      <c r="I545">
        <f>RTD("tos.rtd", , "ASK", "SHY")</f>
        <v>86.4</v>
      </c>
      <c r="J545">
        <f>RTD("tos.rtd", , "HIGH", "SHY")</f>
        <v>86.36</v>
      </c>
      <c r="K545">
        <f>RTD("tos.rtd", , "LOW", "SHY")</f>
        <v>86.33</v>
      </c>
      <c r="L545">
        <f>RTD("tos.rtd", , "OPEN", "SHY")</f>
        <v>86.35</v>
      </c>
      <c r="M545">
        <f>RTD("tos.rtd", , "DELTA", "SHY")</f>
        <v>1</v>
      </c>
      <c r="N545">
        <f>RTD("tos.rtd", , "GAMMA", "SHY")</f>
        <v>0</v>
      </c>
      <c r="O545">
        <f>RTD("tos.rtd", , "THETA", "SHY")</f>
        <v>0</v>
      </c>
      <c r="P545">
        <f>RTD("tos.rtd", , "VEGA", "SHY")</f>
        <v>0</v>
      </c>
      <c r="Q545">
        <f>RTD("tos.rtd", , "RHO", "SHY")</f>
        <v>0</v>
      </c>
      <c r="R545" t="str">
        <f>RTD("tos.rtd", , "INTRINSIC", "SHY")</f>
        <v>N/A</v>
      </c>
      <c r="S545" t="str">
        <f>RTD("tos.rtd", , "EXTRINSIC", "SHY")</f>
        <v>N/A</v>
      </c>
      <c r="T545" t="str">
        <f>RTD("tos.rtd", , "PROB_OF_EXPIRING", "SHY")</f>
        <v>N/A</v>
      </c>
      <c r="U545" t="str">
        <f>RTD("tos.rtd", , "PROB_OTM", "SHY")</f>
        <v>N/A</v>
      </c>
      <c r="V545" t="str">
        <f>RTD("tos.rtd", , "PROB_OF_TOUCHING", "SHY")</f>
        <v>N/A</v>
      </c>
      <c r="W545" t="str">
        <f>RTD("tos.rtd", , "STRIKE", "SHY")</f>
        <v>N/A</v>
      </c>
    </row>
    <row r="546" spans="1:23" x14ac:dyDescent="0.45">
      <c r="A546" t="s">
        <v>567</v>
      </c>
      <c r="B546" t="str">
        <f>RTD("tos.rtd", , "DESCRIPTION", ".SHY201120C86.5")</f>
        <v>N/A</v>
      </c>
      <c r="C546" t="str">
        <f>RTD("tos.rtd", , "PUT_CALL_RATIO", ".SHY201120C86.5")</f>
        <v>N/A</v>
      </c>
      <c r="D546" t="str">
        <f>RTD("tos.rtd", , "IMPL_VOL", ".SHY201120C86.5")</f>
        <v>N/A</v>
      </c>
      <c r="E546" t="str">
        <f>RTD("tos.rtd", , "LAST", ".SHY201120C86.5")</f>
        <v>N/A</v>
      </c>
      <c r="F546" t="str">
        <f>RTD("tos.rtd", , "VOLUME", ".SHY201120C86.5")</f>
        <v>N/A</v>
      </c>
      <c r="G546" t="str">
        <f>RTD("tos.rtd", , "OPEN_INT", ".SHY201120C86.5")</f>
        <v>N/A</v>
      </c>
      <c r="H546" t="str">
        <f>RTD("tos.rtd", , "BID", ".SHY201120C86.5")</f>
        <v>N/A</v>
      </c>
      <c r="I546" t="str">
        <f>RTD("tos.rtd", , "ASK", ".SHY201120C86.5")</f>
        <v>N/A</v>
      </c>
      <c r="J546" t="str">
        <f>RTD("tos.rtd", , "HIGH", ".SHY201120C86.5")</f>
        <v>N/A</v>
      </c>
      <c r="K546" t="str">
        <f>RTD("tos.rtd", , "LOW", ".SHY201120C86.5")</f>
        <v>N/A</v>
      </c>
      <c r="L546" t="str">
        <f>RTD("tos.rtd", , "OPEN", ".SHY201120C86.5")</f>
        <v>N/A</v>
      </c>
      <c r="M546" t="str">
        <f>RTD("tos.rtd", , "DELTA", ".SHY201120C86.5")</f>
        <v>N/A</v>
      </c>
      <c r="N546" t="str">
        <f>RTD("tos.rtd", , "GAMMA", ".SHY201120C86.5")</f>
        <v>N/A</v>
      </c>
      <c r="O546" t="str">
        <f>RTD("tos.rtd", , "THETA", ".SHY201120C86.5")</f>
        <v>N/A</v>
      </c>
      <c r="P546" t="str">
        <f>RTD("tos.rtd", , "VEGA", ".SHY201120C86.5")</f>
        <v>N/A</v>
      </c>
      <c r="Q546" t="str">
        <f>RTD("tos.rtd", , "RHO", ".SHY201120C86.5")</f>
        <v>N/A</v>
      </c>
      <c r="R546" t="str">
        <f>RTD("tos.rtd", , "INTRINSIC", ".SHY201120C86.5")</f>
        <v>N/A</v>
      </c>
      <c r="S546" t="str">
        <f>RTD("tos.rtd", , "EXTRINSIC", ".SHY201120C86.5")</f>
        <v>N/A</v>
      </c>
      <c r="T546" t="str">
        <f>RTD("tos.rtd", , "PROB_OF_EXPIRING", ".SHY201120C86.5")</f>
        <v>N/A</v>
      </c>
      <c r="U546" t="str">
        <f>RTD("tos.rtd", , "PROB_OTM", ".SHY201120C86.5")</f>
        <v>N/A</v>
      </c>
      <c r="V546" t="str">
        <f>RTD("tos.rtd", , "PROB_OF_TOUCHING", ".SHY201120C86.5")</f>
        <v>N/A</v>
      </c>
      <c r="W546" t="str">
        <f>RTD("tos.rtd", , "STRIKE", ".SHY201120C86.5")</f>
        <v>N/A</v>
      </c>
    </row>
    <row r="547" spans="1:23" x14ac:dyDescent="0.45">
      <c r="A547" t="s">
        <v>568</v>
      </c>
      <c r="B547" t="str">
        <f>RTD("tos.rtd", , "DESCRIPTION", ".SHY201120P86.5")</f>
        <v>N/A</v>
      </c>
      <c r="C547" t="str">
        <f>RTD("tos.rtd", , "PUT_CALL_RATIO", ".SHY201120P86.5")</f>
        <v>N/A</v>
      </c>
      <c r="D547" t="str">
        <f>RTD("tos.rtd", , "IMPL_VOL", ".SHY201120P86.5")</f>
        <v>N/A</v>
      </c>
      <c r="E547" t="str">
        <f>RTD("tos.rtd", , "LAST", ".SHY201120P86.5")</f>
        <v>N/A</v>
      </c>
      <c r="F547" t="str">
        <f>RTD("tos.rtd", , "VOLUME", ".SHY201120P86.5")</f>
        <v>N/A</v>
      </c>
      <c r="G547" t="str">
        <f>RTD("tos.rtd", , "OPEN_INT", ".SHY201120P86.5")</f>
        <v>N/A</v>
      </c>
      <c r="H547" t="str">
        <f>RTD("tos.rtd", , "BID", ".SHY201120P86.5")</f>
        <v>N/A</v>
      </c>
      <c r="I547" t="str">
        <f>RTD("tos.rtd", , "ASK", ".SHY201120P86.5")</f>
        <v>N/A</v>
      </c>
      <c r="J547" t="str">
        <f>RTD("tos.rtd", , "HIGH", ".SHY201120P86.5")</f>
        <v>N/A</v>
      </c>
      <c r="K547" t="str">
        <f>RTD("tos.rtd", , "LOW", ".SHY201120P86.5")</f>
        <v>N/A</v>
      </c>
      <c r="L547" t="str">
        <f>RTD("tos.rtd", , "OPEN", ".SHY201120P86.5")</f>
        <v>N/A</v>
      </c>
      <c r="M547" t="str">
        <f>RTD("tos.rtd", , "DELTA", ".SHY201120P86.5")</f>
        <v>N/A</v>
      </c>
      <c r="N547" t="str">
        <f>RTD("tos.rtd", , "GAMMA", ".SHY201120P86.5")</f>
        <v>N/A</v>
      </c>
      <c r="O547" t="str">
        <f>RTD("tos.rtd", , "THETA", ".SHY201120P86.5")</f>
        <v>N/A</v>
      </c>
      <c r="P547" t="str">
        <f>RTD("tos.rtd", , "VEGA", ".SHY201120P86.5")</f>
        <v>N/A</v>
      </c>
      <c r="Q547" t="str">
        <f>RTD("tos.rtd", , "RHO", ".SHY201120P86.5")</f>
        <v>N/A</v>
      </c>
      <c r="R547" t="str">
        <f>RTD("tos.rtd", , "INTRINSIC", ".SHY201120P86.5")</f>
        <v>N/A</v>
      </c>
      <c r="S547" t="str">
        <f>RTD("tos.rtd", , "EXTRINSIC", ".SHY201120P86.5")</f>
        <v>N/A</v>
      </c>
      <c r="T547" t="str">
        <f>RTD("tos.rtd", , "PROB_OF_EXPIRING", ".SHY201120P86.5")</f>
        <v>N/A</v>
      </c>
      <c r="U547" t="str">
        <f>RTD("tos.rtd", , "PROB_OTM", ".SHY201120P86.5")</f>
        <v>N/A</v>
      </c>
      <c r="V547" t="str">
        <f>RTD("tos.rtd", , "PROB_OF_TOUCHING", ".SHY201120P86.5")</f>
        <v>N/A</v>
      </c>
      <c r="W547" t="str">
        <f>RTD("tos.rtd", , "STRIKE", ".SHY201120P86.5")</f>
        <v>N/A</v>
      </c>
    </row>
    <row r="548" spans="1:23" x14ac:dyDescent="0.45">
      <c r="A548" t="s">
        <v>569</v>
      </c>
      <c r="B548" t="str">
        <f>RTD("tos.rtd", , "DESCRIPTION", "SHYG")</f>
        <v>N/A</v>
      </c>
      <c r="C548">
        <f>RTD("tos.rtd", , "PUT_CALL_RATIO", "SHYG")</f>
        <v>1.5</v>
      </c>
      <c r="D548" t="str">
        <f>RTD("tos.rtd", , "IMPL_VOL", "SHYG")</f>
        <v>20.09%</v>
      </c>
      <c r="E548">
        <f>RTD("tos.rtd", , "LAST", "SHYG")</f>
        <v>44.52</v>
      </c>
      <c r="F548">
        <f>RTD("tos.rtd", , "VOLUME", "SHYG")</f>
        <v>1714483</v>
      </c>
      <c r="G548">
        <f>RTD("tos.rtd", , "OPEN_INT", "SHYG")</f>
        <v>0</v>
      </c>
      <c r="H548">
        <f>RTD("tos.rtd", , "BID", "SHYG")</f>
        <v>34.229999999999997</v>
      </c>
      <c r="I548">
        <f>RTD("tos.rtd", , "ASK", "SHYG")</f>
        <v>46.55</v>
      </c>
      <c r="J548">
        <f>RTD("tos.rtd", , "HIGH", "SHYG")</f>
        <v>44.71</v>
      </c>
      <c r="K548">
        <f>RTD("tos.rtd", , "LOW", "SHYG")</f>
        <v>44.49</v>
      </c>
      <c r="L548">
        <f>RTD("tos.rtd", , "OPEN", "SHYG")</f>
        <v>44.71</v>
      </c>
      <c r="M548">
        <f>RTD("tos.rtd", , "DELTA", "SHYG")</f>
        <v>1</v>
      </c>
      <c r="N548">
        <f>RTD("tos.rtd", , "GAMMA", "SHYG")</f>
        <v>0</v>
      </c>
      <c r="O548">
        <f>RTD("tos.rtd", , "THETA", "SHYG")</f>
        <v>0</v>
      </c>
      <c r="P548">
        <f>RTD("tos.rtd", , "VEGA", "SHYG")</f>
        <v>0</v>
      </c>
      <c r="Q548">
        <f>RTD("tos.rtd", , "RHO", "SHYG")</f>
        <v>0</v>
      </c>
      <c r="R548" t="str">
        <f>RTD("tos.rtd", , "INTRINSIC", "SHYG")</f>
        <v>N/A</v>
      </c>
      <c r="S548" t="str">
        <f>RTD("tos.rtd", , "EXTRINSIC", "SHYG")</f>
        <v>N/A</v>
      </c>
      <c r="T548" t="str">
        <f>RTD("tos.rtd", , "PROB_OF_EXPIRING", "SHYG")</f>
        <v>N/A</v>
      </c>
      <c r="U548" t="str">
        <f>RTD("tos.rtd", , "PROB_OTM", "SHYG")</f>
        <v>N/A</v>
      </c>
      <c r="V548" t="str">
        <f>RTD("tos.rtd", , "PROB_OF_TOUCHING", "SHYG")</f>
        <v>N/A</v>
      </c>
      <c r="W548" t="str">
        <f>RTD("tos.rtd", , "STRIKE", "SHYG")</f>
        <v>N/A</v>
      </c>
    </row>
    <row r="549" spans="1:23" x14ac:dyDescent="0.45">
      <c r="A549" t="s">
        <v>570</v>
      </c>
      <c r="B549" t="str">
        <f>RTD("tos.rtd", , "DESCRIPTION", ".SHYG201120C45")</f>
        <v>N/A</v>
      </c>
      <c r="C549" t="str">
        <f>RTD("tos.rtd", , "PUT_CALL_RATIO", ".SHYG201120C45")</f>
        <v>N/A</v>
      </c>
      <c r="D549" t="str">
        <f>RTD("tos.rtd", , "IMPL_VOL", ".SHYG201120C45")</f>
        <v>N/A</v>
      </c>
      <c r="E549">
        <f>RTD("tos.rtd", , "LAST", ".SHYG201120C45")</f>
        <v>0</v>
      </c>
      <c r="F549">
        <f>RTD("tos.rtd", , "VOLUME", ".SHYG201120C45")</f>
        <v>0</v>
      </c>
      <c r="G549">
        <f>RTD("tos.rtd", , "OPEN_INT", ".SHYG201120C45")</f>
        <v>0</v>
      </c>
      <c r="H549">
        <f>RTD("tos.rtd", , "BID", ".SHYG201120C45")</f>
        <v>0</v>
      </c>
      <c r="I549">
        <f>RTD("tos.rtd", , "ASK", ".SHYG201120C45")</f>
        <v>2.1</v>
      </c>
      <c r="J549">
        <f>RTD("tos.rtd", , "HIGH", ".SHYG201120C45")</f>
        <v>0</v>
      </c>
      <c r="K549">
        <f>RTD("tos.rtd", , "LOW", ".SHYG201120C45")</f>
        <v>0</v>
      </c>
      <c r="L549">
        <f>RTD("tos.rtd", , "OPEN", ".SHYG201120C45")</f>
        <v>0</v>
      </c>
      <c r="M549" t="str">
        <f>RTD("tos.rtd", , "DELTA", ".SHYG201120C45")</f>
        <v>N/A</v>
      </c>
      <c r="N549" t="str">
        <f>RTD("tos.rtd", , "GAMMA", ".SHYG201120C45")</f>
        <v>N/A</v>
      </c>
      <c r="O549" t="str">
        <f>RTD("tos.rtd", , "THETA", ".SHYG201120C45")</f>
        <v>N/A</v>
      </c>
      <c r="P549" t="str">
        <f>RTD("tos.rtd", , "VEGA", ".SHYG201120C45")</f>
        <v>N/A</v>
      </c>
      <c r="Q549" t="str">
        <f>RTD("tos.rtd", , "RHO", ".SHYG201120C45")</f>
        <v>N/A</v>
      </c>
      <c r="R549" t="str">
        <f>RTD("tos.rtd", , "INTRINSIC", ".SHYG201120C45")</f>
        <v>N/A</v>
      </c>
      <c r="S549" t="str">
        <f>RTD("tos.rtd", , "EXTRINSIC", ".SHYG201120C45")</f>
        <v>N/A</v>
      </c>
      <c r="T549" t="str">
        <f>RTD("tos.rtd", , "PROB_OF_EXPIRING", ".SHYG201120C45")</f>
        <v>N/A</v>
      </c>
      <c r="U549" t="str">
        <f>RTD("tos.rtd", , "PROB_OTM", ".SHYG201120C45")</f>
        <v>N/A</v>
      </c>
      <c r="V549" t="str">
        <f>RTD("tos.rtd", , "PROB_OF_TOUCHING", ".SHYG201120C45")</f>
        <v>N/A</v>
      </c>
      <c r="W549" t="str">
        <f>RTD("tos.rtd", , "STRIKE", ".SHYG201120C45")</f>
        <v>N/A</v>
      </c>
    </row>
    <row r="550" spans="1:23" x14ac:dyDescent="0.45">
      <c r="A550" t="s">
        <v>571</v>
      </c>
      <c r="B550" t="str">
        <f>RTD("tos.rtd", , "DESCRIPTION", ".SHYG201120P45")</f>
        <v>N/A</v>
      </c>
      <c r="C550" t="str">
        <f>RTD("tos.rtd", , "PUT_CALL_RATIO", ".SHYG201120P45")</f>
        <v>N/A</v>
      </c>
      <c r="D550" t="str">
        <f>RTD("tos.rtd", , "IMPL_VOL", ".SHYG201120P45")</f>
        <v>N/A</v>
      </c>
      <c r="E550" t="str">
        <f>RTD("tos.rtd", , "LAST", ".SHYG201120P45")</f>
        <v>N/A</v>
      </c>
      <c r="F550" t="str">
        <f>RTD("tos.rtd", , "VOLUME", ".SHYG201120P45")</f>
        <v>N/A</v>
      </c>
      <c r="G550" t="str">
        <f>RTD("tos.rtd", , "OPEN_INT", ".SHYG201120P45")</f>
        <v>N/A</v>
      </c>
      <c r="H550" t="str">
        <f>RTD("tos.rtd", , "BID", ".SHYG201120P45")</f>
        <v>N/A</v>
      </c>
      <c r="I550" t="str">
        <f>RTD("tos.rtd", , "ASK", ".SHYG201120P45")</f>
        <v>N/A</v>
      </c>
      <c r="J550" t="str">
        <f>RTD("tos.rtd", , "HIGH", ".SHYG201120P45")</f>
        <v>N/A</v>
      </c>
      <c r="K550" t="str">
        <f>RTD("tos.rtd", , "LOW", ".SHYG201120P45")</f>
        <v>N/A</v>
      </c>
      <c r="L550" t="str">
        <f>RTD("tos.rtd", , "OPEN", ".SHYG201120P45")</f>
        <v>N/A</v>
      </c>
      <c r="M550" t="str">
        <f>RTD("tos.rtd", , "DELTA", ".SHYG201120P45")</f>
        <v>N/A</v>
      </c>
      <c r="N550" t="str">
        <f>RTD("tos.rtd", , "GAMMA", ".SHYG201120P45")</f>
        <v>N/A</v>
      </c>
      <c r="O550" t="str">
        <f>RTD("tos.rtd", , "THETA", ".SHYG201120P45")</f>
        <v>N/A</v>
      </c>
      <c r="P550" t="str">
        <f>RTD("tos.rtd", , "VEGA", ".SHYG201120P45")</f>
        <v>N/A</v>
      </c>
      <c r="Q550" t="str">
        <f>RTD("tos.rtd", , "RHO", ".SHYG201120P45")</f>
        <v>N/A</v>
      </c>
      <c r="R550" t="str">
        <f>RTD("tos.rtd", , "INTRINSIC", ".SHYG201120P45")</f>
        <v>N/A</v>
      </c>
      <c r="S550" t="str">
        <f>RTD("tos.rtd", , "EXTRINSIC", ".SHYG201120P45")</f>
        <v>N/A</v>
      </c>
      <c r="T550" t="str">
        <f>RTD("tos.rtd", , "PROB_OF_EXPIRING", ".SHYG201120P45")</f>
        <v>N/A</v>
      </c>
      <c r="U550" t="str">
        <f>RTD("tos.rtd", , "PROB_OTM", ".SHYG201120P45")</f>
        <v>N/A</v>
      </c>
      <c r="V550" t="str">
        <f>RTD("tos.rtd", , "PROB_OF_TOUCHING", ".SHYG201120P45")</f>
        <v>N/A</v>
      </c>
      <c r="W550" t="str">
        <f>RTD("tos.rtd", , "STRIKE", ".SHYG201120P45")</f>
        <v>N/A</v>
      </c>
    </row>
    <row r="551" spans="1:23" x14ac:dyDescent="0.45">
      <c r="A551" t="s">
        <v>572</v>
      </c>
      <c r="B551" t="str">
        <f>RTD("tos.rtd", , "DESCRIPTION", "SMH")</f>
        <v>N/A</v>
      </c>
      <c r="C551">
        <f>RTD("tos.rtd", , "PUT_CALL_RATIO", "SMH")</f>
        <v>0.371</v>
      </c>
      <c r="D551" t="str">
        <f>RTD("tos.rtd", , "IMPL_VOL", "SMH")</f>
        <v>33.25%</v>
      </c>
      <c r="E551">
        <f>RTD("tos.rtd", , "LAST", "SMH")</f>
        <v>193.35</v>
      </c>
      <c r="F551">
        <f>RTD("tos.rtd", , "VOLUME", "SMH")</f>
        <v>3202772</v>
      </c>
      <c r="G551">
        <f>RTD("tos.rtd", , "OPEN_INT", "SMH")</f>
        <v>0</v>
      </c>
      <c r="H551">
        <f>RTD("tos.rtd", , "BID", "SMH")</f>
        <v>193.75</v>
      </c>
      <c r="I551">
        <f>RTD("tos.rtd", , "ASK", "SMH")</f>
        <v>195.3</v>
      </c>
      <c r="J551">
        <f>RTD("tos.rtd", , "HIGH", "SMH")</f>
        <v>196.68</v>
      </c>
      <c r="K551">
        <f>RTD("tos.rtd", , "LOW", "SMH")</f>
        <v>192.47</v>
      </c>
      <c r="L551">
        <f>RTD("tos.rtd", , "OPEN", "SMH")</f>
        <v>195.69</v>
      </c>
      <c r="M551">
        <f>RTD("tos.rtd", , "DELTA", "SMH")</f>
        <v>1</v>
      </c>
      <c r="N551">
        <f>RTD("tos.rtd", , "GAMMA", "SMH")</f>
        <v>0</v>
      </c>
      <c r="O551">
        <f>RTD("tos.rtd", , "THETA", "SMH")</f>
        <v>0</v>
      </c>
      <c r="P551">
        <f>RTD("tos.rtd", , "VEGA", "SMH")</f>
        <v>0</v>
      </c>
      <c r="Q551">
        <f>RTD("tos.rtd", , "RHO", "SMH")</f>
        <v>0</v>
      </c>
      <c r="R551" t="str">
        <f>RTD("tos.rtd", , "INTRINSIC", "SMH")</f>
        <v>N/A</v>
      </c>
      <c r="S551" t="str">
        <f>RTD("tos.rtd", , "EXTRINSIC", "SMH")</f>
        <v>N/A</v>
      </c>
      <c r="T551" t="str">
        <f>RTD("tos.rtd", , "PROB_OF_EXPIRING", "SMH")</f>
        <v>N/A</v>
      </c>
      <c r="U551" t="str">
        <f>RTD("tos.rtd", , "PROB_OTM", "SMH")</f>
        <v>N/A</v>
      </c>
      <c r="V551" t="str">
        <f>RTD("tos.rtd", , "PROB_OF_TOUCHING", "SMH")</f>
        <v>N/A</v>
      </c>
      <c r="W551" t="str">
        <f>RTD("tos.rtd", , "STRIKE", "SMH")</f>
        <v>N/A</v>
      </c>
    </row>
    <row r="552" spans="1:23" x14ac:dyDescent="0.45">
      <c r="A552" t="s">
        <v>573</v>
      </c>
      <c r="B552" t="str">
        <f>RTD("tos.rtd", , "DESCRIPTION", ".SMH201120C192.5")</f>
        <v>N/A</v>
      </c>
      <c r="C552" t="str">
        <f>RTD("tos.rtd", , "PUT_CALL_RATIO", ".SMH201120C192.5")</f>
        <v>N/A</v>
      </c>
      <c r="D552" t="str">
        <f>RTD("tos.rtd", , "IMPL_VOL", ".SMH201120C192.5")</f>
        <v>N/A</v>
      </c>
      <c r="E552">
        <f>RTD("tos.rtd", , "LAST", ".SMH201120C192.5")</f>
        <v>3.75</v>
      </c>
      <c r="F552">
        <f>RTD("tos.rtd", , "VOLUME", ".SMH201120C192.5")</f>
        <v>7</v>
      </c>
      <c r="G552">
        <f>RTD("tos.rtd", , "OPEN_INT", ".SMH201120C192.5")</f>
        <v>60</v>
      </c>
      <c r="H552">
        <f>RTD("tos.rtd", , "BID", ".SMH201120C192.5")</f>
        <v>3.65</v>
      </c>
      <c r="I552">
        <f>RTD("tos.rtd", , "ASK", ".SMH201120C192.5")</f>
        <v>3.95</v>
      </c>
      <c r="J552">
        <f>RTD("tos.rtd", , "HIGH", ".SMH201120C192.5")</f>
        <v>5</v>
      </c>
      <c r="K552">
        <f>RTD("tos.rtd", , "LOW", ".SMH201120C192.5")</f>
        <v>3.75</v>
      </c>
      <c r="L552">
        <f>RTD("tos.rtd", , "OPEN", ".SMH201120C192.5")</f>
        <v>5</v>
      </c>
      <c r="M552" t="str">
        <f>RTD("tos.rtd", , "DELTA", ".SMH201120C192.5")</f>
        <v>N/A</v>
      </c>
      <c r="N552" t="str">
        <f>RTD("tos.rtd", , "GAMMA", ".SMH201120C192.5")</f>
        <v>N/A</v>
      </c>
      <c r="O552" t="str">
        <f>RTD("tos.rtd", , "THETA", ".SMH201120C192.5")</f>
        <v>N/A</v>
      </c>
      <c r="P552" t="str">
        <f>RTD("tos.rtd", , "VEGA", ".SMH201120C192.5")</f>
        <v>N/A</v>
      </c>
      <c r="Q552" t="str">
        <f>RTD("tos.rtd", , "RHO", ".SMH201120C192.5")</f>
        <v>N/A</v>
      </c>
      <c r="R552" t="str">
        <f>RTD("tos.rtd", , "INTRINSIC", ".SMH201120C192.5")</f>
        <v>N/A</v>
      </c>
      <c r="S552" t="str">
        <f>RTD("tos.rtd", , "EXTRINSIC", ".SMH201120C192.5")</f>
        <v>N/A</v>
      </c>
      <c r="T552" t="str">
        <f>RTD("tos.rtd", , "PROB_OF_EXPIRING", ".SMH201120C192.5")</f>
        <v>N/A</v>
      </c>
      <c r="U552" t="str">
        <f>RTD("tos.rtd", , "PROB_OTM", ".SMH201120C192.5")</f>
        <v>N/A</v>
      </c>
      <c r="V552" t="str">
        <f>RTD("tos.rtd", , "PROB_OF_TOUCHING", ".SMH201120C192.5")</f>
        <v>N/A</v>
      </c>
      <c r="W552" t="str">
        <f>RTD("tos.rtd", , "STRIKE", ".SMH201120C192.5")</f>
        <v>N/A</v>
      </c>
    </row>
    <row r="553" spans="1:23" x14ac:dyDescent="0.45">
      <c r="A553" t="s">
        <v>574</v>
      </c>
      <c r="B553" t="str">
        <f>RTD("tos.rtd", , "DESCRIPTION", ".SMH201120P192.5")</f>
        <v>N/A</v>
      </c>
      <c r="C553" t="str">
        <f>RTD("tos.rtd", , "PUT_CALL_RATIO", ".SMH201120P192.5")</f>
        <v>N/A</v>
      </c>
      <c r="D553" t="str">
        <f>RTD("tos.rtd", , "IMPL_VOL", ".SMH201120P192.5")</f>
        <v>N/A</v>
      </c>
      <c r="E553">
        <f>RTD("tos.rtd", , "LAST", ".SMH201120P192.5")</f>
        <v>2.4500000000000002</v>
      </c>
      <c r="F553">
        <f>RTD("tos.rtd", , "VOLUME", ".SMH201120P192.5")</f>
        <v>0</v>
      </c>
      <c r="G553">
        <f>RTD("tos.rtd", , "OPEN_INT", ".SMH201120P192.5")</f>
        <v>32</v>
      </c>
      <c r="H553">
        <f>RTD("tos.rtd", , "BID", ".SMH201120P192.5")</f>
        <v>3</v>
      </c>
      <c r="I553">
        <f>RTD("tos.rtd", , "ASK", ".SMH201120P192.5")</f>
        <v>3.15</v>
      </c>
      <c r="J553">
        <f>RTD("tos.rtd", , "HIGH", ".SMH201120P192.5")</f>
        <v>0</v>
      </c>
      <c r="K553">
        <f>RTD("tos.rtd", , "LOW", ".SMH201120P192.5")</f>
        <v>0</v>
      </c>
      <c r="L553">
        <f>RTD("tos.rtd", , "OPEN", ".SMH201120P192.5")</f>
        <v>0</v>
      </c>
      <c r="M553" t="str">
        <f>RTD("tos.rtd", , "DELTA", ".SMH201120P192.5")</f>
        <v>N/A</v>
      </c>
      <c r="N553" t="str">
        <f>RTD("tos.rtd", , "GAMMA", ".SMH201120P192.5")</f>
        <v>N/A</v>
      </c>
      <c r="O553" t="str">
        <f>RTD("tos.rtd", , "THETA", ".SMH201120P192.5")</f>
        <v>N/A</v>
      </c>
      <c r="P553" t="str">
        <f>RTD("tos.rtd", , "VEGA", ".SMH201120P192.5")</f>
        <v>N/A</v>
      </c>
      <c r="Q553" t="str">
        <f>RTD("tos.rtd", , "RHO", ".SMH201120P192.5")</f>
        <v>N/A</v>
      </c>
      <c r="R553" t="str">
        <f>RTD("tos.rtd", , "INTRINSIC", ".SMH201120P192.5")</f>
        <v>N/A</v>
      </c>
      <c r="S553" t="str">
        <f>RTD("tos.rtd", , "EXTRINSIC", ".SMH201120P192.5")</f>
        <v>N/A</v>
      </c>
      <c r="T553" t="str">
        <f>RTD("tos.rtd", , "PROB_OF_EXPIRING", ".SMH201120P192.5")</f>
        <v>N/A</v>
      </c>
      <c r="U553" t="str">
        <f>RTD("tos.rtd", , "PROB_OTM", ".SMH201120P192.5")</f>
        <v>N/A</v>
      </c>
      <c r="V553" t="str">
        <f>RTD("tos.rtd", , "PROB_OF_TOUCHING", ".SMH201120P192.5")</f>
        <v>N/A</v>
      </c>
      <c r="W553" t="str">
        <f>RTD("tos.rtd", , "STRIKE", ".SMH201120P192.5")</f>
        <v>N/A</v>
      </c>
    </row>
    <row r="554" spans="1:23" x14ac:dyDescent="0.45">
      <c r="A554" t="s">
        <v>575</v>
      </c>
      <c r="B554" t="str">
        <f>RTD("tos.rtd", , "DESCRIPTION", ".SMH201120C193")</f>
        <v>N/A</v>
      </c>
      <c r="C554" t="str">
        <f>RTD("tos.rtd", , "PUT_CALL_RATIO", ".SMH201120C193")</f>
        <v>N/A</v>
      </c>
      <c r="D554" t="str">
        <f>RTD("tos.rtd", , "IMPL_VOL", ".SMH201120C193")</f>
        <v>N/A</v>
      </c>
      <c r="E554">
        <f>RTD("tos.rtd", , "LAST", ".SMH201120C193")</f>
        <v>3.55</v>
      </c>
      <c r="F554">
        <f>RTD("tos.rtd", , "VOLUME", ".SMH201120C193")</f>
        <v>4</v>
      </c>
      <c r="G554">
        <f>RTD("tos.rtd", , "OPEN_INT", ".SMH201120C193")</f>
        <v>38</v>
      </c>
      <c r="H554">
        <f>RTD("tos.rtd", , "BID", ".SMH201120C193")</f>
        <v>3.4</v>
      </c>
      <c r="I554">
        <f>RTD("tos.rtd", , "ASK", ".SMH201120C193")</f>
        <v>3.65</v>
      </c>
      <c r="J554">
        <f>RTD("tos.rtd", , "HIGH", ".SMH201120C193")</f>
        <v>3.55</v>
      </c>
      <c r="K554">
        <f>RTD("tos.rtd", , "LOW", ".SMH201120C193")</f>
        <v>3.38</v>
      </c>
      <c r="L554">
        <f>RTD("tos.rtd", , "OPEN", ".SMH201120C193")</f>
        <v>3.38</v>
      </c>
      <c r="M554" t="str">
        <f>RTD("tos.rtd", , "DELTA", ".SMH201120C193")</f>
        <v>N/A</v>
      </c>
      <c r="N554" t="str">
        <f>RTD("tos.rtd", , "GAMMA", ".SMH201120C193")</f>
        <v>N/A</v>
      </c>
      <c r="O554" t="str">
        <f>RTD("tos.rtd", , "THETA", ".SMH201120C193")</f>
        <v>N/A</v>
      </c>
      <c r="P554" t="str">
        <f>RTD("tos.rtd", , "VEGA", ".SMH201120C193")</f>
        <v>N/A</v>
      </c>
      <c r="Q554" t="str">
        <f>RTD("tos.rtd", , "RHO", ".SMH201120C193")</f>
        <v>N/A</v>
      </c>
      <c r="R554" t="str">
        <f>RTD("tos.rtd", , "INTRINSIC", ".SMH201120C193")</f>
        <v>N/A</v>
      </c>
      <c r="S554" t="str">
        <f>RTD("tos.rtd", , "EXTRINSIC", ".SMH201120C193")</f>
        <v>N/A</v>
      </c>
      <c r="T554" t="str">
        <f>RTD("tos.rtd", , "PROB_OF_EXPIRING", ".SMH201120C193")</f>
        <v>N/A</v>
      </c>
      <c r="U554" t="str">
        <f>RTD("tos.rtd", , "PROB_OTM", ".SMH201120C193")</f>
        <v>N/A</v>
      </c>
      <c r="V554" t="str">
        <f>RTD("tos.rtd", , "PROB_OF_TOUCHING", ".SMH201120C193")</f>
        <v>N/A</v>
      </c>
      <c r="W554" t="str">
        <f>RTD("tos.rtd", , "STRIKE", ".SMH201120C193")</f>
        <v>N/A</v>
      </c>
    </row>
    <row r="555" spans="1:23" x14ac:dyDescent="0.45">
      <c r="A555" t="s">
        <v>576</v>
      </c>
      <c r="B555" t="str">
        <f>RTD("tos.rtd", , "DESCRIPTION", ".SMH201120P193")</f>
        <v>N/A</v>
      </c>
      <c r="C555" t="str">
        <f>RTD("tos.rtd", , "PUT_CALL_RATIO", ".SMH201120P193")</f>
        <v>N/A</v>
      </c>
      <c r="D555" t="str">
        <f>RTD("tos.rtd", , "IMPL_VOL", ".SMH201120P193")</f>
        <v>N/A</v>
      </c>
      <c r="E555">
        <f>RTD("tos.rtd", , "LAST", ".SMH201120P193")</f>
        <v>2.72</v>
      </c>
      <c r="F555">
        <f>RTD("tos.rtd", , "VOLUME", ".SMH201120P193")</f>
        <v>52</v>
      </c>
      <c r="G555">
        <f>RTD("tos.rtd", , "OPEN_INT", ".SMH201120P193")</f>
        <v>22</v>
      </c>
      <c r="H555">
        <f>RTD("tos.rtd", , "BID", ".SMH201120P193")</f>
        <v>3.2</v>
      </c>
      <c r="I555">
        <f>RTD("tos.rtd", , "ASK", ".SMH201120P193")</f>
        <v>3.4</v>
      </c>
      <c r="J555">
        <f>RTD("tos.rtd", , "HIGH", ".SMH201120P193")</f>
        <v>3</v>
      </c>
      <c r="K555">
        <f>RTD("tos.rtd", , "LOW", ".SMH201120P193")</f>
        <v>2.2799999999999998</v>
      </c>
      <c r="L555">
        <f>RTD("tos.rtd", , "OPEN", ".SMH201120P193")</f>
        <v>2.2799999999999998</v>
      </c>
      <c r="M555" t="str">
        <f>RTD("tos.rtd", , "DELTA", ".SMH201120P193")</f>
        <v>N/A</v>
      </c>
      <c r="N555" t="str">
        <f>RTD("tos.rtd", , "GAMMA", ".SMH201120P193")</f>
        <v>N/A</v>
      </c>
      <c r="O555" t="str">
        <f>RTD("tos.rtd", , "THETA", ".SMH201120P193")</f>
        <v>N/A</v>
      </c>
      <c r="P555" t="str">
        <f>RTD("tos.rtd", , "VEGA", ".SMH201120P193")</f>
        <v>N/A</v>
      </c>
      <c r="Q555" t="str">
        <f>RTD("tos.rtd", , "RHO", ".SMH201120P193")</f>
        <v>N/A</v>
      </c>
      <c r="R555" t="str">
        <f>RTD("tos.rtd", , "INTRINSIC", ".SMH201120P193")</f>
        <v>N/A</v>
      </c>
      <c r="S555" t="str">
        <f>RTD("tos.rtd", , "EXTRINSIC", ".SMH201120P193")</f>
        <v>N/A</v>
      </c>
      <c r="T555" t="str">
        <f>RTD("tos.rtd", , "PROB_OF_EXPIRING", ".SMH201120P193")</f>
        <v>N/A</v>
      </c>
      <c r="U555" t="str">
        <f>RTD("tos.rtd", , "PROB_OTM", ".SMH201120P193")</f>
        <v>N/A</v>
      </c>
      <c r="V555" t="str">
        <f>RTD("tos.rtd", , "PROB_OF_TOUCHING", ".SMH201120P193")</f>
        <v>N/A</v>
      </c>
      <c r="W555" t="str">
        <f>RTD("tos.rtd", , "STRIKE", ".SMH201120P193")</f>
        <v>N/A</v>
      </c>
    </row>
    <row r="556" spans="1:23" x14ac:dyDescent="0.45">
      <c r="A556" t="s">
        <v>577</v>
      </c>
      <c r="B556" t="str">
        <f>RTD("tos.rtd", , "DESCRIPTION", ".SMH201120C193.5")</f>
        <v>N/A</v>
      </c>
      <c r="C556" t="str">
        <f>RTD("tos.rtd", , "PUT_CALL_RATIO", ".SMH201120C193.5")</f>
        <v>N/A</v>
      </c>
      <c r="D556" t="str">
        <f>RTD("tos.rtd", , "IMPL_VOL", ".SMH201120C193.5")</f>
        <v>N/A</v>
      </c>
      <c r="E556">
        <f>RTD("tos.rtd", , "LAST", ".SMH201120C193.5")</f>
        <v>3</v>
      </c>
      <c r="F556">
        <f>RTD("tos.rtd", , "VOLUME", ".SMH201120C193.5")</f>
        <v>14</v>
      </c>
      <c r="G556">
        <f>RTD("tos.rtd", , "OPEN_INT", ".SMH201120C193.5")</f>
        <v>1144</v>
      </c>
      <c r="H556">
        <f>RTD("tos.rtd", , "BID", ".SMH201120C193.5")</f>
        <v>3.15</v>
      </c>
      <c r="I556">
        <f>RTD("tos.rtd", , "ASK", ".SMH201120C193.5")</f>
        <v>3.35</v>
      </c>
      <c r="J556">
        <f>RTD("tos.rtd", , "HIGH", ".SMH201120C193.5")</f>
        <v>4.3600000000000003</v>
      </c>
      <c r="K556">
        <f>RTD("tos.rtd", , "LOW", ".SMH201120C193.5")</f>
        <v>3</v>
      </c>
      <c r="L556">
        <f>RTD("tos.rtd", , "OPEN", ".SMH201120C193.5")</f>
        <v>4.3600000000000003</v>
      </c>
      <c r="M556" t="str">
        <f>RTD("tos.rtd", , "DELTA", ".SMH201120C193.5")</f>
        <v>N/A</v>
      </c>
      <c r="N556" t="str">
        <f>RTD("tos.rtd", , "GAMMA", ".SMH201120C193.5")</f>
        <v>N/A</v>
      </c>
      <c r="O556" t="str">
        <f>RTD("tos.rtd", , "THETA", ".SMH201120C193.5")</f>
        <v>N/A</v>
      </c>
      <c r="P556" t="str">
        <f>RTD("tos.rtd", , "VEGA", ".SMH201120C193.5")</f>
        <v>N/A</v>
      </c>
      <c r="Q556" t="str">
        <f>RTD("tos.rtd", , "RHO", ".SMH201120C193.5")</f>
        <v>N/A</v>
      </c>
      <c r="R556" t="str">
        <f>RTD("tos.rtd", , "INTRINSIC", ".SMH201120C193.5")</f>
        <v>N/A</v>
      </c>
      <c r="S556" t="str">
        <f>RTD("tos.rtd", , "EXTRINSIC", ".SMH201120C193.5")</f>
        <v>N/A</v>
      </c>
      <c r="T556" t="str">
        <f>RTD("tos.rtd", , "PROB_OF_EXPIRING", ".SMH201120C193.5")</f>
        <v>N/A</v>
      </c>
      <c r="U556" t="str">
        <f>RTD("tos.rtd", , "PROB_OTM", ".SMH201120C193.5")</f>
        <v>N/A</v>
      </c>
      <c r="V556" t="str">
        <f>RTD("tos.rtd", , "PROB_OF_TOUCHING", ".SMH201120C193.5")</f>
        <v>N/A</v>
      </c>
      <c r="W556" t="str">
        <f>RTD("tos.rtd", , "STRIKE", ".SMH201120C193.5")</f>
        <v>N/A</v>
      </c>
    </row>
    <row r="557" spans="1:23" x14ac:dyDescent="0.45">
      <c r="A557" t="s">
        <v>578</v>
      </c>
      <c r="B557" t="str">
        <f>RTD("tos.rtd", , "DESCRIPTION", ".SMH201120P193.5")</f>
        <v>N/A</v>
      </c>
      <c r="C557" t="str">
        <f>RTD("tos.rtd", , "PUT_CALL_RATIO", ".SMH201120P193.5")</f>
        <v>N/A</v>
      </c>
      <c r="D557" t="str">
        <f>RTD("tos.rtd", , "IMPL_VOL", ".SMH201120P193.5")</f>
        <v>N/A</v>
      </c>
      <c r="E557">
        <f>RTD("tos.rtd", , "LAST", ".SMH201120P193.5")</f>
        <v>2.31</v>
      </c>
      <c r="F557">
        <f>RTD("tos.rtd", , "VOLUME", ".SMH201120P193.5")</f>
        <v>4</v>
      </c>
      <c r="G557">
        <f>RTD("tos.rtd", , "OPEN_INT", ".SMH201120P193.5")</f>
        <v>1004</v>
      </c>
      <c r="H557">
        <f>RTD("tos.rtd", , "BID", ".SMH201120P193.5")</f>
        <v>3.45</v>
      </c>
      <c r="I557">
        <f>RTD("tos.rtd", , "ASK", ".SMH201120P193.5")</f>
        <v>3.65</v>
      </c>
      <c r="J557">
        <f>RTD("tos.rtd", , "HIGH", ".SMH201120P193.5")</f>
        <v>2.72</v>
      </c>
      <c r="K557">
        <f>RTD("tos.rtd", , "LOW", ".SMH201120P193.5")</f>
        <v>2.29</v>
      </c>
      <c r="L557">
        <f>RTD("tos.rtd", , "OPEN", ".SMH201120P193.5")</f>
        <v>2.72</v>
      </c>
      <c r="M557" t="str">
        <f>RTD("tos.rtd", , "DELTA", ".SMH201120P193.5")</f>
        <v>N/A</v>
      </c>
      <c r="N557" t="str">
        <f>RTD("tos.rtd", , "GAMMA", ".SMH201120P193.5")</f>
        <v>N/A</v>
      </c>
      <c r="O557" t="str">
        <f>RTD("tos.rtd", , "THETA", ".SMH201120P193.5")</f>
        <v>N/A</v>
      </c>
      <c r="P557" t="str">
        <f>RTD("tos.rtd", , "VEGA", ".SMH201120P193.5")</f>
        <v>N/A</v>
      </c>
      <c r="Q557" t="str">
        <f>RTD("tos.rtd", , "RHO", ".SMH201120P193.5")</f>
        <v>N/A</v>
      </c>
      <c r="R557" t="str">
        <f>RTD("tos.rtd", , "INTRINSIC", ".SMH201120P193.5")</f>
        <v>N/A</v>
      </c>
      <c r="S557" t="str">
        <f>RTD("tos.rtd", , "EXTRINSIC", ".SMH201120P193.5")</f>
        <v>N/A</v>
      </c>
      <c r="T557" t="str">
        <f>RTD("tos.rtd", , "PROB_OF_EXPIRING", ".SMH201120P193.5")</f>
        <v>N/A</v>
      </c>
      <c r="U557" t="str">
        <f>RTD("tos.rtd", , "PROB_OTM", ".SMH201120P193.5")</f>
        <v>N/A</v>
      </c>
      <c r="V557" t="str">
        <f>RTD("tos.rtd", , "PROB_OF_TOUCHING", ".SMH201120P193.5")</f>
        <v>N/A</v>
      </c>
      <c r="W557" t="str">
        <f>RTD("tos.rtd", , "STRIKE", ".SMH201120P193.5")</f>
        <v>N/A</v>
      </c>
    </row>
    <row r="558" spans="1:23" x14ac:dyDescent="0.45">
      <c r="A558" t="s">
        <v>579</v>
      </c>
      <c r="B558" t="str">
        <f>RTD("tos.rtd", , "DESCRIPTION", ".SMH201120C194")</f>
        <v>N/A</v>
      </c>
      <c r="C558" t="str">
        <f>RTD("tos.rtd", , "PUT_CALL_RATIO", ".SMH201120C194")</f>
        <v>N/A</v>
      </c>
      <c r="D558" t="str">
        <f>RTD("tos.rtd", , "IMPL_VOL", ".SMH201120C194")</f>
        <v>N/A</v>
      </c>
      <c r="E558">
        <f>RTD("tos.rtd", , "LAST", ".SMH201120C194")</f>
        <v>3.01</v>
      </c>
      <c r="F558">
        <f>RTD("tos.rtd", , "VOLUME", ".SMH201120C194")</f>
        <v>4</v>
      </c>
      <c r="G558">
        <f>RTD("tos.rtd", , "OPEN_INT", ".SMH201120C194")</f>
        <v>356</v>
      </c>
      <c r="H558">
        <f>RTD("tos.rtd", , "BID", ".SMH201120C194")</f>
        <v>2.62</v>
      </c>
      <c r="I558">
        <f>RTD("tos.rtd", , "ASK", ".SMH201120C194")</f>
        <v>3.1</v>
      </c>
      <c r="J558">
        <f>RTD("tos.rtd", , "HIGH", ".SMH201120C194")</f>
        <v>3.01</v>
      </c>
      <c r="K558">
        <f>RTD("tos.rtd", , "LOW", ".SMH201120C194")</f>
        <v>2.89</v>
      </c>
      <c r="L558">
        <f>RTD("tos.rtd", , "OPEN", ".SMH201120C194")</f>
        <v>2.89</v>
      </c>
      <c r="M558" t="str">
        <f>RTD("tos.rtd", , "DELTA", ".SMH201120C194")</f>
        <v>N/A</v>
      </c>
      <c r="N558" t="str">
        <f>RTD("tos.rtd", , "GAMMA", ".SMH201120C194")</f>
        <v>N/A</v>
      </c>
      <c r="O558" t="str">
        <f>RTD("tos.rtd", , "THETA", ".SMH201120C194")</f>
        <v>N/A</v>
      </c>
      <c r="P558" t="str">
        <f>RTD("tos.rtd", , "VEGA", ".SMH201120C194")</f>
        <v>N/A</v>
      </c>
      <c r="Q558" t="str">
        <f>RTD("tos.rtd", , "RHO", ".SMH201120C194")</f>
        <v>N/A</v>
      </c>
      <c r="R558" t="str">
        <f>RTD("tos.rtd", , "INTRINSIC", ".SMH201120C194")</f>
        <v>N/A</v>
      </c>
      <c r="S558" t="str">
        <f>RTD("tos.rtd", , "EXTRINSIC", ".SMH201120C194")</f>
        <v>N/A</v>
      </c>
      <c r="T558" t="str">
        <f>RTD("tos.rtd", , "PROB_OF_EXPIRING", ".SMH201120C194")</f>
        <v>N/A</v>
      </c>
      <c r="U558" t="str">
        <f>RTD("tos.rtd", , "PROB_OTM", ".SMH201120C194")</f>
        <v>N/A</v>
      </c>
      <c r="V558" t="str">
        <f>RTD("tos.rtd", , "PROB_OF_TOUCHING", ".SMH201120C194")</f>
        <v>N/A</v>
      </c>
      <c r="W558" t="str">
        <f>RTD("tos.rtd", , "STRIKE", ".SMH201120C194")</f>
        <v>N/A</v>
      </c>
    </row>
    <row r="559" spans="1:23" x14ac:dyDescent="0.45">
      <c r="A559" t="s">
        <v>580</v>
      </c>
      <c r="B559" t="str">
        <f>RTD("tos.rtd", , "DESCRIPTION", ".SMH201120P194")</f>
        <v>N/A</v>
      </c>
      <c r="C559" t="str">
        <f>RTD("tos.rtd", , "PUT_CALL_RATIO", ".SMH201120P194")</f>
        <v>N/A</v>
      </c>
      <c r="D559" t="str">
        <f>RTD("tos.rtd", , "IMPL_VOL", ".SMH201120P194")</f>
        <v>N/A</v>
      </c>
      <c r="E559">
        <f>RTD("tos.rtd", , "LAST", ".SMH201120P194")</f>
        <v>3.78</v>
      </c>
      <c r="F559">
        <f>RTD("tos.rtd", , "VOLUME", ".SMH201120P194")</f>
        <v>19</v>
      </c>
      <c r="G559">
        <f>RTD("tos.rtd", , "OPEN_INT", ".SMH201120P194")</f>
        <v>334</v>
      </c>
      <c r="H559">
        <f>RTD("tos.rtd", , "BID", ".SMH201120P194")</f>
        <v>3.6</v>
      </c>
      <c r="I559">
        <f>RTD("tos.rtd", , "ASK", ".SMH201120P194")</f>
        <v>3.9</v>
      </c>
      <c r="J559">
        <f>RTD("tos.rtd", , "HIGH", ".SMH201120P194")</f>
        <v>3.78</v>
      </c>
      <c r="K559">
        <f>RTD("tos.rtd", , "LOW", ".SMH201120P194")</f>
        <v>2.52</v>
      </c>
      <c r="L559">
        <f>RTD("tos.rtd", , "OPEN", ".SMH201120P194")</f>
        <v>3.1</v>
      </c>
      <c r="M559" t="str">
        <f>RTD("tos.rtd", , "DELTA", ".SMH201120P194")</f>
        <v>N/A</v>
      </c>
      <c r="N559" t="str">
        <f>RTD("tos.rtd", , "GAMMA", ".SMH201120P194")</f>
        <v>N/A</v>
      </c>
      <c r="O559" t="str">
        <f>RTD("tos.rtd", , "THETA", ".SMH201120P194")</f>
        <v>N/A</v>
      </c>
      <c r="P559" t="str">
        <f>RTD("tos.rtd", , "VEGA", ".SMH201120P194")</f>
        <v>N/A</v>
      </c>
      <c r="Q559" t="str">
        <f>RTD("tos.rtd", , "RHO", ".SMH201120P194")</f>
        <v>N/A</v>
      </c>
      <c r="R559" t="str">
        <f>RTD("tos.rtd", , "INTRINSIC", ".SMH201120P194")</f>
        <v>N/A</v>
      </c>
      <c r="S559" t="str">
        <f>RTD("tos.rtd", , "EXTRINSIC", ".SMH201120P194")</f>
        <v>N/A</v>
      </c>
      <c r="T559" t="str">
        <f>RTD("tos.rtd", , "PROB_OF_EXPIRING", ".SMH201120P194")</f>
        <v>N/A</v>
      </c>
      <c r="U559" t="str">
        <f>RTD("tos.rtd", , "PROB_OTM", ".SMH201120P194")</f>
        <v>N/A</v>
      </c>
      <c r="V559" t="str">
        <f>RTD("tos.rtd", , "PROB_OF_TOUCHING", ".SMH201120P194")</f>
        <v>N/A</v>
      </c>
      <c r="W559" t="str">
        <f>RTD("tos.rtd", , "STRIKE", ".SMH201120P194")</f>
        <v>N/A</v>
      </c>
    </row>
    <row r="560" spans="1:23" x14ac:dyDescent="0.45">
      <c r="A560" t="s">
        <v>581</v>
      </c>
      <c r="B560" t="str">
        <f>RTD("tos.rtd", , "DESCRIPTION", ".SMH201120C194.5")</f>
        <v>N/A</v>
      </c>
      <c r="C560" t="str">
        <f>RTD("tos.rtd", , "PUT_CALL_RATIO", ".SMH201120C194.5")</f>
        <v>N/A</v>
      </c>
      <c r="D560" t="str">
        <f>RTD("tos.rtd", , "IMPL_VOL", ".SMH201120C194.5")</f>
        <v>N/A</v>
      </c>
      <c r="E560">
        <f>RTD("tos.rtd", , "LAST", ".SMH201120C194.5")</f>
        <v>2.74</v>
      </c>
      <c r="F560">
        <f>RTD("tos.rtd", , "VOLUME", ".SMH201120C194.5")</f>
        <v>3</v>
      </c>
      <c r="G560">
        <f>RTD("tos.rtd", , "OPEN_INT", ".SMH201120C194.5")</f>
        <v>0</v>
      </c>
      <c r="H560">
        <f>RTD("tos.rtd", , "BID", ".SMH201120C194.5")</f>
        <v>2.63</v>
      </c>
      <c r="I560">
        <f>RTD("tos.rtd", , "ASK", ".SMH201120C194.5")</f>
        <v>2.93</v>
      </c>
      <c r="J560">
        <f>RTD("tos.rtd", , "HIGH", ".SMH201120C194.5")</f>
        <v>2.74</v>
      </c>
      <c r="K560">
        <f>RTD("tos.rtd", , "LOW", ".SMH201120C194.5")</f>
        <v>2.74</v>
      </c>
      <c r="L560">
        <f>RTD("tos.rtd", , "OPEN", ".SMH201120C194.5")</f>
        <v>2.74</v>
      </c>
      <c r="M560" t="str">
        <f>RTD("tos.rtd", , "DELTA", ".SMH201120C194.5")</f>
        <v>N/A</v>
      </c>
      <c r="N560" t="str">
        <f>RTD("tos.rtd", , "GAMMA", ".SMH201120C194.5")</f>
        <v>N/A</v>
      </c>
      <c r="O560" t="str">
        <f>RTD("tos.rtd", , "THETA", ".SMH201120C194.5")</f>
        <v>N/A</v>
      </c>
      <c r="P560" t="str">
        <f>RTD("tos.rtd", , "VEGA", ".SMH201120C194.5")</f>
        <v>N/A</v>
      </c>
      <c r="Q560" t="str">
        <f>RTD("tos.rtd", , "RHO", ".SMH201120C194.5")</f>
        <v>N/A</v>
      </c>
      <c r="R560" t="str">
        <f>RTD("tos.rtd", , "INTRINSIC", ".SMH201120C194.5")</f>
        <v>N/A</v>
      </c>
      <c r="S560" t="str">
        <f>RTD("tos.rtd", , "EXTRINSIC", ".SMH201120C194.5")</f>
        <v>N/A</v>
      </c>
      <c r="T560" t="str">
        <f>RTD("tos.rtd", , "PROB_OF_EXPIRING", ".SMH201120C194.5")</f>
        <v>N/A</v>
      </c>
      <c r="U560" t="str">
        <f>RTD("tos.rtd", , "PROB_OTM", ".SMH201120C194.5")</f>
        <v>N/A</v>
      </c>
      <c r="V560" t="str">
        <f>RTD("tos.rtd", , "PROB_OF_TOUCHING", ".SMH201120C194.5")</f>
        <v>N/A</v>
      </c>
      <c r="W560" t="str">
        <f>RTD("tos.rtd", , "STRIKE", ".SMH201120C194.5")</f>
        <v>N/A</v>
      </c>
    </row>
    <row r="561" spans="1:23" x14ac:dyDescent="0.45">
      <c r="A561" t="s">
        <v>582</v>
      </c>
      <c r="B561" t="str">
        <f>RTD("tos.rtd", , "DESCRIPTION", ".SMH201120P194.5")</f>
        <v>N/A</v>
      </c>
      <c r="C561" t="str">
        <f>RTD("tos.rtd", , "PUT_CALL_RATIO", ".SMH201120P194.5")</f>
        <v>N/A</v>
      </c>
      <c r="D561" t="str">
        <f>RTD("tos.rtd", , "IMPL_VOL", ".SMH201120P194.5")</f>
        <v>N/A</v>
      </c>
      <c r="E561">
        <f>RTD("tos.rtd", , "LAST", ".SMH201120P194.5")</f>
        <v>2.97</v>
      </c>
      <c r="F561">
        <f>RTD("tos.rtd", , "VOLUME", ".SMH201120P194.5")</f>
        <v>1</v>
      </c>
      <c r="G561">
        <f>RTD("tos.rtd", , "OPEN_INT", ".SMH201120P194.5")</f>
        <v>0</v>
      </c>
      <c r="H561">
        <f>RTD("tos.rtd", , "BID", ".SMH201120P194.5")</f>
        <v>3.85</v>
      </c>
      <c r="I561">
        <f>RTD("tos.rtd", , "ASK", ".SMH201120P194.5")</f>
        <v>4.1500000000000004</v>
      </c>
      <c r="J561">
        <f>RTD("tos.rtd", , "HIGH", ".SMH201120P194.5")</f>
        <v>2.97</v>
      </c>
      <c r="K561">
        <f>RTD("tos.rtd", , "LOW", ".SMH201120P194.5")</f>
        <v>2.97</v>
      </c>
      <c r="L561">
        <f>RTD("tos.rtd", , "OPEN", ".SMH201120P194.5")</f>
        <v>2.97</v>
      </c>
      <c r="M561" t="str">
        <f>RTD("tos.rtd", , "DELTA", ".SMH201120P194.5")</f>
        <v>N/A</v>
      </c>
      <c r="N561" t="str">
        <f>RTD("tos.rtd", , "GAMMA", ".SMH201120P194.5")</f>
        <v>N/A</v>
      </c>
      <c r="O561" t="str">
        <f>RTD("tos.rtd", , "THETA", ".SMH201120P194.5")</f>
        <v>N/A</v>
      </c>
      <c r="P561" t="str">
        <f>RTD("tos.rtd", , "VEGA", ".SMH201120P194.5")</f>
        <v>N/A</v>
      </c>
      <c r="Q561" t="str">
        <f>RTD("tos.rtd", , "RHO", ".SMH201120P194.5")</f>
        <v>N/A</v>
      </c>
      <c r="R561" t="str">
        <f>RTD("tos.rtd", , "INTRINSIC", ".SMH201120P194.5")</f>
        <v>N/A</v>
      </c>
      <c r="S561" t="str">
        <f>RTD("tos.rtd", , "EXTRINSIC", ".SMH201120P194.5")</f>
        <v>N/A</v>
      </c>
      <c r="T561" t="str">
        <f>RTD("tos.rtd", , "PROB_OF_EXPIRING", ".SMH201120P194.5")</f>
        <v>N/A</v>
      </c>
      <c r="U561" t="str">
        <f>RTD("tos.rtd", , "PROB_OTM", ".SMH201120P194.5")</f>
        <v>N/A</v>
      </c>
      <c r="V561" t="str">
        <f>RTD("tos.rtd", , "PROB_OF_TOUCHING", ".SMH201120P194.5")</f>
        <v>N/A</v>
      </c>
      <c r="W561" t="str">
        <f>RTD("tos.rtd", , "STRIKE", ".SMH201120P194.5")</f>
        <v>N/A</v>
      </c>
    </row>
    <row r="562" spans="1:23" x14ac:dyDescent="0.45">
      <c r="A562" t="s">
        <v>583</v>
      </c>
      <c r="B562" t="str">
        <f>RTD("tos.rtd", , "DESCRIPTION", ".SMH201120C195")</f>
        <v>N/A</v>
      </c>
      <c r="C562" t="str">
        <f>RTD("tos.rtd", , "PUT_CALL_RATIO", ".SMH201120C195")</f>
        <v>N/A</v>
      </c>
      <c r="D562" t="str">
        <f>RTD("tos.rtd", , "IMPL_VOL", ".SMH201120C195")</f>
        <v>N/A</v>
      </c>
      <c r="E562">
        <f>RTD("tos.rtd", , "LAST", ".SMH201120C195")</f>
        <v>2.5</v>
      </c>
      <c r="F562">
        <f>RTD("tos.rtd", , "VOLUME", ".SMH201120C195")</f>
        <v>61</v>
      </c>
      <c r="G562">
        <f>RTD("tos.rtd", , "OPEN_INT", ".SMH201120C195")</f>
        <v>698</v>
      </c>
      <c r="H562">
        <f>RTD("tos.rtd", , "BID", ".SMH201120C195")</f>
        <v>2.4700000000000002</v>
      </c>
      <c r="I562">
        <f>RTD("tos.rtd", , "ASK", ".SMH201120C195")</f>
        <v>2.82</v>
      </c>
      <c r="J562">
        <f>RTD("tos.rtd", , "HIGH", ".SMH201120C195")</f>
        <v>3.7</v>
      </c>
      <c r="K562">
        <f>RTD("tos.rtd", , "LOW", ".SMH201120C195")</f>
        <v>2.37</v>
      </c>
      <c r="L562">
        <f>RTD("tos.rtd", , "OPEN", ".SMH201120C195")</f>
        <v>3.7</v>
      </c>
      <c r="M562" t="str">
        <f>RTD("tos.rtd", , "DELTA", ".SMH201120C195")</f>
        <v>N/A</v>
      </c>
      <c r="N562" t="str">
        <f>RTD("tos.rtd", , "GAMMA", ".SMH201120C195")</f>
        <v>N/A</v>
      </c>
      <c r="O562" t="str">
        <f>RTD("tos.rtd", , "THETA", ".SMH201120C195")</f>
        <v>N/A</v>
      </c>
      <c r="P562" t="str">
        <f>RTD("tos.rtd", , "VEGA", ".SMH201120C195")</f>
        <v>N/A</v>
      </c>
      <c r="Q562" t="str">
        <f>RTD("tos.rtd", , "RHO", ".SMH201120C195")</f>
        <v>N/A</v>
      </c>
      <c r="R562" t="str">
        <f>RTD("tos.rtd", , "INTRINSIC", ".SMH201120C195")</f>
        <v>N/A</v>
      </c>
      <c r="S562" t="str">
        <f>RTD("tos.rtd", , "EXTRINSIC", ".SMH201120C195")</f>
        <v>N/A</v>
      </c>
      <c r="T562" t="str">
        <f>RTD("tos.rtd", , "PROB_OF_EXPIRING", ".SMH201120C195")</f>
        <v>N/A</v>
      </c>
      <c r="U562" t="str">
        <f>RTD("tos.rtd", , "PROB_OTM", ".SMH201120C195")</f>
        <v>N/A</v>
      </c>
      <c r="V562" t="str">
        <f>RTD("tos.rtd", , "PROB_OF_TOUCHING", ".SMH201120C195")</f>
        <v>N/A</v>
      </c>
      <c r="W562" t="str">
        <f>RTD("tos.rtd", , "STRIKE", ".SMH201120C195")</f>
        <v>N/A</v>
      </c>
    </row>
    <row r="563" spans="1:23" x14ac:dyDescent="0.45">
      <c r="A563" t="s">
        <v>584</v>
      </c>
      <c r="B563" t="str">
        <f>RTD("tos.rtd", , "DESCRIPTION", ".SMH201120P195")</f>
        <v>N/A</v>
      </c>
      <c r="C563" t="str">
        <f>RTD("tos.rtd", , "PUT_CALL_RATIO", ".SMH201120P195")</f>
        <v>N/A</v>
      </c>
      <c r="D563" t="str">
        <f>RTD("tos.rtd", , "IMPL_VOL", ".SMH201120P195")</f>
        <v>N/A</v>
      </c>
      <c r="E563">
        <f>RTD("tos.rtd", , "LAST", ".SMH201120P195")</f>
        <v>3.85</v>
      </c>
      <c r="F563">
        <f>RTD("tos.rtd", , "VOLUME", ".SMH201120P195")</f>
        <v>54</v>
      </c>
      <c r="G563">
        <f>RTD("tos.rtd", , "OPEN_INT", ".SMH201120P195")</f>
        <v>78</v>
      </c>
      <c r="H563">
        <f>RTD("tos.rtd", , "BID", ".SMH201120P195")</f>
        <v>4.25</v>
      </c>
      <c r="I563">
        <f>RTD("tos.rtd", , "ASK", ".SMH201120P195")</f>
        <v>4.45</v>
      </c>
      <c r="J563">
        <f>RTD("tos.rtd", , "HIGH", ".SMH201120P195")</f>
        <v>4</v>
      </c>
      <c r="K563">
        <f>RTD("tos.rtd", , "LOW", ".SMH201120P195")</f>
        <v>2.9</v>
      </c>
      <c r="L563">
        <f>RTD("tos.rtd", , "OPEN", ".SMH201120P195")</f>
        <v>2.9</v>
      </c>
      <c r="M563" t="str">
        <f>RTD("tos.rtd", , "DELTA", ".SMH201120P195")</f>
        <v>N/A</v>
      </c>
      <c r="N563" t="str">
        <f>RTD("tos.rtd", , "GAMMA", ".SMH201120P195")</f>
        <v>N/A</v>
      </c>
      <c r="O563" t="str">
        <f>RTD("tos.rtd", , "THETA", ".SMH201120P195")</f>
        <v>N/A</v>
      </c>
      <c r="P563" t="str">
        <f>RTD("tos.rtd", , "VEGA", ".SMH201120P195")</f>
        <v>N/A</v>
      </c>
      <c r="Q563" t="str">
        <f>RTD("tos.rtd", , "RHO", ".SMH201120P195")</f>
        <v>N/A</v>
      </c>
      <c r="R563" t="str">
        <f>RTD("tos.rtd", , "INTRINSIC", ".SMH201120P195")</f>
        <v>N/A</v>
      </c>
      <c r="S563" t="str">
        <f>RTD("tos.rtd", , "EXTRINSIC", ".SMH201120P195")</f>
        <v>N/A</v>
      </c>
      <c r="T563" t="str">
        <f>RTD("tos.rtd", , "PROB_OF_EXPIRING", ".SMH201120P195")</f>
        <v>N/A</v>
      </c>
      <c r="U563" t="str">
        <f>RTD("tos.rtd", , "PROB_OTM", ".SMH201120P195")</f>
        <v>N/A</v>
      </c>
      <c r="V563" t="str">
        <f>RTD("tos.rtd", , "PROB_OF_TOUCHING", ".SMH201120P195")</f>
        <v>N/A</v>
      </c>
      <c r="W563" t="str">
        <f>RTD("tos.rtd", , "STRIKE", ".SMH201120P195")</f>
        <v>N/A</v>
      </c>
    </row>
    <row r="564" spans="1:23" x14ac:dyDescent="0.45">
      <c r="A564" t="s">
        <v>585</v>
      </c>
      <c r="B564" t="str">
        <f>RTD("tos.rtd", , "DESCRIPTION", ".SMH201120C195.5")</f>
        <v>N/A</v>
      </c>
      <c r="C564" t="str">
        <f>RTD("tos.rtd", , "PUT_CALL_RATIO", ".SMH201120C195.5")</f>
        <v>N/A</v>
      </c>
      <c r="D564" t="str">
        <f>RTD("tos.rtd", , "IMPL_VOL", ".SMH201120C195.5")</f>
        <v>N/A</v>
      </c>
      <c r="E564">
        <f>RTD("tos.rtd", , "LAST", ".SMH201120C195.5")</f>
        <v>3.26</v>
      </c>
      <c r="F564">
        <f>RTD("tos.rtd", , "VOLUME", ".SMH201120C195.5")</f>
        <v>5</v>
      </c>
      <c r="G564">
        <f>RTD("tos.rtd", , "OPEN_INT", ".SMH201120C195.5")</f>
        <v>0</v>
      </c>
      <c r="H564">
        <f>RTD("tos.rtd", , "BID", ".SMH201120C195.5")</f>
        <v>2.25</v>
      </c>
      <c r="I564">
        <f>RTD("tos.rtd", , "ASK", ".SMH201120C195.5")</f>
        <v>2.54</v>
      </c>
      <c r="J564">
        <f>RTD("tos.rtd", , "HIGH", ".SMH201120C195.5")</f>
        <v>3.35</v>
      </c>
      <c r="K564">
        <f>RTD("tos.rtd", , "LOW", ".SMH201120C195.5")</f>
        <v>3.26</v>
      </c>
      <c r="L564">
        <f>RTD("tos.rtd", , "OPEN", ".SMH201120C195.5")</f>
        <v>3.35</v>
      </c>
      <c r="M564" t="str">
        <f>RTD("tos.rtd", , "DELTA", ".SMH201120C195.5")</f>
        <v>N/A</v>
      </c>
      <c r="N564" t="str">
        <f>RTD("tos.rtd", , "GAMMA", ".SMH201120C195.5")</f>
        <v>N/A</v>
      </c>
      <c r="O564" t="str">
        <f>RTD("tos.rtd", , "THETA", ".SMH201120C195.5")</f>
        <v>N/A</v>
      </c>
      <c r="P564" t="str">
        <f>RTD("tos.rtd", , "VEGA", ".SMH201120C195.5")</f>
        <v>N/A</v>
      </c>
      <c r="Q564" t="str">
        <f>RTD("tos.rtd", , "RHO", ".SMH201120C195.5")</f>
        <v>N/A</v>
      </c>
      <c r="R564" t="str">
        <f>RTD("tos.rtd", , "INTRINSIC", ".SMH201120C195.5")</f>
        <v>N/A</v>
      </c>
      <c r="S564" t="str">
        <f>RTD("tos.rtd", , "EXTRINSIC", ".SMH201120C195.5")</f>
        <v>N/A</v>
      </c>
      <c r="T564" t="str">
        <f>RTD("tos.rtd", , "PROB_OF_EXPIRING", ".SMH201120C195.5")</f>
        <v>N/A</v>
      </c>
      <c r="U564" t="str">
        <f>RTD("tos.rtd", , "PROB_OTM", ".SMH201120C195.5")</f>
        <v>N/A</v>
      </c>
      <c r="V564" t="str">
        <f>RTD("tos.rtd", , "PROB_OF_TOUCHING", ".SMH201120C195.5")</f>
        <v>N/A</v>
      </c>
      <c r="W564" t="str">
        <f>RTD("tos.rtd", , "STRIKE", ".SMH201120C195.5")</f>
        <v>N/A</v>
      </c>
    </row>
    <row r="565" spans="1:23" x14ac:dyDescent="0.45">
      <c r="A565" t="s">
        <v>586</v>
      </c>
      <c r="B565" t="str">
        <f>RTD("tos.rtd", , "DESCRIPTION", ".SMH201120P195.5")</f>
        <v>N/A</v>
      </c>
      <c r="C565" t="str">
        <f>RTD("tos.rtd", , "PUT_CALL_RATIO", ".SMH201120P195.5")</f>
        <v>N/A</v>
      </c>
      <c r="D565" t="str">
        <f>RTD("tos.rtd", , "IMPL_VOL", ".SMH201120P195.5")</f>
        <v>N/A</v>
      </c>
      <c r="E565">
        <f>RTD("tos.rtd", , "LAST", ".SMH201120P195.5")</f>
        <v>3.43</v>
      </c>
      <c r="F565">
        <f>RTD("tos.rtd", , "VOLUME", ".SMH201120P195.5")</f>
        <v>4</v>
      </c>
      <c r="G565">
        <f>RTD("tos.rtd", , "OPEN_INT", ".SMH201120P195.5")</f>
        <v>0</v>
      </c>
      <c r="H565">
        <f>RTD("tos.rtd", , "BID", ".SMH201120P195.5")</f>
        <v>4.45</v>
      </c>
      <c r="I565">
        <f>RTD("tos.rtd", , "ASK", ".SMH201120P195.5")</f>
        <v>4.75</v>
      </c>
      <c r="J565">
        <f>RTD("tos.rtd", , "HIGH", ".SMH201120P195.5")</f>
        <v>3.43</v>
      </c>
      <c r="K565">
        <f>RTD("tos.rtd", , "LOW", ".SMH201120P195.5")</f>
        <v>3.43</v>
      </c>
      <c r="L565">
        <f>RTD("tos.rtd", , "OPEN", ".SMH201120P195.5")</f>
        <v>3.43</v>
      </c>
      <c r="M565" t="str">
        <f>RTD("tos.rtd", , "DELTA", ".SMH201120P195.5")</f>
        <v>N/A</v>
      </c>
      <c r="N565" t="str">
        <f>RTD("tos.rtd", , "GAMMA", ".SMH201120P195.5")</f>
        <v>N/A</v>
      </c>
      <c r="O565" t="str">
        <f>RTD("tos.rtd", , "THETA", ".SMH201120P195.5")</f>
        <v>N/A</v>
      </c>
      <c r="P565" t="str">
        <f>RTD("tos.rtd", , "VEGA", ".SMH201120P195.5")</f>
        <v>N/A</v>
      </c>
      <c r="Q565" t="str">
        <f>RTD("tos.rtd", , "RHO", ".SMH201120P195.5")</f>
        <v>N/A</v>
      </c>
      <c r="R565" t="str">
        <f>RTD("tos.rtd", , "INTRINSIC", ".SMH201120P195.5")</f>
        <v>N/A</v>
      </c>
      <c r="S565" t="str">
        <f>RTD("tos.rtd", , "EXTRINSIC", ".SMH201120P195.5")</f>
        <v>N/A</v>
      </c>
      <c r="T565" t="str">
        <f>RTD("tos.rtd", , "PROB_OF_EXPIRING", ".SMH201120P195.5")</f>
        <v>N/A</v>
      </c>
      <c r="U565" t="str">
        <f>RTD("tos.rtd", , "PROB_OTM", ".SMH201120P195.5")</f>
        <v>N/A</v>
      </c>
      <c r="V565" t="str">
        <f>RTD("tos.rtd", , "PROB_OF_TOUCHING", ".SMH201120P195.5")</f>
        <v>N/A</v>
      </c>
      <c r="W565" t="str">
        <f>RTD("tos.rtd", , "STRIKE", ".SMH201120P195.5")</f>
        <v>N/A</v>
      </c>
    </row>
    <row r="566" spans="1:23" x14ac:dyDescent="0.45">
      <c r="A566" t="s">
        <v>587</v>
      </c>
      <c r="B566" t="str">
        <f>RTD("tos.rtd", , "DESCRIPTION", ".SMH201120C196")</f>
        <v>N/A</v>
      </c>
      <c r="C566" t="str">
        <f>RTD("tos.rtd", , "PUT_CALL_RATIO", ".SMH201120C196")</f>
        <v>N/A</v>
      </c>
      <c r="D566" t="str">
        <f>RTD("tos.rtd", , "IMPL_VOL", ".SMH201120C196")</f>
        <v>N/A</v>
      </c>
      <c r="E566">
        <f>RTD("tos.rtd", , "LAST", ".SMH201120C196")</f>
        <v>2.15</v>
      </c>
      <c r="F566">
        <f>RTD("tos.rtd", , "VOLUME", ".SMH201120C196")</f>
        <v>5</v>
      </c>
      <c r="G566">
        <f>RTD("tos.rtd", , "OPEN_INT", ".SMH201120C196")</f>
        <v>0</v>
      </c>
      <c r="H566">
        <f>RTD("tos.rtd", , "BID", ".SMH201120C196")</f>
        <v>2.02</v>
      </c>
      <c r="I566">
        <f>RTD("tos.rtd", , "ASK", ".SMH201120C196")</f>
        <v>2.29</v>
      </c>
      <c r="J566">
        <f>RTD("tos.rtd", , "HIGH", ".SMH201120C196")</f>
        <v>3.5</v>
      </c>
      <c r="K566">
        <f>RTD("tos.rtd", , "LOW", ".SMH201120C196")</f>
        <v>2.15</v>
      </c>
      <c r="L566">
        <f>RTD("tos.rtd", , "OPEN", ".SMH201120C196")</f>
        <v>3.1</v>
      </c>
      <c r="M566" t="str">
        <f>RTD("tos.rtd", , "DELTA", ".SMH201120C196")</f>
        <v>N/A</v>
      </c>
      <c r="N566" t="str">
        <f>RTD("tos.rtd", , "GAMMA", ".SMH201120C196")</f>
        <v>N/A</v>
      </c>
      <c r="O566" t="str">
        <f>RTD("tos.rtd", , "THETA", ".SMH201120C196")</f>
        <v>N/A</v>
      </c>
      <c r="P566" t="str">
        <f>RTD("tos.rtd", , "VEGA", ".SMH201120C196")</f>
        <v>N/A</v>
      </c>
      <c r="Q566" t="str">
        <f>RTD("tos.rtd", , "RHO", ".SMH201120C196")</f>
        <v>N/A</v>
      </c>
      <c r="R566" t="str">
        <f>RTD("tos.rtd", , "INTRINSIC", ".SMH201120C196")</f>
        <v>N/A</v>
      </c>
      <c r="S566" t="str">
        <f>RTD("tos.rtd", , "EXTRINSIC", ".SMH201120C196")</f>
        <v>N/A</v>
      </c>
      <c r="T566" t="str">
        <f>RTD("tos.rtd", , "PROB_OF_EXPIRING", ".SMH201120C196")</f>
        <v>N/A</v>
      </c>
      <c r="U566" t="str">
        <f>RTD("tos.rtd", , "PROB_OTM", ".SMH201120C196")</f>
        <v>N/A</v>
      </c>
      <c r="V566" t="str">
        <f>RTD("tos.rtd", , "PROB_OF_TOUCHING", ".SMH201120C196")</f>
        <v>N/A</v>
      </c>
      <c r="W566" t="str">
        <f>RTD("tos.rtd", , "STRIKE", ".SMH201120C196")</f>
        <v>N/A</v>
      </c>
    </row>
    <row r="567" spans="1:23" x14ac:dyDescent="0.45">
      <c r="A567" t="s">
        <v>588</v>
      </c>
      <c r="B567" t="str">
        <f>RTD("tos.rtd", , "DESCRIPTION", ".SMH201120P196")</f>
        <v>N/A</v>
      </c>
      <c r="C567" t="str">
        <f>RTD("tos.rtd", , "PUT_CALL_RATIO", ".SMH201120P196")</f>
        <v>N/A</v>
      </c>
      <c r="D567" t="str">
        <f>RTD("tos.rtd", , "IMPL_VOL", ".SMH201120P196")</f>
        <v>N/A</v>
      </c>
      <c r="E567">
        <f>RTD("tos.rtd", , "LAST", ".SMH201120P196")</f>
        <v>0</v>
      </c>
      <c r="F567">
        <f>RTD("tos.rtd", , "VOLUME", ".SMH201120P196")</f>
        <v>0</v>
      </c>
      <c r="G567">
        <f>RTD("tos.rtd", , "OPEN_INT", ".SMH201120P196")</f>
        <v>0</v>
      </c>
      <c r="H567">
        <f>RTD("tos.rtd", , "BID", ".SMH201120P196")</f>
        <v>4.7</v>
      </c>
      <c r="I567">
        <f>RTD("tos.rtd", , "ASK", ".SMH201120P196")</f>
        <v>5.05</v>
      </c>
      <c r="J567">
        <f>RTD("tos.rtd", , "HIGH", ".SMH201120P196")</f>
        <v>0</v>
      </c>
      <c r="K567">
        <f>RTD("tos.rtd", , "LOW", ".SMH201120P196")</f>
        <v>0</v>
      </c>
      <c r="L567">
        <f>RTD("tos.rtd", , "OPEN", ".SMH201120P196")</f>
        <v>0</v>
      </c>
      <c r="M567" t="str">
        <f>RTD("tos.rtd", , "DELTA", ".SMH201120P196")</f>
        <v>N/A</v>
      </c>
      <c r="N567" t="str">
        <f>RTD("tos.rtd", , "GAMMA", ".SMH201120P196")</f>
        <v>N/A</v>
      </c>
      <c r="O567" t="str">
        <f>RTD("tos.rtd", , "THETA", ".SMH201120P196")</f>
        <v>N/A</v>
      </c>
      <c r="P567" t="str">
        <f>RTD("tos.rtd", , "VEGA", ".SMH201120P196")</f>
        <v>N/A</v>
      </c>
      <c r="Q567" t="str">
        <f>RTD("tos.rtd", , "RHO", ".SMH201120P196")</f>
        <v>N/A</v>
      </c>
      <c r="R567" t="str">
        <f>RTD("tos.rtd", , "INTRINSIC", ".SMH201120P196")</f>
        <v>N/A</v>
      </c>
      <c r="S567" t="str">
        <f>RTD("tos.rtd", , "EXTRINSIC", ".SMH201120P196")</f>
        <v>N/A</v>
      </c>
      <c r="T567" t="str">
        <f>RTD("tos.rtd", , "PROB_OF_EXPIRING", ".SMH201120P196")</f>
        <v>N/A</v>
      </c>
      <c r="U567" t="str">
        <f>RTD("tos.rtd", , "PROB_OTM", ".SMH201120P196")</f>
        <v>N/A</v>
      </c>
      <c r="V567" t="str">
        <f>RTD("tos.rtd", , "PROB_OF_TOUCHING", ".SMH201120P196")</f>
        <v>N/A</v>
      </c>
      <c r="W567" t="str">
        <f>RTD("tos.rtd", , "STRIKE", ".SMH201120P196")</f>
        <v>N/A</v>
      </c>
    </row>
    <row r="568" spans="1:23" x14ac:dyDescent="0.45">
      <c r="A568" t="s">
        <v>589</v>
      </c>
      <c r="B568" t="str">
        <f>RTD("tos.rtd", , "DESCRIPTION", ".SMH201120C196.5")</f>
        <v>N/A</v>
      </c>
      <c r="C568" t="str">
        <f>RTD("tos.rtd", , "PUT_CALL_RATIO", ".SMH201120C196.5")</f>
        <v>N/A</v>
      </c>
      <c r="D568" t="str">
        <f>RTD("tos.rtd", , "IMPL_VOL", ".SMH201120C196.5")</f>
        <v>N/A</v>
      </c>
      <c r="E568">
        <f>RTD("tos.rtd", , "LAST", ".SMH201120C196.5")</f>
        <v>0</v>
      </c>
      <c r="F568">
        <f>RTD("tos.rtd", , "VOLUME", ".SMH201120C196.5")</f>
        <v>0</v>
      </c>
      <c r="G568">
        <f>RTD("tos.rtd", , "OPEN_INT", ".SMH201120C196.5")</f>
        <v>0</v>
      </c>
      <c r="H568">
        <f>RTD("tos.rtd", , "BID", ".SMH201120C196.5")</f>
        <v>1.82</v>
      </c>
      <c r="I568">
        <f>RTD("tos.rtd", , "ASK", ".SMH201120C196.5")</f>
        <v>2.08</v>
      </c>
      <c r="J568">
        <f>RTD("tos.rtd", , "HIGH", ".SMH201120C196.5")</f>
        <v>0</v>
      </c>
      <c r="K568">
        <f>RTD("tos.rtd", , "LOW", ".SMH201120C196.5")</f>
        <v>0</v>
      </c>
      <c r="L568">
        <f>RTD("tos.rtd", , "OPEN", ".SMH201120C196.5")</f>
        <v>0</v>
      </c>
      <c r="M568" t="str">
        <f>RTD("tos.rtd", , "DELTA", ".SMH201120C196.5")</f>
        <v>N/A</v>
      </c>
      <c r="N568" t="str">
        <f>RTD("tos.rtd", , "GAMMA", ".SMH201120C196.5")</f>
        <v>N/A</v>
      </c>
      <c r="O568" t="str">
        <f>RTD("tos.rtd", , "THETA", ".SMH201120C196.5")</f>
        <v>N/A</v>
      </c>
      <c r="P568" t="str">
        <f>RTD("tos.rtd", , "VEGA", ".SMH201120C196.5")</f>
        <v>N/A</v>
      </c>
      <c r="Q568" t="str">
        <f>RTD("tos.rtd", , "RHO", ".SMH201120C196.5")</f>
        <v>N/A</v>
      </c>
      <c r="R568" t="str">
        <f>RTD("tos.rtd", , "INTRINSIC", ".SMH201120C196.5")</f>
        <v>N/A</v>
      </c>
      <c r="S568" t="str">
        <f>RTD("tos.rtd", , "EXTRINSIC", ".SMH201120C196.5")</f>
        <v>N/A</v>
      </c>
      <c r="T568" t="str">
        <f>RTD("tos.rtd", , "PROB_OF_EXPIRING", ".SMH201120C196.5")</f>
        <v>N/A</v>
      </c>
      <c r="U568" t="str">
        <f>RTD("tos.rtd", , "PROB_OTM", ".SMH201120C196.5")</f>
        <v>N/A</v>
      </c>
      <c r="V568" t="str">
        <f>RTD("tos.rtd", , "PROB_OF_TOUCHING", ".SMH201120C196.5")</f>
        <v>N/A</v>
      </c>
      <c r="W568" t="str">
        <f>RTD("tos.rtd", , "STRIKE", ".SMH201120C196.5")</f>
        <v>N/A</v>
      </c>
    </row>
    <row r="569" spans="1:23" x14ac:dyDescent="0.45">
      <c r="A569" t="s">
        <v>590</v>
      </c>
      <c r="B569" t="str">
        <f>RTD("tos.rtd", , "DESCRIPTION", ".SMH201120P196.5")</f>
        <v>N/A</v>
      </c>
      <c r="C569" t="str">
        <f>RTD("tos.rtd", , "PUT_CALL_RATIO", ".SMH201120P196.5")</f>
        <v>N/A</v>
      </c>
      <c r="D569" t="str">
        <f>RTD("tos.rtd", , "IMPL_VOL", ".SMH201120P196.5")</f>
        <v>N/A</v>
      </c>
      <c r="E569">
        <f>RTD("tos.rtd", , "LAST", ".SMH201120P196.5")</f>
        <v>4.45</v>
      </c>
      <c r="F569">
        <f>RTD("tos.rtd", , "VOLUME", ".SMH201120P196.5")</f>
        <v>2</v>
      </c>
      <c r="G569">
        <f>RTD("tos.rtd", , "OPEN_INT", ".SMH201120P196.5")</f>
        <v>0</v>
      </c>
      <c r="H569">
        <f>RTD("tos.rtd", , "BID", ".SMH201120P196.5")</f>
        <v>5.0999999999999996</v>
      </c>
      <c r="I569">
        <f>RTD("tos.rtd", , "ASK", ".SMH201120P196.5")</f>
        <v>5.35</v>
      </c>
      <c r="J569">
        <f>RTD("tos.rtd", , "HIGH", ".SMH201120P196.5")</f>
        <v>4.45</v>
      </c>
      <c r="K569">
        <f>RTD("tos.rtd", , "LOW", ".SMH201120P196.5")</f>
        <v>4.45</v>
      </c>
      <c r="L569">
        <f>RTD("tos.rtd", , "OPEN", ".SMH201120P196.5")</f>
        <v>4.45</v>
      </c>
      <c r="M569" t="str">
        <f>RTD("tos.rtd", , "DELTA", ".SMH201120P196.5")</f>
        <v>N/A</v>
      </c>
      <c r="N569" t="str">
        <f>RTD("tos.rtd", , "GAMMA", ".SMH201120P196.5")</f>
        <v>N/A</v>
      </c>
      <c r="O569" t="str">
        <f>RTD("tos.rtd", , "THETA", ".SMH201120P196.5")</f>
        <v>N/A</v>
      </c>
      <c r="P569" t="str">
        <f>RTD("tos.rtd", , "VEGA", ".SMH201120P196.5")</f>
        <v>N/A</v>
      </c>
      <c r="Q569" t="str">
        <f>RTD("tos.rtd", , "RHO", ".SMH201120P196.5")</f>
        <v>N/A</v>
      </c>
      <c r="R569" t="str">
        <f>RTD("tos.rtd", , "INTRINSIC", ".SMH201120P196.5")</f>
        <v>N/A</v>
      </c>
      <c r="S569" t="str">
        <f>RTD("tos.rtd", , "EXTRINSIC", ".SMH201120P196.5")</f>
        <v>N/A</v>
      </c>
      <c r="T569" t="str">
        <f>RTD("tos.rtd", , "PROB_OF_EXPIRING", ".SMH201120P196.5")</f>
        <v>N/A</v>
      </c>
      <c r="U569" t="str">
        <f>RTD("tos.rtd", , "PROB_OTM", ".SMH201120P196.5")</f>
        <v>N/A</v>
      </c>
      <c r="V569" t="str">
        <f>RTD("tos.rtd", , "PROB_OF_TOUCHING", ".SMH201120P196.5")</f>
        <v>N/A</v>
      </c>
      <c r="W569" t="str">
        <f>RTD("tos.rtd", , "STRIKE", ".SMH201120P196.5")</f>
        <v>N/A</v>
      </c>
    </row>
    <row r="570" spans="1:23" x14ac:dyDescent="0.45">
      <c r="A570" t="s">
        <v>591</v>
      </c>
      <c r="B570" t="str">
        <f>RTD("tos.rtd", , "DESCRIPTION", ".SMH201120C197")</f>
        <v>N/A</v>
      </c>
      <c r="C570" t="str">
        <f>RTD("tos.rtd", , "PUT_CALL_RATIO", ".SMH201120C197")</f>
        <v>N/A</v>
      </c>
      <c r="D570" t="str">
        <f>RTD("tos.rtd", , "IMPL_VOL", ".SMH201120C197")</f>
        <v>N/A</v>
      </c>
      <c r="E570">
        <f>RTD("tos.rtd", , "LAST", ".SMH201120C197")</f>
        <v>1.95</v>
      </c>
      <c r="F570">
        <f>RTD("tos.rtd", , "VOLUME", ".SMH201120C197")</f>
        <v>21</v>
      </c>
      <c r="G570">
        <f>RTD("tos.rtd", , "OPEN_INT", ".SMH201120C197")</f>
        <v>0</v>
      </c>
      <c r="H570">
        <f>RTD("tos.rtd", , "BID", ".SMH201120C197")</f>
        <v>1.68</v>
      </c>
      <c r="I570">
        <f>RTD("tos.rtd", , "ASK", ".SMH201120C197")</f>
        <v>2.0499999999999998</v>
      </c>
      <c r="J570">
        <f>RTD("tos.rtd", , "HIGH", ".SMH201120C197")</f>
        <v>3.16</v>
      </c>
      <c r="K570">
        <f>RTD("tos.rtd", , "LOW", ".SMH201120C197")</f>
        <v>1.95</v>
      </c>
      <c r="L570">
        <f>RTD("tos.rtd", , "OPEN", ".SMH201120C197")</f>
        <v>2.15</v>
      </c>
      <c r="M570" t="str">
        <f>RTD("tos.rtd", , "DELTA", ".SMH201120C197")</f>
        <v>N/A</v>
      </c>
      <c r="N570" t="str">
        <f>RTD("tos.rtd", , "GAMMA", ".SMH201120C197")</f>
        <v>N/A</v>
      </c>
      <c r="O570" t="str">
        <f>RTD("tos.rtd", , "THETA", ".SMH201120C197")</f>
        <v>N/A</v>
      </c>
      <c r="P570" t="str">
        <f>RTD("tos.rtd", , "VEGA", ".SMH201120C197")</f>
        <v>N/A</v>
      </c>
      <c r="Q570" t="str">
        <f>RTD("tos.rtd", , "RHO", ".SMH201120C197")</f>
        <v>N/A</v>
      </c>
      <c r="R570" t="str">
        <f>RTD("tos.rtd", , "INTRINSIC", ".SMH201120C197")</f>
        <v>N/A</v>
      </c>
      <c r="S570" t="str">
        <f>RTD("tos.rtd", , "EXTRINSIC", ".SMH201120C197")</f>
        <v>N/A</v>
      </c>
      <c r="T570" t="str">
        <f>RTD("tos.rtd", , "PROB_OF_EXPIRING", ".SMH201120C197")</f>
        <v>N/A</v>
      </c>
      <c r="U570" t="str">
        <f>RTD("tos.rtd", , "PROB_OTM", ".SMH201120C197")</f>
        <v>N/A</v>
      </c>
      <c r="V570" t="str">
        <f>RTD("tos.rtd", , "PROB_OF_TOUCHING", ".SMH201120C197")</f>
        <v>N/A</v>
      </c>
      <c r="W570" t="str">
        <f>RTD("tos.rtd", , "STRIKE", ".SMH201120C197")</f>
        <v>N/A</v>
      </c>
    </row>
    <row r="571" spans="1:23" x14ac:dyDescent="0.45">
      <c r="A571" t="s">
        <v>592</v>
      </c>
      <c r="B571" t="str">
        <f>RTD("tos.rtd", , "DESCRIPTION", ".SMH201120P197")</f>
        <v>N/A</v>
      </c>
      <c r="C571" t="str">
        <f>RTD("tos.rtd", , "PUT_CALL_RATIO", ".SMH201120P197")</f>
        <v>N/A</v>
      </c>
      <c r="D571" t="str">
        <f>RTD("tos.rtd", , "IMPL_VOL", ".SMH201120P197")</f>
        <v>N/A</v>
      </c>
      <c r="E571">
        <f>RTD("tos.rtd", , "LAST", ".SMH201120P197")</f>
        <v>0</v>
      </c>
      <c r="F571">
        <f>RTD("tos.rtd", , "VOLUME", ".SMH201120P197")</f>
        <v>0</v>
      </c>
      <c r="G571">
        <f>RTD("tos.rtd", , "OPEN_INT", ".SMH201120P197")</f>
        <v>0</v>
      </c>
      <c r="H571">
        <f>RTD("tos.rtd", , "BID", ".SMH201120P197")</f>
        <v>5.4</v>
      </c>
      <c r="I571">
        <f>RTD("tos.rtd", , "ASK", ".SMH201120P197")</f>
        <v>5.75</v>
      </c>
      <c r="J571">
        <f>RTD("tos.rtd", , "HIGH", ".SMH201120P197")</f>
        <v>0</v>
      </c>
      <c r="K571">
        <f>RTD("tos.rtd", , "LOW", ".SMH201120P197")</f>
        <v>0</v>
      </c>
      <c r="L571">
        <f>RTD("tos.rtd", , "OPEN", ".SMH201120P197")</f>
        <v>0</v>
      </c>
      <c r="M571" t="str">
        <f>RTD("tos.rtd", , "DELTA", ".SMH201120P197")</f>
        <v>N/A</v>
      </c>
      <c r="N571" t="str">
        <f>RTD("tos.rtd", , "GAMMA", ".SMH201120P197")</f>
        <v>N/A</v>
      </c>
      <c r="O571" t="str">
        <f>RTD("tos.rtd", , "THETA", ".SMH201120P197")</f>
        <v>N/A</v>
      </c>
      <c r="P571" t="str">
        <f>RTD("tos.rtd", , "VEGA", ".SMH201120P197")</f>
        <v>N/A</v>
      </c>
      <c r="Q571" t="str">
        <f>RTD("tos.rtd", , "RHO", ".SMH201120P197")</f>
        <v>N/A</v>
      </c>
      <c r="R571" t="str">
        <f>RTD("tos.rtd", , "INTRINSIC", ".SMH201120P197")</f>
        <v>N/A</v>
      </c>
      <c r="S571" t="str">
        <f>RTD("tos.rtd", , "EXTRINSIC", ".SMH201120P197")</f>
        <v>N/A</v>
      </c>
      <c r="T571" t="str">
        <f>RTD("tos.rtd", , "PROB_OF_EXPIRING", ".SMH201120P197")</f>
        <v>N/A</v>
      </c>
      <c r="U571" t="str">
        <f>RTD("tos.rtd", , "PROB_OTM", ".SMH201120P197")</f>
        <v>N/A</v>
      </c>
      <c r="V571" t="str">
        <f>RTD("tos.rtd", , "PROB_OF_TOUCHING", ".SMH201120P197")</f>
        <v>N/A</v>
      </c>
      <c r="W571" t="str">
        <f>RTD("tos.rtd", , "STRIKE", ".SMH201120P197")</f>
        <v>N/A</v>
      </c>
    </row>
    <row r="572" spans="1:23" x14ac:dyDescent="0.45">
      <c r="A572" t="s">
        <v>593</v>
      </c>
      <c r="B572" t="str">
        <f>RTD("tos.rtd", , "DESCRIPTION", ".SMH201120C197.5")</f>
        <v>N/A</v>
      </c>
      <c r="C572" t="str">
        <f>RTD("tos.rtd", , "PUT_CALL_RATIO", ".SMH201120C197.5")</f>
        <v>N/A</v>
      </c>
      <c r="D572" t="str">
        <f>RTD("tos.rtd", , "IMPL_VOL", ".SMH201120C197.5")</f>
        <v>N/A</v>
      </c>
      <c r="E572">
        <f>RTD("tos.rtd", , "LAST", ".SMH201120C197.5")</f>
        <v>1.54</v>
      </c>
      <c r="F572">
        <f>RTD("tos.rtd", , "VOLUME", ".SMH201120C197.5")</f>
        <v>39</v>
      </c>
      <c r="G572">
        <f>RTD("tos.rtd", , "OPEN_INT", ".SMH201120C197.5")</f>
        <v>716</v>
      </c>
      <c r="H572">
        <f>RTD("tos.rtd", , "BID", ".SMH201120C197.5")</f>
        <v>1.51</v>
      </c>
      <c r="I572">
        <f>RTD("tos.rtd", , "ASK", ".SMH201120C197.5")</f>
        <v>1.66</v>
      </c>
      <c r="J572">
        <f>RTD("tos.rtd", , "HIGH", ".SMH201120C197.5")</f>
        <v>2.9</v>
      </c>
      <c r="K572">
        <f>RTD("tos.rtd", , "LOW", ".SMH201120C197.5")</f>
        <v>1.54</v>
      </c>
      <c r="L572">
        <f>RTD("tos.rtd", , "OPEN", ".SMH201120C197.5")</f>
        <v>2.48</v>
      </c>
      <c r="M572" t="str">
        <f>RTD("tos.rtd", , "DELTA", ".SMH201120C197.5")</f>
        <v>N/A</v>
      </c>
      <c r="N572" t="str">
        <f>RTD("tos.rtd", , "GAMMA", ".SMH201120C197.5")</f>
        <v>N/A</v>
      </c>
      <c r="O572" t="str">
        <f>RTD("tos.rtd", , "THETA", ".SMH201120C197.5")</f>
        <v>N/A</v>
      </c>
      <c r="P572" t="str">
        <f>RTD("tos.rtd", , "VEGA", ".SMH201120C197.5")</f>
        <v>N/A</v>
      </c>
      <c r="Q572" t="str">
        <f>RTD("tos.rtd", , "RHO", ".SMH201120C197.5")</f>
        <v>N/A</v>
      </c>
      <c r="R572" t="str">
        <f>RTD("tos.rtd", , "INTRINSIC", ".SMH201120C197.5")</f>
        <v>N/A</v>
      </c>
      <c r="S572" t="str">
        <f>RTD("tos.rtd", , "EXTRINSIC", ".SMH201120C197.5")</f>
        <v>N/A</v>
      </c>
      <c r="T572" t="str">
        <f>RTD("tos.rtd", , "PROB_OF_EXPIRING", ".SMH201120C197.5")</f>
        <v>N/A</v>
      </c>
      <c r="U572" t="str">
        <f>RTD("tos.rtd", , "PROB_OTM", ".SMH201120C197.5")</f>
        <v>N/A</v>
      </c>
      <c r="V572" t="str">
        <f>RTD("tos.rtd", , "PROB_OF_TOUCHING", ".SMH201120C197.5")</f>
        <v>N/A</v>
      </c>
      <c r="W572" t="str">
        <f>RTD("tos.rtd", , "STRIKE", ".SMH201120C197.5")</f>
        <v>N/A</v>
      </c>
    </row>
    <row r="573" spans="1:23" x14ac:dyDescent="0.45">
      <c r="A573" t="s">
        <v>594</v>
      </c>
      <c r="B573" t="str">
        <f>RTD("tos.rtd", , "DESCRIPTION", ".SMH201120P197.5")</f>
        <v>N/A</v>
      </c>
      <c r="C573" t="str">
        <f>RTD("tos.rtd", , "PUT_CALL_RATIO", ".SMH201120P197.5")</f>
        <v>N/A</v>
      </c>
      <c r="D573" t="str">
        <f>RTD("tos.rtd", , "IMPL_VOL", ".SMH201120P197.5")</f>
        <v>N/A</v>
      </c>
      <c r="E573">
        <f>RTD("tos.rtd", , "LAST", ".SMH201120P197.5")</f>
        <v>4.9000000000000004</v>
      </c>
      <c r="F573">
        <f>RTD("tos.rtd", , "VOLUME", ".SMH201120P197.5")</f>
        <v>46</v>
      </c>
      <c r="G573">
        <f>RTD("tos.rtd", , "OPEN_INT", ".SMH201120P197.5")</f>
        <v>119</v>
      </c>
      <c r="H573">
        <f>RTD("tos.rtd", , "BID", ".SMH201120P197.5")</f>
        <v>5.7</v>
      </c>
      <c r="I573">
        <f>RTD("tos.rtd", , "ASK", ".SMH201120P197.5")</f>
        <v>5.95</v>
      </c>
      <c r="J573">
        <f>RTD("tos.rtd", , "HIGH", ".SMH201120P197.5")</f>
        <v>5</v>
      </c>
      <c r="K573">
        <f>RTD("tos.rtd", , "LOW", ".SMH201120P197.5")</f>
        <v>4.3</v>
      </c>
      <c r="L573">
        <f>RTD("tos.rtd", , "OPEN", ".SMH201120P197.5")</f>
        <v>5</v>
      </c>
      <c r="M573" t="str">
        <f>RTD("tos.rtd", , "DELTA", ".SMH201120P197.5")</f>
        <v>N/A</v>
      </c>
      <c r="N573" t="str">
        <f>RTD("tos.rtd", , "GAMMA", ".SMH201120P197.5")</f>
        <v>N/A</v>
      </c>
      <c r="O573" t="str">
        <f>RTD("tos.rtd", , "THETA", ".SMH201120P197.5")</f>
        <v>N/A</v>
      </c>
      <c r="P573" t="str">
        <f>RTD("tos.rtd", , "VEGA", ".SMH201120P197.5")</f>
        <v>N/A</v>
      </c>
      <c r="Q573" t="str">
        <f>RTD("tos.rtd", , "RHO", ".SMH201120P197.5")</f>
        <v>N/A</v>
      </c>
      <c r="R573" t="str">
        <f>RTD("tos.rtd", , "INTRINSIC", ".SMH201120P197.5")</f>
        <v>N/A</v>
      </c>
      <c r="S573" t="str">
        <f>RTD("tos.rtd", , "EXTRINSIC", ".SMH201120P197.5")</f>
        <v>N/A</v>
      </c>
      <c r="T573" t="str">
        <f>RTD("tos.rtd", , "PROB_OF_EXPIRING", ".SMH201120P197.5")</f>
        <v>N/A</v>
      </c>
      <c r="U573" t="str">
        <f>RTD("tos.rtd", , "PROB_OTM", ".SMH201120P197.5")</f>
        <v>N/A</v>
      </c>
      <c r="V573" t="str">
        <f>RTD("tos.rtd", , "PROB_OF_TOUCHING", ".SMH201120P197.5")</f>
        <v>N/A</v>
      </c>
      <c r="W573" t="str">
        <f>RTD("tos.rtd", , "STRIKE", ".SMH201120P197.5")</f>
        <v>N/A</v>
      </c>
    </row>
    <row r="574" spans="1:23" x14ac:dyDescent="0.45">
      <c r="A574" t="s">
        <v>595</v>
      </c>
      <c r="B574" t="str">
        <f>RTD("tos.rtd", , "DESCRIPTION", ".SMH201120C198")</f>
        <v>N/A</v>
      </c>
      <c r="C574" t="str">
        <f>RTD("tos.rtd", , "PUT_CALL_RATIO", ".SMH201120C198")</f>
        <v>N/A</v>
      </c>
      <c r="D574" t="str">
        <f>RTD("tos.rtd", , "IMPL_VOL", ".SMH201120C198")</f>
        <v>N/A</v>
      </c>
      <c r="E574">
        <f>RTD("tos.rtd", , "LAST", ".SMH201120C198")</f>
        <v>1.62</v>
      </c>
      <c r="F574">
        <f>RTD("tos.rtd", , "VOLUME", ".SMH201120C198")</f>
        <v>3</v>
      </c>
      <c r="G574">
        <f>RTD("tos.rtd", , "OPEN_INT", ".SMH201120C198")</f>
        <v>0</v>
      </c>
      <c r="H574">
        <f>RTD("tos.rtd", , "BID", ".SMH201120C198")</f>
        <v>1.36</v>
      </c>
      <c r="I574">
        <f>RTD("tos.rtd", , "ASK", ".SMH201120C198")</f>
        <v>1.58</v>
      </c>
      <c r="J574">
        <f>RTD("tos.rtd", , "HIGH", ".SMH201120C198")</f>
        <v>2.2999999999999998</v>
      </c>
      <c r="K574">
        <f>RTD("tos.rtd", , "LOW", ".SMH201120C198")</f>
        <v>1.62</v>
      </c>
      <c r="L574">
        <f>RTD("tos.rtd", , "OPEN", ".SMH201120C198")</f>
        <v>2.2999999999999998</v>
      </c>
      <c r="M574" t="str">
        <f>RTD("tos.rtd", , "DELTA", ".SMH201120C198")</f>
        <v>N/A</v>
      </c>
      <c r="N574" t="str">
        <f>RTD("tos.rtd", , "GAMMA", ".SMH201120C198")</f>
        <v>N/A</v>
      </c>
      <c r="O574" t="str">
        <f>RTD("tos.rtd", , "THETA", ".SMH201120C198")</f>
        <v>N/A</v>
      </c>
      <c r="P574" t="str">
        <f>RTD("tos.rtd", , "VEGA", ".SMH201120C198")</f>
        <v>N/A</v>
      </c>
      <c r="Q574" t="str">
        <f>RTD("tos.rtd", , "RHO", ".SMH201120C198")</f>
        <v>N/A</v>
      </c>
      <c r="R574" t="str">
        <f>RTD("tos.rtd", , "INTRINSIC", ".SMH201120C198")</f>
        <v>N/A</v>
      </c>
      <c r="S574" t="str">
        <f>RTD("tos.rtd", , "EXTRINSIC", ".SMH201120C198")</f>
        <v>N/A</v>
      </c>
      <c r="T574" t="str">
        <f>RTD("tos.rtd", , "PROB_OF_EXPIRING", ".SMH201120C198")</f>
        <v>N/A</v>
      </c>
      <c r="U574" t="str">
        <f>RTD("tos.rtd", , "PROB_OTM", ".SMH201120C198")</f>
        <v>N/A</v>
      </c>
      <c r="V574" t="str">
        <f>RTD("tos.rtd", , "PROB_OF_TOUCHING", ".SMH201120C198")</f>
        <v>N/A</v>
      </c>
      <c r="W574" t="str">
        <f>RTD("tos.rtd", , "STRIKE", ".SMH201120C198")</f>
        <v>N/A</v>
      </c>
    </row>
    <row r="575" spans="1:23" x14ac:dyDescent="0.45">
      <c r="A575" t="s">
        <v>596</v>
      </c>
      <c r="B575" t="str">
        <f>RTD("tos.rtd", , "DESCRIPTION", ".SMH201120P198")</f>
        <v>N/A</v>
      </c>
      <c r="C575" t="str">
        <f>RTD("tos.rtd", , "PUT_CALL_RATIO", ".SMH201120P198")</f>
        <v>N/A</v>
      </c>
      <c r="D575" t="str">
        <f>RTD("tos.rtd", , "IMPL_VOL", ".SMH201120P198")</f>
        <v>N/A</v>
      </c>
      <c r="E575">
        <f>RTD("tos.rtd", , "LAST", ".SMH201120P198")</f>
        <v>0</v>
      </c>
      <c r="F575">
        <f>RTD("tos.rtd", , "VOLUME", ".SMH201120P198")</f>
        <v>0</v>
      </c>
      <c r="G575">
        <f>RTD("tos.rtd", , "OPEN_INT", ".SMH201120P198")</f>
        <v>0</v>
      </c>
      <c r="H575">
        <f>RTD("tos.rtd", , "BID", ".SMH201120P198")</f>
        <v>6.1</v>
      </c>
      <c r="I575">
        <f>RTD("tos.rtd", , "ASK", ".SMH201120P198")</f>
        <v>6.4</v>
      </c>
      <c r="J575">
        <f>RTD("tos.rtd", , "HIGH", ".SMH201120P198")</f>
        <v>0</v>
      </c>
      <c r="K575">
        <f>RTD("tos.rtd", , "LOW", ".SMH201120P198")</f>
        <v>0</v>
      </c>
      <c r="L575">
        <f>RTD("tos.rtd", , "OPEN", ".SMH201120P198")</f>
        <v>0</v>
      </c>
      <c r="M575" t="str">
        <f>RTD("tos.rtd", , "DELTA", ".SMH201120P198")</f>
        <v>N/A</v>
      </c>
      <c r="N575" t="str">
        <f>RTD("tos.rtd", , "GAMMA", ".SMH201120P198")</f>
        <v>N/A</v>
      </c>
      <c r="O575" t="str">
        <f>RTD("tos.rtd", , "THETA", ".SMH201120P198")</f>
        <v>N/A</v>
      </c>
      <c r="P575" t="str">
        <f>RTD("tos.rtd", , "VEGA", ".SMH201120P198")</f>
        <v>N/A</v>
      </c>
      <c r="Q575" t="str">
        <f>RTD("tos.rtd", , "RHO", ".SMH201120P198")</f>
        <v>N/A</v>
      </c>
      <c r="R575" t="str">
        <f>RTD("tos.rtd", , "INTRINSIC", ".SMH201120P198")</f>
        <v>N/A</v>
      </c>
      <c r="S575" t="str">
        <f>RTD("tos.rtd", , "EXTRINSIC", ".SMH201120P198")</f>
        <v>N/A</v>
      </c>
      <c r="T575" t="str">
        <f>RTD("tos.rtd", , "PROB_OF_EXPIRING", ".SMH201120P198")</f>
        <v>N/A</v>
      </c>
      <c r="U575" t="str">
        <f>RTD("tos.rtd", , "PROB_OTM", ".SMH201120P198")</f>
        <v>N/A</v>
      </c>
      <c r="V575" t="str">
        <f>RTD("tos.rtd", , "PROB_OF_TOUCHING", ".SMH201120P198")</f>
        <v>N/A</v>
      </c>
      <c r="W575" t="str">
        <f>RTD("tos.rtd", , "STRIKE", ".SMH201120P198")</f>
        <v>N/A</v>
      </c>
    </row>
    <row r="576" spans="1:23" x14ac:dyDescent="0.45">
      <c r="A576" t="s">
        <v>597</v>
      </c>
      <c r="B576" t="str">
        <f>RTD("tos.rtd", , "DESCRIPTION", ".SMH201120C198.5")</f>
        <v>N/A</v>
      </c>
      <c r="C576" t="str">
        <f>RTD("tos.rtd", , "PUT_CALL_RATIO", ".SMH201120C198.5")</f>
        <v>N/A</v>
      </c>
      <c r="D576" t="str">
        <f>RTD("tos.rtd", , "IMPL_VOL", ".SMH201120C198.5")</f>
        <v>N/A</v>
      </c>
      <c r="E576">
        <f>RTD("tos.rtd", , "LAST", ".SMH201120C198.5")</f>
        <v>2.0099999999999998</v>
      </c>
      <c r="F576">
        <f>RTD("tos.rtd", , "VOLUME", ".SMH201120C198.5")</f>
        <v>13</v>
      </c>
      <c r="G576">
        <f>RTD("tos.rtd", , "OPEN_INT", ".SMH201120C198.5")</f>
        <v>0</v>
      </c>
      <c r="H576">
        <f>RTD("tos.rtd", , "BID", ".SMH201120C198.5")</f>
        <v>0.94</v>
      </c>
      <c r="I576">
        <f>RTD("tos.rtd", , "ASK", ".SMH201120C198.5")</f>
        <v>1.42</v>
      </c>
      <c r="J576">
        <f>RTD("tos.rtd", , "HIGH", ".SMH201120C198.5")</f>
        <v>2.0099999999999998</v>
      </c>
      <c r="K576">
        <f>RTD("tos.rtd", , "LOW", ".SMH201120C198.5")</f>
        <v>1.72</v>
      </c>
      <c r="L576">
        <f>RTD("tos.rtd", , "OPEN", ".SMH201120C198.5")</f>
        <v>2</v>
      </c>
      <c r="M576" t="str">
        <f>RTD("tos.rtd", , "DELTA", ".SMH201120C198.5")</f>
        <v>N/A</v>
      </c>
      <c r="N576" t="str">
        <f>RTD("tos.rtd", , "GAMMA", ".SMH201120C198.5")</f>
        <v>N/A</v>
      </c>
      <c r="O576" t="str">
        <f>RTD("tos.rtd", , "THETA", ".SMH201120C198.5")</f>
        <v>N/A</v>
      </c>
      <c r="P576" t="str">
        <f>RTD("tos.rtd", , "VEGA", ".SMH201120C198.5")</f>
        <v>N/A</v>
      </c>
      <c r="Q576" t="str">
        <f>RTD("tos.rtd", , "RHO", ".SMH201120C198.5")</f>
        <v>N/A</v>
      </c>
      <c r="R576" t="str">
        <f>RTD("tos.rtd", , "INTRINSIC", ".SMH201120C198.5")</f>
        <v>N/A</v>
      </c>
      <c r="S576" t="str">
        <f>RTD("tos.rtd", , "EXTRINSIC", ".SMH201120C198.5")</f>
        <v>N/A</v>
      </c>
      <c r="T576" t="str">
        <f>RTD("tos.rtd", , "PROB_OF_EXPIRING", ".SMH201120C198.5")</f>
        <v>N/A</v>
      </c>
      <c r="U576" t="str">
        <f>RTD("tos.rtd", , "PROB_OTM", ".SMH201120C198.5")</f>
        <v>N/A</v>
      </c>
      <c r="V576" t="str">
        <f>RTD("tos.rtd", , "PROB_OF_TOUCHING", ".SMH201120C198.5")</f>
        <v>N/A</v>
      </c>
      <c r="W576" t="str">
        <f>RTD("tos.rtd", , "STRIKE", ".SMH201120C198.5")</f>
        <v>N/A</v>
      </c>
    </row>
    <row r="577" spans="1:23" x14ac:dyDescent="0.45">
      <c r="A577" t="s">
        <v>598</v>
      </c>
      <c r="B577" t="str">
        <f>RTD("tos.rtd", , "DESCRIPTION", ".SMH201120P198.5")</f>
        <v>N/A</v>
      </c>
      <c r="C577" t="str">
        <f>RTD("tos.rtd", , "PUT_CALL_RATIO", ".SMH201120P198.5")</f>
        <v>N/A</v>
      </c>
      <c r="D577" t="str">
        <f>RTD("tos.rtd", , "IMPL_VOL", ".SMH201120P198.5")</f>
        <v>N/A</v>
      </c>
      <c r="E577">
        <f>RTD("tos.rtd", , "LAST", ".SMH201120P198.5")</f>
        <v>0</v>
      </c>
      <c r="F577">
        <f>RTD("tos.rtd", , "VOLUME", ".SMH201120P198.5")</f>
        <v>0</v>
      </c>
      <c r="G577">
        <f>RTD("tos.rtd", , "OPEN_INT", ".SMH201120P198.5")</f>
        <v>0</v>
      </c>
      <c r="H577">
        <f>RTD("tos.rtd", , "BID", ".SMH201120P198.5")</f>
        <v>6.5</v>
      </c>
      <c r="I577">
        <f>RTD("tos.rtd", , "ASK", ".SMH201120P198.5")</f>
        <v>6.75</v>
      </c>
      <c r="J577">
        <f>RTD("tos.rtd", , "HIGH", ".SMH201120P198.5")</f>
        <v>0</v>
      </c>
      <c r="K577">
        <f>RTD("tos.rtd", , "LOW", ".SMH201120P198.5")</f>
        <v>0</v>
      </c>
      <c r="L577">
        <f>RTD("tos.rtd", , "OPEN", ".SMH201120P198.5")</f>
        <v>0</v>
      </c>
      <c r="M577" t="str">
        <f>RTD("tos.rtd", , "DELTA", ".SMH201120P198.5")</f>
        <v>N/A</v>
      </c>
      <c r="N577" t="str">
        <f>RTD("tos.rtd", , "GAMMA", ".SMH201120P198.5")</f>
        <v>N/A</v>
      </c>
      <c r="O577" t="str">
        <f>RTD("tos.rtd", , "THETA", ".SMH201120P198.5")</f>
        <v>N/A</v>
      </c>
      <c r="P577" t="str">
        <f>RTD("tos.rtd", , "VEGA", ".SMH201120P198.5")</f>
        <v>N/A</v>
      </c>
      <c r="Q577" t="str">
        <f>RTD("tos.rtd", , "RHO", ".SMH201120P198.5")</f>
        <v>N/A</v>
      </c>
      <c r="R577" t="str">
        <f>RTD("tos.rtd", , "INTRINSIC", ".SMH201120P198.5")</f>
        <v>N/A</v>
      </c>
      <c r="S577" t="str">
        <f>RTD("tos.rtd", , "EXTRINSIC", ".SMH201120P198.5")</f>
        <v>N/A</v>
      </c>
      <c r="T577" t="str">
        <f>RTD("tos.rtd", , "PROB_OF_EXPIRING", ".SMH201120P198.5")</f>
        <v>N/A</v>
      </c>
      <c r="U577" t="str">
        <f>RTD("tos.rtd", , "PROB_OTM", ".SMH201120P198.5")</f>
        <v>N/A</v>
      </c>
      <c r="V577" t="str">
        <f>RTD("tos.rtd", , "PROB_OF_TOUCHING", ".SMH201120P198.5")</f>
        <v>N/A</v>
      </c>
      <c r="W577" t="str">
        <f>RTD("tos.rtd", , "STRIKE", ".SMH201120P198.5")</f>
        <v>N/A</v>
      </c>
    </row>
    <row r="578" spans="1:23" x14ac:dyDescent="0.45">
      <c r="A578" t="s">
        <v>599</v>
      </c>
      <c r="B578" t="str">
        <f>RTD("tos.rtd", , "DESCRIPTION", "SPDW")</f>
        <v>N/A</v>
      </c>
      <c r="C578">
        <f>RTD("tos.rtd", , "PUT_CALL_RATIO", "SPDW")</f>
        <v>1</v>
      </c>
      <c r="D578" t="str">
        <f>RTD("tos.rtd", , "IMPL_VOL", "SPDW")</f>
        <v>40.34%</v>
      </c>
      <c r="E578">
        <f>RTD("tos.rtd", , "LAST", "SPDW")</f>
        <v>31.27</v>
      </c>
      <c r="F578">
        <f>RTD("tos.rtd", , "VOLUME", "SPDW")</f>
        <v>16688545</v>
      </c>
      <c r="G578">
        <f>RTD("tos.rtd", , "OPEN_INT", "SPDW")</f>
        <v>0</v>
      </c>
      <c r="H578">
        <f>RTD("tos.rtd", , "BID", "SPDW")</f>
        <v>30.49</v>
      </c>
      <c r="I578">
        <f>RTD("tos.rtd", , "ASK", "SPDW")</f>
        <v>32</v>
      </c>
      <c r="J578">
        <f>RTD("tos.rtd", , "HIGH", "SPDW")</f>
        <v>31.57</v>
      </c>
      <c r="K578">
        <f>RTD("tos.rtd", , "LOW", "SPDW")</f>
        <v>31.175000000000001</v>
      </c>
      <c r="L578">
        <f>RTD("tos.rtd", , "OPEN", "SPDW")</f>
        <v>31.5</v>
      </c>
      <c r="M578">
        <f>RTD("tos.rtd", , "DELTA", "SPDW")</f>
        <v>1</v>
      </c>
      <c r="N578">
        <f>RTD("tos.rtd", , "GAMMA", "SPDW")</f>
        <v>0</v>
      </c>
      <c r="O578">
        <f>RTD("tos.rtd", , "THETA", "SPDW")</f>
        <v>0</v>
      </c>
      <c r="P578">
        <f>RTD("tos.rtd", , "VEGA", "SPDW")</f>
        <v>0</v>
      </c>
      <c r="Q578">
        <f>RTD("tos.rtd", , "RHO", "SPDW")</f>
        <v>0</v>
      </c>
      <c r="R578" t="str">
        <f>RTD("tos.rtd", , "INTRINSIC", "SPDW")</f>
        <v>N/A</v>
      </c>
      <c r="S578" t="str">
        <f>RTD("tos.rtd", , "EXTRINSIC", "SPDW")</f>
        <v>N/A</v>
      </c>
      <c r="T578" t="str">
        <f>RTD("tos.rtd", , "PROB_OF_EXPIRING", "SPDW")</f>
        <v>N/A</v>
      </c>
      <c r="U578" t="str">
        <f>RTD("tos.rtd", , "PROB_OTM", "SPDW")</f>
        <v>N/A</v>
      </c>
      <c r="V578" t="str">
        <f>RTD("tos.rtd", , "PROB_OF_TOUCHING", "SPDW")</f>
        <v>N/A</v>
      </c>
      <c r="W578" t="str">
        <f>RTD("tos.rtd", , "STRIKE", "SPDW")</f>
        <v>N/A</v>
      </c>
    </row>
    <row r="579" spans="1:23" x14ac:dyDescent="0.45">
      <c r="A579" t="s">
        <v>600</v>
      </c>
      <c r="B579" t="str">
        <f>RTD("tos.rtd", , "DESCRIPTION", ".SPDW201120C32")</f>
        <v>N/A</v>
      </c>
      <c r="C579" t="str">
        <f>RTD("tos.rtd", , "PUT_CALL_RATIO", ".SPDW201120C32")</f>
        <v>N/A</v>
      </c>
      <c r="D579" t="str">
        <f>RTD("tos.rtd", , "IMPL_VOL", ".SPDW201120C32")</f>
        <v>N/A</v>
      </c>
      <c r="E579">
        <f>RTD("tos.rtd", , "LAST", ".SPDW201120C32")</f>
        <v>0</v>
      </c>
      <c r="F579">
        <f>RTD("tos.rtd", , "VOLUME", ".SPDW201120C32")</f>
        <v>0</v>
      </c>
      <c r="G579">
        <f>RTD("tos.rtd", , "OPEN_INT", ".SPDW201120C32")</f>
        <v>0</v>
      </c>
      <c r="H579">
        <f>RTD("tos.rtd", , "BID", ".SPDW201120C32")</f>
        <v>0</v>
      </c>
      <c r="I579">
        <f>RTD("tos.rtd", , "ASK", ".SPDW201120C32")</f>
        <v>1.65</v>
      </c>
      <c r="J579">
        <f>RTD("tos.rtd", , "HIGH", ".SPDW201120C32")</f>
        <v>0</v>
      </c>
      <c r="K579">
        <f>RTD("tos.rtd", , "LOW", ".SPDW201120C32")</f>
        <v>0</v>
      </c>
      <c r="L579">
        <f>RTD("tos.rtd", , "OPEN", ".SPDW201120C32")</f>
        <v>0</v>
      </c>
      <c r="M579" t="str">
        <f>RTD("tos.rtd", , "DELTA", ".SPDW201120C32")</f>
        <v>N/A</v>
      </c>
      <c r="N579" t="str">
        <f>RTD("tos.rtd", , "GAMMA", ".SPDW201120C32")</f>
        <v>N/A</v>
      </c>
      <c r="O579" t="str">
        <f>RTD("tos.rtd", , "THETA", ".SPDW201120C32")</f>
        <v>N/A</v>
      </c>
      <c r="P579" t="str">
        <f>RTD("tos.rtd", , "VEGA", ".SPDW201120C32")</f>
        <v>N/A</v>
      </c>
      <c r="Q579" t="str">
        <f>RTD("tos.rtd", , "RHO", ".SPDW201120C32")</f>
        <v>N/A</v>
      </c>
      <c r="R579" t="str">
        <f>RTD("tos.rtd", , "INTRINSIC", ".SPDW201120C32")</f>
        <v>N/A</v>
      </c>
      <c r="S579" t="str">
        <f>RTD("tos.rtd", , "EXTRINSIC", ".SPDW201120C32")</f>
        <v>N/A</v>
      </c>
      <c r="T579" t="str">
        <f>RTD("tos.rtd", , "PROB_OF_EXPIRING", ".SPDW201120C32")</f>
        <v>N/A</v>
      </c>
      <c r="U579" t="str">
        <f>RTD("tos.rtd", , "PROB_OTM", ".SPDW201120C32")</f>
        <v>N/A</v>
      </c>
      <c r="V579" t="str">
        <f>RTD("tos.rtd", , "PROB_OF_TOUCHING", ".SPDW201120C32")</f>
        <v>N/A</v>
      </c>
      <c r="W579" t="str">
        <f>RTD("tos.rtd", , "STRIKE", ".SPDW201120C32")</f>
        <v>N/A</v>
      </c>
    </row>
    <row r="580" spans="1:23" x14ac:dyDescent="0.45">
      <c r="A580" t="s">
        <v>601</v>
      </c>
      <c r="B580" t="str">
        <f>RTD("tos.rtd", , "DESCRIPTION", ".SPDW201120P32")</f>
        <v>N/A</v>
      </c>
      <c r="C580" t="str">
        <f>RTD("tos.rtd", , "PUT_CALL_RATIO", ".SPDW201120P32")</f>
        <v>N/A</v>
      </c>
      <c r="D580" t="str">
        <f>RTD("tos.rtd", , "IMPL_VOL", ".SPDW201120P32")</f>
        <v>N/A</v>
      </c>
      <c r="E580" t="str">
        <f>RTD("tos.rtd", , "LAST", ".SPDW201120P32")</f>
        <v>N/A</v>
      </c>
      <c r="F580" t="str">
        <f>RTD("tos.rtd", , "VOLUME", ".SPDW201120P32")</f>
        <v>N/A</v>
      </c>
      <c r="G580" t="str">
        <f>RTD("tos.rtd", , "OPEN_INT", ".SPDW201120P32")</f>
        <v>N/A</v>
      </c>
      <c r="H580" t="str">
        <f>RTD("tos.rtd", , "BID", ".SPDW201120P32")</f>
        <v>N/A</v>
      </c>
      <c r="I580" t="str">
        <f>RTD("tos.rtd", , "ASK", ".SPDW201120P32")</f>
        <v>N/A</v>
      </c>
      <c r="J580" t="str">
        <f>RTD("tos.rtd", , "HIGH", ".SPDW201120P32")</f>
        <v>N/A</v>
      </c>
      <c r="K580" t="str">
        <f>RTD("tos.rtd", , "LOW", ".SPDW201120P32")</f>
        <v>N/A</v>
      </c>
      <c r="L580" t="str">
        <f>RTD("tos.rtd", , "OPEN", ".SPDW201120P32")</f>
        <v>N/A</v>
      </c>
      <c r="M580" t="str">
        <f>RTD("tos.rtd", , "DELTA", ".SPDW201120P32")</f>
        <v>N/A</v>
      </c>
      <c r="N580" t="str">
        <f>RTD("tos.rtd", , "GAMMA", ".SPDW201120P32")</f>
        <v>N/A</v>
      </c>
      <c r="O580" t="str">
        <f>RTD("tos.rtd", , "THETA", ".SPDW201120P32")</f>
        <v>N/A</v>
      </c>
      <c r="P580" t="str">
        <f>RTD("tos.rtd", , "VEGA", ".SPDW201120P32")</f>
        <v>N/A</v>
      </c>
      <c r="Q580" t="str">
        <f>RTD("tos.rtd", , "RHO", ".SPDW201120P32")</f>
        <v>N/A</v>
      </c>
      <c r="R580" t="str">
        <f>RTD("tos.rtd", , "INTRINSIC", ".SPDW201120P32")</f>
        <v>N/A</v>
      </c>
      <c r="S580" t="str">
        <f>RTD("tos.rtd", , "EXTRINSIC", ".SPDW201120P32")</f>
        <v>N/A</v>
      </c>
      <c r="T580" t="str">
        <f>RTD("tos.rtd", , "PROB_OF_EXPIRING", ".SPDW201120P32")</f>
        <v>N/A</v>
      </c>
      <c r="U580" t="str">
        <f>RTD("tos.rtd", , "PROB_OTM", ".SPDW201120P32")</f>
        <v>N/A</v>
      </c>
      <c r="V580" t="str">
        <f>RTD("tos.rtd", , "PROB_OF_TOUCHING", ".SPDW201120P32")</f>
        <v>N/A</v>
      </c>
      <c r="W580" t="str">
        <f>RTD("tos.rtd", , "STRIKE", ".SPDW201120P32")</f>
        <v>N/A</v>
      </c>
    </row>
    <row r="581" spans="1:23" x14ac:dyDescent="0.45">
      <c r="A581" t="s">
        <v>602</v>
      </c>
      <c r="B581" t="str">
        <f>RTD("tos.rtd", , "DESCRIPTION", "SPHD")</f>
        <v>N/A</v>
      </c>
      <c r="C581">
        <f>RTD("tos.rtd", , "PUT_CALL_RATIO", "SPHD")</f>
        <v>0.91900000000000004</v>
      </c>
      <c r="D581" t="str">
        <f>RTD("tos.rtd", , "IMPL_VOL", "SPHD")</f>
        <v>23.50%</v>
      </c>
      <c r="E581">
        <f>RTD("tos.rtd", , "LAST", "SPHD")</f>
        <v>35.21</v>
      </c>
      <c r="F581">
        <f>RTD("tos.rtd", , "VOLUME", "SPHD")</f>
        <v>1198128</v>
      </c>
      <c r="G581">
        <f>RTD("tos.rtd", , "OPEN_INT", "SPHD")</f>
        <v>0</v>
      </c>
      <c r="H581">
        <f>RTD("tos.rtd", , "BID", "SPHD")</f>
        <v>35</v>
      </c>
      <c r="I581">
        <f>RTD("tos.rtd", , "ASK", "SPHD")</f>
        <v>36</v>
      </c>
      <c r="J581">
        <f>RTD("tos.rtd", , "HIGH", "SPHD")</f>
        <v>35.700000000000003</v>
      </c>
      <c r="K581">
        <f>RTD("tos.rtd", , "LOW", "SPHD")</f>
        <v>34.830100000000002</v>
      </c>
      <c r="L581">
        <f>RTD("tos.rtd", , "OPEN", "SPHD")</f>
        <v>35.700000000000003</v>
      </c>
      <c r="M581">
        <f>RTD("tos.rtd", , "DELTA", "SPHD")</f>
        <v>1</v>
      </c>
      <c r="N581">
        <f>RTD("tos.rtd", , "GAMMA", "SPHD")</f>
        <v>0</v>
      </c>
      <c r="O581">
        <f>RTD("tos.rtd", , "THETA", "SPHD")</f>
        <v>0</v>
      </c>
      <c r="P581">
        <f>RTD("tos.rtd", , "VEGA", "SPHD")</f>
        <v>0</v>
      </c>
      <c r="Q581">
        <f>RTD("tos.rtd", , "RHO", "SPHD")</f>
        <v>0</v>
      </c>
      <c r="R581" t="str">
        <f>RTD("tos.rtd", , "INTRINSIC", "SPHD")</f>
        <v>N/A</v>
      </c>
      <c r="S581" t="str">
        <f>RTD("tos.rtd", , "EXTRINSIC", "SPHD")</f>
        <v>N/A</v>
      </c>
      <c r="T581" t="str">
        <f>RTD("tos.rtd", , "PROB_OF_EXPIRING", "SPHD")</f>
        <v>N/A</v>
      </c>
      <c r="U581" t="str">
        <f>RTD("tos.rtd", , "PROB_OTM", "SPHD")</f>
        <v>N/A</v>
      </c>
      <c r="V581" t="str">
        <f>RTD("tos.rtd", , "PROB_OF_TOUCHING", "SPHD")</f>
        <v>N/A</v>
      </c>
      <c r="W581" t="str">
        <f>RTD("tos.rtd", , "STRIKE", "SPHD")</f>
        <v>N/A</v>
      </c>
    </row>
    <row r="582" spans="1:23" x14ac:dyDescent="0.45">
      <c r="A582" t="s">
        <v>603</v>
      </c>
      <c r="B582" t="str">
        <f>RTD("tos.rtd", , "DESCRIPTION", ".SPHD201120C36")</f>
        <v>N/A</v>
      </c>
      <c r="C582" t="str">
        <f>RTD("tos.rtd", , "PUT_CALL_RATIO", ".SPHD201120C36")</f>
        <v>N/A</v>
      </c>
      <c r="D582" t="str">
        <f>RTD("tos.rtd", , "IMPL_VOL", ".SPHD201120C36")</f>
        <v>N/A</v>
      </c>
      <c r="E582" t="str">
        <f>RTD("tos.rtd", , "LAST", ".SPHD201120C36")</f>
        <v>N/A</v>
      </c>
      <c r="F582" t="str">
        <f>RTD("tos.rtd", , "VOLUME", ".SPHD201120C36")</f>
        <v>N/A</v>
      </c>
      <c r="G582" t="str">
        <f>RTD("tos.rtd", , "OPEN_INT", ".SPHD201120C36")</f>
        <v>N/A</v>
      </c>
      <c r="H582" t="str">
        <f>RTD("tos.rtd", , "BID", ".SPHD201120C36")</f>
        <v>N/A</v>
      </c>
      <c r="I582" t="str">
        <f>RTD("tos.rtd", , "ASK", ".SPHD201120C36")</f>
        <v>N/A</v>
      </c>
      <c r="J582" t="str">
        <f>RTD("tos.rtd", , "HIGH", ".SPHD201120C36")</f>
        <v>N/A</v>
      </c>
      <c r="K582" t="str">
        <f>RTD("tos.rtd", , "LOW", ".SPHD201120C36")</f>
        <v>N/A</v>
      </c>
      <c r="L582" t="str">
        <f>RTD("tos.rtd", , "OPEN", ".SPHD201120C36")</f>
        <v>N/A</v>
      </c>
      <c r="M582" t="str">
        <f>RTD("tos.rtd", , "DELTA", ".SPHD201120C36")</f>
        <v>N/A</v>
      </c>
      <c r="N582" t="str">
        <f>RTD("tos.rtd", , "GAMMA", ".SPHD201120C36")</f>
        <v>N/A</v>
      </c>
      <c r="O582" t="str">
        <f>RTD("tos.rtd", , "THETA", ".SPHD201120C36")</f>
        <v>N/A</v>
      </c>
      <c r="P582" t="str">
        <f>RTD("tos.rtd", , "VEGA", ".SPHD201120C36")</f>
        <v>N/A</v>
      </c>
      <c r="Q582" t="str">
        <f>RTD("tos.rtd", , "RHO", ".SPHD201120C36")</f>
        <v>N/A</v>
      </c>
      <c r="R582" t="str">
        <f>RTD("tos.rtd", , "INTRINSIC", ".SPHD201120C36")</f>
        <v>N/A</v>
      </c>
      <c r="S582" t="str">
        <f>RTD("tos.rtd", , "EXTRINSIC", ".SPHD201120C36")</f>
        <v>N/A</v>
      </c>
      <c r="T582" t="str">
        <f>RTD("tos.rtd", , "PROB_OF_EXPIRING", ".SPHD201120C36")</f>
        <v>N/A</v>
      </c>
      <c r="U582" t="str">
        <f>RTD("tos.rtd", , "PROB_OTM", ".SPHD201120C36")</f>
        <v>N/A</v>
      </c>
      <c r="V582" t="str">
        <f>RTD("tos.rtd", , "PROB_OF_TOUCHING", ".SPHD201120C36")</f>
        <v>N/A</v>
      </c>
      <c r="W582" t="str">
        <f>RTD("tos.rtd", , "STRIKE", ".SPHD201120C36")</f>
        <v>N/A</v>
      </c>
    </row>
    <row r="583" spans="1:23" x14ac:dyDescent="0.45">
      <c r="A583" t="s">
        <v>604</v>
      </c>
      <c r="B583" t="str">
        <f>RTD("tos.rtd", , "DESCRIPTION", ".SPHD201120P36")</f>
        <v>N/A</v>
      </c>
      <c r="C583" t="str">
        <f>RTD("tos.rtd", , "PUT_CALL_RATIO", ".SPHD201120P36")</f>
        <v>N/A</v>
      </c>
      <c r="D583" t="str">
        <f>RTD("tos.rtd", , "IMPL_VOL", ".SPHD201120P36")</f>
        <v>N/A</v>
      </c>
      <c r="E583" t="str">
        <f>RTD("tos.rtd", , "LAST", ".SPHD201120P36")</f>
        <v>N/A</v>
      </c>
      <c r="F583" t="str">
        <f>RTD("tos.rtd", , "VOLUME", ".SPHD201120P36")</f>
        <v>N/A</v>
      </c>
      <c r="G583" t="str">
        <f>RTD("tos.rtd", , "OPEN_INT", ".SPHD201120P36")</f>
        <v>N/A</v>
      </c>
      <c r="H583" t="str">
        <f>RTD("tos.rtd", , "BID", ".SPHD201120P36")</f>
        <v>N/A</v>
      </c>
      <c r="I583" t="str">
        <f>RTD("tos.rtd", , "ASK", ".SPHD201120P36")</f>
        <v>N/A</v>
      </c>
      <c r="J583" t="str">
        <f>RTD("tos.rtd", , "HIGH", ".SPHD201120P36")</f>
        <v>N/A</v>
      </c>
      <c r="K583" t="str">
        <f>RTD("tos.rtd", , "LOW", ".SPHD201120P36")</f>
        <v>N/A</v>
      </c>
      <c r="L583" t="str">
        <f>RTD("tos.rtd", , "OPEN", ".SPHD201120P36")</f>
        <v>N/A</v>
      </c>
      <c r="M583" t="str">
        <f>RTD("tos.rtd", , "DELTA", ".SPHD201120P36")</f>
        <v>N/A</v>
      </c>
      <c r="N583" t="str">
        <f>RTD("tos.rtd", , "GAMMA", ".SPHD201120P36")</f>
        <v>N/A</v>
      </c>
      <c r="O583" t="str">
        <f>RTD("tos.rtd", , "THETA", ".SPHD201120P36")</f>
        <v>N/A</v>
      </c>
      <c r="P583" t="str">
        <f>RTD("tos.rtd", , "VEGA", ".SPHD201120P36")</f>
        <v>N/A</v>
      </c>
      <c r="Q583" t="str">
        <f>RTD("tos.rtd", , "RHO", ".SPHD201120P36")</f>
        <v>N/A</v>
      </c>
      <c r="R583" t="str">
        <f>RTD("tos.rtd", , "INTRINSIC", ".SPHD201120P36")</f>
        <v>N/A</v>
      </c>
      <c r="S583" t="str">
        <f>RTD("tos.rtd", , "EXTRINSIC", ".SPHD201120P36")</f>
        <v>N/A</v>
      </c>
      <c r="T583" t="str">
        <f>RTD("tos.rtd", , "PROB_OF_EXPIRING", ".SPHD201120P36")</f>
        <v>N/A</v>
      </c>
      <c r="U583" t="str">
        <f>RTD("tos.rtd", , "PROB_OTM", ".SPHD201120P36")</f>
        <v>N/A</v>
      </c>
      <c r="V583" t="str">
        <f>RTD("tos.rtd", , "PROB_OF_TOUCHING", ".SPHD201120P36")</f>
        <v>N/A</v>
      </c>
      <c r="W583" t="str">
        <f>RTD("tos.rtd", , "STRIKE", ".SPHD201120P36")</f>
        <v>N/A</v>
      </c>
    </row>
    <row r="584" spans="1:23" x14ac:dyDescent="0.45">
      <c r="A584" t="s">
        <v>605</v>
      </c>
      <c r="B584" t="str">
        <f>RTD("tos.rtd", , "DESCRIPTION", "SPLG")</f>
        <v>SPDR SERIES TRUST PORTFOLIO S&amp;P 500 ETF</v>
      </c>
      <c r="C584">
        <f>RTD("tos.rtd", , "PUT_CALL_RATIO", "SPLG")</f>
        <v>0.625</v>
      </c>
      <c r="D584" t="str">
        <f>RTD("tos.rtd", , "IMPL_VOL", "SPLG")</f>
        <v>25.05%</v>
      </c>
      <c r="E584">
        <f>RTD("tos.rtd", , "LAST", "SPLG")</f>
        <v>41.53</v>
      </c>
      <c r="F584">
        <f>RTD("tos.rtd", , "VOLUME", "SPLG")</f>
        <v>2337973</v>
      </c>
      <c r="G584">
        <f>RTD("tos.rtd", , "OPEN_INT", "SPLG")</f>
        <v>0</v>
      </c>
      <c r="H584">
        <f>RTD("tos.rtd", , "BID", "SPLG")</f>
        <v>41.44</v>
      </c>
      <c r="I584">
        <f>RTD("tos.rtd", , "ASK", "SPLG")</f>
        <v>41.46</v>
      </c>
      <c r="J584">
        <f>RTD("tos.rtd", , "HIGH", "SPLG")</f>
        <v>41.89</v>
      </c>
      <c r="K584">
        <f>RTD("tos.rtd", , "LOW", "SPLG")</f>
        <v>41.29</v>
      </c>
      <c r="L584">
        <f>RTD("tos.rtd", , "OPEN", "SPLG")</f>
        <v>41.77</v>
      </c>
      <c r="M584">
        <f>RTD("tos.rtd", , "DELTA", "SPLG")</f>
        <v>1</v>
      </c>
      <c r="N584">
        <f>RTD("tos.rtd", , "GAMMA", "SPLG")</f>
        <v>0</v>
      </c>
      <c r="O584">
        <f>RTD("tos.rtd", , "THETA", "SPLG")</f>
        <v>0</v>
      </c>
      <c r="P584">
        <f>RTD("tos.rtd", , "VEGA", "SPLG")</f>
        <v>0</v>
      </c>
      <c r="Q584">
        <f>RTD("tos.rtd", , "RHO", "SPLG")</f>
        <v>0</v>
      </c>
      <c r="R584" t="str">
        <f>RTD("tos.rtd", , "INTRINSIC", "SPLG")</f>
        <v>N/A</v>
      </c>
      <c r="S584" t="str">
        <f>RTD("tos.rtd", , "EXTRINSIC", "SPLG")</f>
        <v>N/A</v>
      </c>
      <c r="T584" t="str">
        <f>RTD("tos.rtd", , "PROB_OF_EXPIRING", "SPLG")</f>
        <v>N/A</v>
      </c>
      <c r="U584" t="str">
        <f>RTD("tos.rtd", , "PROB_OTM", "SPLG")</f>
        <v>N/A</v>
      </c>
      <c r="V584" t="str">
        <f>RTD("tos.rtd", , "PROB_OF_TOUCHING", "SPLG")</f>
        <v>N/A</v>
      </c>
      <c r="W584" t="str">
        <f>RTD("tos.rtd", , "STRIKE", "SPLG")</f>
        <v>N/A</v>
      </c>
    </row>
    <row r="585" spans="1:23" x14ac:dyDescent="0.45">
      <c r="A585" t="s">
        <v>606</v>
      </c>
      <c r="B585" t="str">
        <f>RTD("tos.rtd", , "DESCRIPTION", ".SPLG201120C42")</f>
        <v>N/A</v>
      </c>
      <c r="C585" t="str">
        <f>RTD("tos.rtd", , "PUT_CALL_RATIO", ".SPLG201120C42")</f>
        <v>N/A</v>
      </c>
      <c r="D585" t="str">
        <f>RTD("tos.rtd", , "IMPL_VOL", ".SPLG201120C42")</f>
        <v>N/A</v>
      </c>
      <c r="E585" t="str">
        <f>RTD("tos.rtd", , "LAST", ".SPLG201120C42")</f>
        <v>N/A</v>
      </c>
      <c r="F585" t="str">
        <f>RTD("tos.rtd", , "VOLUME", ".SPLG201120C42")</f>
        <v>N/A</v>
      </c>
      <c r="G585" t="str">
        <f>RTD("tos.rtd", , "OPEN_INT", ".SPLG201120C42")</f>
        <v>N/A</v>
      </c>
      <c r="H585" t="str">
        <f>RTD("tos.rtd", , "BID", ".SPLG201120C42")</f>
        <v>N/A</v>
      </c>
      <c r="I585" t="str">
        <f>RTD("tos.rtd", , "ASK", ".SPLG201120C42")</f>
        <v>N/A</v>
      </c>
      <c r="J585" t="str">
        <f>RTD("tos.rtd", , "HIGH", ".SPLG201120C42")</f>
        <v>N/A</v>
      </c>
      <c r="K585" t="str">
        <f>RTD("tos.rtd", , "LOW", ".SPLG201120C42")</f>
        <v>N/A</v>
      </c>
      <c r="L585" t="str">
        <f>RTD("tos.rtd", , "OPEN", ".SPLG201120C42")</f>
        <v>N/A</v>
      </c>
      <c r="M585" t="str">
        <f>RTD("tos.rtd", , "DELTA", ".SPLG201120C42")</f>
        <v>N/A</v>
      </c>
      <c r="N585" t="str">
        <f>RTD("tos.rtd", , "GAMMA", ".SPLG201120C42")</f>
        <v>N/A</v>
      </c>
      <c r="O585" t="str">
        <f>RTD("tos.rtd", , "THETA", ".SPLG201120C42")</f>
        <v>N/A</v>
      </c>
      <c r="P585" t="str">
        <f>RTD("tos.rtd", , "VEGA", ".SPLG201120C42")</f>
        <v>N/A</v>
      </c>
      <c r="Q585" t="str">
        <f>RTD("tos.rtd", , "RHO", ".SPLG201120C42")</f>
        <v>N/A</v>
      </c>
      <c r="R585" t="str">
        <f>RTD("tos.rtd", , "INTRINSIC", ".SPLG201120C42")</f>
        <v>N/A</v>
      </c>
      <c r="S585" t="str">
        <f>RTD("tos.rtd", , "EXTRINSIC", ".SPLG201120C42")</f>
        <v>N/A</v>
      </c>
      <c r="T585" t="str">
        <f>RTD("tos.rtd", , "PROB_OF_EXPIRING", ".SPLG201120C42")</f>
        <v>N/A</v>
      </c>
      <c r="U585" t="str">
        <f>RTD("tos.rtd", , "PROB_OTM", ".SPLG201120C42")</f>
        <v>N/A</v>
      </c>
      <c r="V585" t="str">
        <f>RTD("tos.rtd", , "PROB_OF_TOUCHING", ".SPLG201120C42")</f>
        <v>N/A</v>
      </c>
      <c r="W585" t="str">
        <f>RTD("tos.rtd", , "STRIKE", ".SPLG201120C42")</f>
        <v>N/A</v>
      </c>
    </row>
    <row r="586" spans="1:23" x14ac:dyDescent="0.45">
      <c r="A586" t="s">
        <v>607</v>
      </c>
      <c r="B586" t="str">
        <f>RTD("tos.rtd", , "DESCRIPTION", ".SPLG201120P42")</f>
        <v>N/A</v>
      </c>
      <c r="C586" t="str">
        <f>RTD("tos.rtd", , "PUT_CALL_RATIO", ".SPLG201120P42")</f>
        <v>N/A</v>
      </c>
      <c r="D586" t="str">
        <f>RTD("tos.rtd", , "IMPL_VOL", ".SPLG201120P42")</f>
        <v>N/A</v>
      </c>
      <c r="E586" t="str">
        <f>RTD("tos.rtd", , "LAST", ".SPLG201120P42")</f>
        <v>N/A</v>
      </c>
      <c r="F586" t="str">
        <f>RTD("tos.rtd", , "VOLUME", ".SPLG201120P42")</f>
        <v>N/A</v>
      </c>
      <c r="G586" t="str">
        <f>RTD("tos.rtd", , "OPEN_INT", ".SPLG201120P42")</f>
        <v>N/A</v>
      </c>
      <c r="H586" t="str">
        <f>RTD("tos.rtd", , "BID", ".SPLG201120P42")</f>
        <v>N/A</v>
      </c>
      <c r="I586" t="str">
        <f>RTD("tos.rtd", , "ASK", ".SPLG201120P42")</f>
        <v>N/A</v>
      </c>
      <c r="J586" t="str">
        <f>RTD("tos.rtd", , "HIGH", ".SPLG201120P42")</f>
        <v>N/A</v>
      </c>
      <c r="K586" t="str">
        <f>RTD("tos.rtd", , "LOW", ".SPLG201120P42")</f>
        <v>N/A</v>
      </c>
      <c r="L586" t="str">
        <f>RTD("tos.rtd", , "OPEN", ".SPLG201120P42")</f>
        <v>N/A</v>
      </c>
      <c r="M586" t="str">
        <f>RTD("tos.rtd", , "DELTA", ".SPLG201120P42")</f>
        <v>N/A</v>
      </c>
      <c r="N586" t="str">
        <f>RTD("tos.rtd", , "GAMMA", ".SPLG201120P42")</f>
        <v>N/A</v>
      </c>
      <c r="O586" t="str">
        <f>RTD("tos.rtd", , "THETA", ".SPLG201120P42")</f>
        <v>N/A</v>
      </c>
      <c r="P586" t="str">
        <f>RTD("tos.rtd", , "VEGA", ".SPLG201120P42")</f>
        <v>N/A</v>
      </c>
      <c r="Q586" t="str">
        <f>RTD("tos.rtd", , "RHO", ".SPLG201120P42")</f>
        <v>N/A</v>
      </c>
      <c r="R586" t="str">
        <f>RTD("tos.rtd", , "INTRINSIC", ".SPLG201120P42")</f>
        <v>N/A</v>
      </c>
      <c r="S586" t="str">
        <f>RTD("tos.rtd", , "EXTRINSIC", ".SPLG201120P42")</f>
        <v>N/A</v>
      </c>
      <c r="T586" t="str">
        <f>RTD("tos.rtd", , "PROB_OF_EXPIRING", ".SPLG201120P42")</f>
        <v>N/A</v>
      </c>
      <c r="U586" t="str">
        <f>RTD("tos.rtd", , "PROB_OTM", ".SPLG201120P42")</f>
        <v>N/A</v>
      </c>
      <c r="V586" t="str">
        <f>RTD("tos.rtd", , "PROB_OF_TOUCHING", ".SPLG201120P42")</f>
        <v>N/A</v>
      </c>
      <c r="W586" t="str">
        <f>RTD("tos.rtd", , "STRIKE", ".SPLG201120P42")</f>
        <v>N/A</v>
      </c>
    </row>
    <row r="587" spans="1:23" x14ac:dyDescent="0.45">
      <c r="A587" t="s">
        <v>608</v>
      </c>
      <c r="B587" t="str">
        <f>RTD("tos.rtd", , "DESCRIPTION", "SPLV")</f>
        <v>N/A</v>
      </c>
      <c r="C587">
        <f>RTD("tos.rtd", , "PUT_CALL_RATIO", "SPLV")</f>
        <v>7.6669999999999998</v>
      </c>
      <c r="D587" t="str">
        <f>RTD("tos.rtd", , "IMPL_VOL", "SPLV")</f>
        <v>19.88%</v>
      </c>
      <c r="E587">
        <f>RTD("tos.rtd", , "LAST", "SPLV")</f>
        <v>54.97</v>
      </c>
      <c r="F587">
        <f>RTD("tos.rtd", , "VOLUME", "SPLV")</f>
        <v>3716126</v>
      </c>
      <c r="G587">
        <f>RTD("tos.rtd", , "OPEN_INT", "SPLV")</f>
        <v>0</v>
      </c>
      <c r="H587">
        <f>RTD("tos.rtd", , "BID", "SPLV")</f>
        <v>54.65</v>
      </c>
      <c r="I587">
        <f>RTD("tos.rtd", , "ASK", "SPLV")</f>
        <v>55.14</v>
      </c>
      <c r="J587">
        <f>RTD("tos.rtd", , "HIGH", "SPLV")</f>
        <v>55.31</v>
      </c>
      <c r="K587">
        <f>RTD("tos.rtd", , "LOW", "SPLV")</f>
        <v>54.66</v>
      </c>
      <c r="L587">
        <f>RTD("tos.rtd", , "OPEN", "SPLV")</f>
        <v>55.28</v>
      </c>
      <c r="M587">
        <f>RTD("tos.rtd", , "DELTA", "SPLV")</f>
        <v>1</v>
      </c>
      <c r="N587">
        <f>RTD("tos.rtd", , "GAMMA", "SPLV")</f>
        <v>0</v>
      </c>
      <c r="O587">
        <f>RTD("tos.rtd", , "THETA", "SPLV")</f>
        <v>0</v>
      </c>
      <c r="P587">
        <f>RTD("tos.rtd", , "VEGA", "SPLV")</f>
        <v>0</v>
      </c>
      <c r="Q587">
        <f>RTD("tos.rtd", , "RHO", "SPLV")</f>
        <v>0</v>
      </c>
      <c r="R587" t="str">
        <f>RTD("tos.rtd", , "INTRINSIC", "SPLV")</f>
        <v>N/A</v>
      </c>
      <c r="S587" t="str">
        <f>RTD("tos.rtd", , "EXTRINSIC", "SPLV")</f>
        <v>N/A</v>
      </c>
      <c r="T587" t="str">
        <f>RTD("tos.rtd", , "PROB_OF_EXPIRING", "SPLV")</f>
        <v>N/A</v>
      </c>
      <c r="U587" t="str">
        <f>RTD("tos.rtd", , "PROB_OTM", "SPLV")</f>
        <v>N/A</v>
      </c>
      <c r="V587" t="str">
        <f>RTD("tos.rtd", , "PROB_OF_TOUCHING", "SPLV")</f>
        <v>N/A</v>
      </c>
      <c r="W587" t="str">
        <f>RTD("tos.rtd", , "STRIKE", "SPLV")</f>
        <v>N/A</v>
      </c>
    </row>
    <row r="588" spans="1:23" x14ac:dyDescent="0.45">
      <c r="A588" t="s">
        <v>609</v>
      </c>
      <c r="B588" t="str">
        <f>RTD("tos.rtd", , "DESCRIPTION", ".SPLV201120C55")</f>
        <v>N/A</v>
      </c>
      <c r="C588" t="str">
        <f>RTD("tos.rtd", , "PUT_CALL_RATIO", ".SPLV201120C55")</f>
        <v>N/A</v>
      </c>
      <c r="D588" t="str">
        <f>RTD("tos.rtd", , "IMPL_VOL", ".SPLV201120C55")</f>
        <v>N/A</v>
      </c>
      <c r="E588" t="str">
        <f>RTD("tos.rtd", , "LAST", ".SPLV201120C55")</f>
        <v>N/A</v>
      </c>
      <c r="F588" t="str">
        <f>RTD("tos.rtd", , "VOLUME", ".SPLV201120C55")</f>
        <v>N/A</v>
      </c>
      <c r="G588" t="str">
        <f>RTD("tos.rtd", , "OPEN_INT", ".SPLV201120C55")</f>
        <v>N/A</v>
      </c>
      <c r="H588" t="str">
        <f>RTD("tos.rtd", , "BID", ".SPLV201120C55")</f>
        <v>N/A</v>
      </c>
      <c r="I588" t="str">
        <f>RTD("tos.rtd", , "ASK", ".SPLV201120C55")</f>
        <v>N/A</v>
      </c>
      <c r="J588" t="str">
        <f>RTD("tos.rtd", , "HIGH", ".SPLV201120C55")</f>
        <v>N/A</v>
      </c>
      <c r="K588" t="str">
        <f>RTD("tos.rtd", , "LOW", ".SPLV201120C55")</f>
        <v>N/A</v>
      </c>
      <c r="L588" t="str">
        <f>RTD("tos.rtd", , "OPEN", ".SPLV201120C55")</f>
        <v>N/A</v>
      </c>
      <c r="M588" t="str">
        <f>RTD("tos.rtd", , "DELTA", ".SPLV201120C55")</f>
        <v>N/A</v>
      </c>
      <c r="N588" t="str">
        <f>RTD("tos.rtd", , "GAMMA", ".SPLV201120C55")</f>
        <v>N/A</v>
      </c>
      <c r="O588" t="str">
        <f>RTD("tos.rtd", , "THETA", ".SPLV201120C55")</f>
        <v>N/A</v>
      </c>
      <c r="P588" t="str">
        <f>RTD("tos.rtd", , "VEGA", ".SPLV201120C55")</f>
        <v>N/A</v>
      </c>
      <c r="Q588" t="str">
        <f>RTD("tos.rtd", , "RHO", ".SPLV201120C55")</f>
        <v>N/A</v>
      </c>
      <c r="R588" t="str">
        <f>RTD("tos.rtd", , "INTRINSIC", ".SPLV201120C55")</f>
        <v>N/A</v>
      </c>
      <c r="S588" t="str">
        <f>RTD("tos.rtd", , "EXTRINSIC", ".SPLV201120C55")</f>
        <v>N/A</v>
      </c>
      <c r="T588" t="str">
        <f>RTD("tos.rtd", , "PROB_OF_EXPIRING", ".SPLV201120C55")</f>
        <v>N/A</v>
      </c>
      <c r="U588" t="str">
        <f>RTD("tos.rtd", , "PROB_OTM", ".SPLV201120C55")</f>
        <v>N/A</v>
      </c>
      <c r="V588" t="str">
        <f>RTD("tos.rtd", , "PROB_OF_TOUCHING", ".SPLV201120C55")</f>
        <v>N/A</v>
      </c>
      <c r="W588" t="str">
        <f>RTD("tos.rtd", , "STRIKE", ".SPLV201120C55")</f>
        <v>N/A</v>
      </c>
    </row>
    <row r="589" spans="1:23" x14ac:dyDescent="0.45">
      <c r="A589" t="s">
        <v>610</v>
      </c>
      <c r="B589" t="str">
        <f>RTD("tos.rtd", , "DESCRIPTION", ".SPLV201120P55")</f>
        <v>N/A</v>
      </c>
      <c r="C589" t="str">
        <f>RTD("tos.rtd", , "PUT_CALL_RATIO", ".SPLV201120P55")</f>
        <v>N/A</v>
      </c>
      <c r="D589" t="str">
        <f>RTD("tos.rtd", , "IMPL_VOL", ".SPLV201120P55")</f>
        <v>N/A</v>
      </c>
      <c r="E589" t="str">
        <f>RTD("tos.rtd", , "LAST", ".SPLV201120P55")</f>
        <v>N/A</v>
      </c>
      <c r="F589" t="str">
        <f>RTD("tos.rtd", , "VOLUME", ".SPLV201120P55")</f>
        <v>N/A</v>
      </c>
      <c r="G589" t="str">
        <f>RTD("tos.rtd", , "OPEN_INT", ".SPLV201120P55")</f>
        <v>N/A</v>
      </c>
      <c r="H589" t="str">
        <f>RTD("tos.rtd", , "BID", ".SPLV201120P55")</f>
        <v>N/A</v>
      </c>
      <c r="I589" t="str">
        <f>RTD("tos.rtd", , "ASK", ".SPLV201120P55")</f>
        <v>N/A</v>
      </c>
      <c r="J589" t="str">
        <f>RTD("tos.rtd", , "HIGH", ".SPLV201120P55")</f>
        <v>N/A</v>
      </c>
      <c r="K589" t="str">
        <f>RTD("tos.rtd", , "LOW", ".SPLV201120P55")</f>
        <v>N/A</v>
      </c>
      <c r="L589" t="str">
        <f>RTD("tos.rtd", , "OPEN", ".SPLV201120P55")</f>
        <v>N/A</v>
      </c>
      <c r="M589" t="str">
        <f>RTD("tos.rtd", , "DELTA", ".SPLV201120P55")</f>
        <v>N/A</v>
      </c>
      <c r="N589" t="str">
        <f>RTD("tos.rtd", , "GAMMA", ".SPLV201120P55")</f>
        <v>N/A</v>
      </c>
      <c r="O589" t="str">
        <f>RTD("tos.rtd", , "THETA", ".SPLV201120P55")</f>
        <v>N/A</v>
      </c>
      <c r="P589" t="str">
        <f>RTD("tos.rtd", , "VEGA", ".SPLV201120P55")</f>
        <v>N/A</v>
      </c>
      <c r="Q589" t="str">
        <f>RTD("tos.rtd", , "RHO", ".SPLV201120P55")</f>
        <v>N/A</v>
      </c>
      <c r="R589" t="str">
        <f>RTD("tos.rtd", , "INTRINSIC", ".SPLV201120P55")</f>
        <v>N/A</v>
      </c>
      <c r="S589" t="str">
        <f>RTD("tos.rtd", , "EXTRINSIC", ".SPLV201120P55")</f>
        <v>N/A</v>
      </c>
      <c r="T589" t="str">
        <f>RTD("tos.rtd", , "PROB_OF_EXPIRING", ".SPLV201120P55")</f>
        <v>N/A</v>
      </c>
      <c r="U589" t="str">
        <f>RTD("tos.rtd", , "PROB_OTM", ".SPLV201120P55")</f>
        <v>N/A</v>
      </c>
      <c r="V589" t="str">
        <f>RTD("tos.rtd", , "PROB_OF_TOUCHING", ".SPLV201120P55")</f>
        <v>N/A</v>
      </c>
      <c r="W589" t="str">
        <f>RTD("tos.rtd", , "STRIKE", ".SPLV201120P55")</f>
        <v>N/A</v>
      </c>
    </row>
    <row r="590" spans="1:23" x14ac:dyDescent="0.45">
      <c r="A590" t="s">
        <v>611</v>
      </c>
      <c r="B590" t="str">
        <f>RTD("tos.rtd", , "DESCRIPTION", "SPY")</f>
        <v>SPDR S&amp;P500 ETF TRUST TR UNIT ETF</v>
      </c>
      <c r="C590">
        <f>RTD("tos.rtd", , "PUT_CALL_RATIO", "SPY")</f>
        <v>1.923</v>
      </c>
      <c r="D590" t="str">
        <f>RTD("tos.rtd", , "IMPL_VOL", "SPY")</f>
        <v>25.72%</v>
      </c>
      <c r="E590">
        <f>RTD("tos.rtd", , "LAST", "SPY")</f>
        <v>353.21</v>
      </c>
      <c r="F590">
        <f>RTD("tos.rtd", , "VOLUME", "SPY")</f>
        <v>68118563</v>
      </c>
      <c r="G590">
        <f>RTD("tos.rtd", , "OPEN_INT", "SPY")</f>
        <v>0</v>
      </c>
      <c r="H590">
        <f>RTD("tos.rtd", , "BID", "SPY")</f>
        <v>353.5</v>
      </c>
      <c r="I590">
        <f>RTD("tos.rtd", , "ASK", "SPY")</f>
        <v>354</v>
      </c>
      <c r="J590">
        <f>RTD("tos.rtd", , "HIGH", "SPY")</f>
        <v>356.71820000000002</v>
      </c>
      <c r="K590">
        <f>RTD("tos.rtd", , "LOW", "SPY")</f>
        <v>351.26</v>
      </c>
      <c r="L590">
        <f>RTD("tos.rtd", , "OPEN", "SPY")</f>
        <v>355.58</v>
      </c>
      <c r="M590">
        <f>RTD("tos.rtd", , "DELTA", "SPY")</f>
        <v>1</v>
      </c>
      <c r="N590">
        <f>RTD("tos.rtd", , "GAMMA", "SPY")</f>
        <v>0</v>
      </c>
      <c r="O590">
        <f>RTD("tos.rtd", , "THETA", "SPY")</f>
        <v>0</v>
      </c>
      <c r="P590">
        <f>RTD("tos.rtd", , "VEGA", "SPY")</f>
        <v>0</v>
      </c>
      <c r="Q590">
        <f>RTD("tos.rtd", , "RHO", "SPY")</f>
        <v>0</v>
      </c>
      <c r="R590" t="str">
        <f>RTD("tos.rtd", , "INTRINSIC", "SPY")</f>
        <v>N/A</v>
      </c>
      <c r="S590" t="str">
        <f>RTD("tos.rtd", , "EXTRINSIC", "SPY")</f>
        <v>N/A</v>
      </c>
      <c r="T590" t="str">
        <f>RTD("tos.rtd", , "PROB_OF_EXPIRING", "SPY")</f>
        <v>N/A</v>
      </c>
      <c r="U590" t="str">
        <f>RTD("tos.rtd", , "PROB_OTM", "SPY")</f>
        <v>N/A</v>
      </c>
      <c r="V590" t="str">
        <f>RTD("tos.rtd", , "PROB_OF_TOUCHING", "SPY")</f>
        <v>N/A</v>
      </c>
      <c r="W590" t="str">
        <f>RTD("tos.rtd", , "STRIKE", "SPY")</f>
        <v>N/A</v>
      </c>
    </row>
    <row r="591" spans="1:23" x14ac:dyDescent="0.45">
      <c r="A591" t="s">
        <v>612</v>
      </c>
      <c r="B591" t="str">
        <f>RTD("tos.rtd", , "DESCRIPTION", ".SPY201118C353")</f>
        <v>SPY 100 (Weeklys) 18 NOV 20 353 CALL</v>
      </c>
      <c r="C591" t="str">
        <f>RTD("tos.rtd", , "PUT_CALL_RATIO", ".SPY201118C353")</f>
        <v>N/A</v>
      </c>
      <c r="D591" t="str">
        <f>RTD("tos.rtd", , "IMPL_VOL", ".SPY201118C353")</f>
        <v>21.23%</v>
      </c>
      <c r="E591">
        <f>RTD("tos.rtd", , "LAST", ".SPY201118C353")</f>
        <v>4.12</v>
      </c>
      <c r="F591">
        <f>RTD("tos.rtd", , "VOLUME", ".SPY201118C353")</f>
        <v>2910</v>
      </c>
      <c r="G591">
        <f>RTD("tos.rtd", , "OPEN_INT", ".SPY201118C353")</f>
        <v>1398</v>
      </c>
      <c r="H591">
        <f>RTD("tos.rtd", , "BID", ".SPY201118C353")</f>
        <v>4.03</v>
      </c>
      <c r="I591">
        <f>RTD("tos.rtd", , "ASK", ".SPY201118C353")</f>
        <v>4.0599999999999996</v>
      </c>
      <c r="J591">
        <f>RTD("tos.rtd", , "HIGH", ".SPY201118C353")</f>
        <v>5.44</v>
      </c>
      <c r="K591">
        <f>RTD("tos.rtd", , "LOW", ".SPY201118C353")</f>
        <v>3.16</v>
      </c>
      <c r="L591">
        <f>RTD("tos.rtd", , "OPEN", ".SPY201118C353")</f>
        <v>4.72</v>
      </c>
      <c r="M591">
        <f>RTD("tos.rtd", , "DELTA", ".SPY201118C353")</f>
        <v>0.52</v>
      </c>
      <c r="N591">
        <f>RTD("tos.rtd", , "GAMMA", ".SPY201118C353")</f>
        <v>0.04</v>
      </c>
      <c r="O591">
        <f>RTD("tos.rtd", , "THETA", ".SPY201118C353")</f>
        <v>-0.33</v>
      </c>
      <c r="P591">
        <f>RTD("tos.rtd", , "VEGA", ".SPY201118C353")</f>
        <v>0.18</v>
      </c>
      <c r="Q591">
        <f>RTD("tos.rtd", , "RHO", ".SPY201118C353")</f>
        <v>0.03</v>
      </c>
      <c r="R591">
        <f>RTD("tos.rtd", , "INTRINSIC", ".SPY201118C353")</f>
        <v>0.5</v>
      </c>
      <c r="S591">
        <f>RTD("tos.rtd", , "EXTRINSIC", ".SPY201118C353")</f>
        <v>3.5449999999999999</v>
      </c>
      <c r="T591" t="str">
        <f>RTD("tos.rtd", , "PROB_OF_EXPIRING", ".SPY201118C353")</f>
        <v>51.17%</v>
      </c>
      <c r="U591" t="str">
        <f>RTD("tos.rtd", , "PROB_OTM", ".SPY201118C353")</f>
        <v>48.83%</v>
      </c>
      <c r="V591" t="str">
        <f>RTD("tos.rtd", , "PROB_OF_TOUCHING", ".SPY201118C353")</f>
        <v>95.96%</v>
      </c>
      <c r="W591">
        <f>RTD("tos.rtd", , "STRIKE", ".SPY201118C353")</f>
        <v>353</v>
      </c>
    </row>
    <row r="592" spans="1:23" x14ac:dyDescent="0.45">
      <c r="A592" t="s">
        <v>613</v>
      </c>
      <c r="B592" t="str">
        <f>RTD("tos.rtd", , "DESCRIPTION", ".SPY201118P353")</f>
        <v>SPY 100 (Weeklys) 18 NOV 20 353 PUT</v>
      </c>
      <c r="C592" t="str">
        <f>RTD("tos.rtd", , "PUT_CALL_RATIO", ".SPY201118P353")</f>
        <v>N/A</v>
      </c>
      <c r="D592" t="str">
        <f>RTD("tos.rtd", , "IMPL_VOL", ".SPY201118P353")</f>
        <v>19.06%</v>
      </c>
      <c r="E592">
        <f>RTD("tos.rtd", , "LAST", ".SPY201118P353")</f>
        <v>3.22</v>
      </c>
      <c r="F592">
        <f>RTD("tos.rtd", , "VOLUME", ".SPY201118P353")</f>
        <v>4804</v>
      </c>
      <c r="G592">
        <f>RTD("tos.rtd", , "OPEN_INT", ".SPY201118P353")</f>
        <v>864</v>
      </c>
      <c r="H592">
        <f>RTD("tos.rtd", , "BID", ".SPY201118P353")</f>
        <v>3.22</v>
      </c>
      <c r="I592">
        <f>RTD("tos.rtd", , "ASK", ".SPY201118P353")</f>
        <v>3.26</v>
      </c>
      <c r="J592">
        <f>RTD("tos.rtd", , "HIGH", ".SPY201118P353")</f>
        <v>4.8</v>
      </c>
      <c r="K592">
        <f>RTD("tos.rtd", , "LOW", ".SPY201118P353")</f>
        <v>2.1</v>
      </c>
      <c r="L592">
        <f>RTD("tos.rtd", , "OPEN", ".SPY201118P353")</f>
        <v>2.5299999999999998</v>
      </c>
      <c r="M592">
        <f>RTD("tos.rtd", , "DELTA", ".SPY201118P353")</f>
        <v>-0.48</v>
      </c>
      <c r="N592">
        <f>RTD("tos.rtd", , "GAMMA", ".SPY201118P353")</f>
        <v>0.05</v>
      </c>
      <c r="O592">
        <f>RTD("tos.rtd", , "THETA", ".SPY201118P353")</f>
        <v>-0.31</v>
      </c>
      <c r="P592">
        <f>RTD("tos.rtd", , "VEGA", ".SPY201118P353")</f>
        <v>0.18</v>
      </c>
      <c r="Q592">
        <f>RTD("tos.rtd", , "RHO", ".SPY201118P353")</f>
        <v>-0.03</v>
      </c>
      <c r="R592">
        <f>RTD("tos.rtd", , "INTRINSIC", ".SPY201118P353")</f>
        <v>0</v>
      </c>
      <c r="S592">
        <f>RTD("tos.rtd", , "EXTRINSIC", ".SPY201118P353")</f>
        <v>3.24</v>
      </c>
      <c r="T592" t="str">
        <f>RTD("tos.rtd", , "PROB_OF_EXPIRING", ".SPY201118P353")</f>
        <v>48.58%</v>
      </c>
      <c r="U592" t="str">
        <f>RTD("tos.rtd", , "PROB_OTM", ".SPY201118P353")</f>
        <v>51.42%</v>
      </c>
      <c r="V592" t="str">
        <f>RTD("tos.rtd", , "PROB_OF_TOUCHING", ".SPY201118P353")</f>
        <v>95.50%</v>
      </c>
      <c r="W592">
        <f>RTD("tos.rtd", , "STRIKE", ".SPY201118P353")</f>
        <v>353</v>
      </c>
    </row>
    <row r="593" spans="1:23" x14ac:dyDescent="0.45">
      <c r="A593" t="s">
        <v>614</v>
      </c>
      <c r="B593" t="str">
        <f>RTD("tos.rtd", , "DESCRIPTION", ".SPY201118C354")</f>
        <v>SPY 100 (Weeklys) 18 NOV 20 354 CALL</v>
      </c>
      <c r="C593" t="str">
        <f>RTD("tos.rtd", , "PUT_CALL_RATIO", ".SPY201118C354")</f>
        <v>N/A</v>
      </c>
      <c r="D593" t="str">
        <f>RTD("tos.rtd", , "IMPL_VOL", ".SPY201118C354")</f>
        <v>20.63%</v>
      </c>
      <c r="E593">
        <f>RTD("tos.rtd", , "LAST", ".SPY201118C354")</f>
        <v>3.62</v>
      </c>
      <c r="F593">
        <f>RTD("tos.rtd", , "VOLUME", ".SPY201118C354")</f>
        <v>2283</v>
      </c>
      <c r="G593">
        <f>RTD("tos.rtd", , "OPEN_INT", ".SPY201118C354")</f>
        <v>868</v>
      </c>
      <c r="H593">
        <f>RTD("tos.rtd", , "BID", ".SPY201118C354")</f>
        <v>3.43</v>
      </c>
      <c r="I593">
        <f>RTD("tos.rtd", , "ASK", ".SPY201118C354")</f>
        <v>3.46</v>
      </c>
      <c r="J593">
        <f>RTD("tos.rtd", , "HIGH", ".SPY201118C354")</f>
        <v>4.7300000000000004</v>
      </c>
      <c r="K593">
        <f>RTD("tos.rtd", , "LOW", ".SPY201118C354")</f>
        <v>2.65</v>
      </c>
      <c r="L593">
        <f>RTD("tos.rtd", , "OPEN", ".SPY201118C354")</f>
        <v>4.2</v>
      </c>
      <c r="M593">
        <f>RTD("tos.rtd", , "DELTA", ".SPY201118C354")</f>
        <v>0.48</v>
      </c>
      <c r="N593">
        <f>RTD("tos.rtd", , "GAMMA", ".SPY201118C354")</f>
        <v>0.04</v>
      </c>
      <c r="O593">
        <f>RTD("tos.rtd", , "THETA", ".SPY201118C354")</f>
        <v>-0.32</v>
      </c>
      <c r="P593">
        <f>RTD("tos.rtd", , "VEGA", ".SPY201118C354")</f>
        <v>0.18</v>
      </c>
      <c r="Q593">
        <f>RTD("tos.rtd", , "RHO", ".SPY201118C354")</f>
        <v>0.03</v>
      </c>
      <c r="R593">
        <f>RTD("tos.rtd", , "INTRINSIC", ".SPY201118C354")</f>
        <v>0</v>
      </c>
      <c r="S593">
        <f>RTD("tos.rtd", , "EXTRINSIC", ".SPY201118C354")</f>
        <v>3.4449999999999998</v>
      </c>
      <c r="T593" t="str">
        <f>RTD("tos.rtd", , "PROB_OF_EXPIRING", ".SPY201118C354")</f>
        <v>46.97%</v>
      </c>
      <c r="U593" t="str">
        <f>RTD("tos.rtd", , "PROB_OTM", ".SPY201118C354")</f>
        <v>53.03%</v>
      </c>
      <c r="V593" t="str">
        <f>RTD("tos.rtd", , "PROB_OF_TOUCHING", ".SPY201118C354")</f>
        <v>95.62%</v>
      </c>
      <c r="W593">
        <f>RTD("tos.rtd", , "STRIKE", ".SPY201118C354")</f>
        <v>354</v>
      </c>
    </row>
    <row r="594" spans="1:23" x14ac:dyDescent="0.45">
      <c r="A594" t="s">
        <v>615</v>
      </c>
      <c r="B594" t="str">
        <f>RTD("tos.rtd", , "DESCRIPTION", ".SPY201118P354")</f>
        <v>SPY 100 (Weeklys) 18 NOV 20 354 PUT</v>
      </c>
      <c r="C594" t="str">
        <f>RTD("tos.rtd", , "PUT_CALL_RATIO", ".SPY201118P354")</f>
        <v>N/A</v>
      </c>
      <c r="D594" t="str">
        <f>RTD("tos.rtd", , "IMPL_VOL", ".SPY201118P354")</f>
        <v>18.49%</v>
      </c>
      <c r="E594">
        <f>RTD("tos.rtd", , "LAST", ".SPY201118P354")</f>
        <v>3.5</v>
      </c>
      <c r="F594">
        <f>RTD("tos.rtd", , "VOLUME", ".SPY201118P354")</f>
        <v>3577</v>
      </c>
      <c r="G594">
        <f>RTD("tos.rtd", , "OPEN_INT", ".SPY201118P354")</f>
        <v>1986</v>
      </c>
      <c r="H594">
        <f>RTD("tos.rtd", , "BID", ".SPY201118P354")</f>
        <v>3.63</v>
      </c>
      <c r="I594">
        <f>RTD("tos.rtd", , "ASK", ".SPY201118P354")</f>
        <v>3.66</v>
      </c>
      <c r="J594">
        <f>RTD("tos.rtd", , "HIGH", ".SPY201118P354")</f>
        <v>5.41</v>
      </c>
      <c r="K594">
        <f>RTD("tos.rtd", , "LOW", ".SPY201118P354")</f>
        <v>2.4</v>
      </c>
      <c r="L594">
        <f>RTD("tos.rtd", , "OPEN", ".SPY201118P354")</f>
        <v>2.88</v>
      </c>
      <c r="M594">
        <f>RTD("tos.rtd", , "DELTA", ".SPY201118P354")</f>
        <v>-0.52</v>
      </c>
      <c r="N594">
        <f>RTD("tos.rtd", , "GAMMA", ".SPY201118P354")</f>
        <v>0.05</v>
      </c>
      <c r="O594">
        <f>RTD("tos.rtd", , "THETA", ".SPY201118P354")</f>
        <v>-0.3</v>
      </c>
      <c r="P594">
        <f>RTD("tos.rtd", , "VEGA", ".SPY201118P354")</f>
        <v>0.18</v>
      </c>
      <c r="Q594">
        <f>RTD("tos.rtd", , "RHO", ".SPY201118P354")</f>
        <v>-0.03</v>
      </c>
      <c r="R594">
        <f>RTD("tos.rtd", , "INTRINSIC", ".SPY201118P354")</f>
        <v>0.5</v>
      </c>
      <c r="S594">
        <f>RTD("tos.rtd", , "EXTRINSIC", ".SPY201118P354")</f>
        <v>3.145</v>
      </c>
      <c r="T594" t="str">
        <f>RTD("tos.rtd", , "PROB_OF_EXPIRING", ".SPY201118P354")</f>
        <v>53.27%</v>
      </c>
      <c r="U594" t="str">
        <f>RTD("tos.rtd", , "PROB_OTM", ".SPY201118P354")</f>
        <v>46.73%</v>
      </c>
      <c r="V594" t="str">
        <f>RTD("tos.rtd", , "PROB_OF_TOUCHING", ".SPY201118P354")</f>
        <v>95.12%</v>
      </c>
      <c r="W594">
        <f>RTD("tos.rtd", , "STRIKE", ".SPY201118P354")</f>
        <v>354</v>
      </c>
    </row>
    <row r="595" spans="1:23" x14ac:dyDescent="0.45">
      <c r="A595" t="s">
        <v>616</v>
      </c>
      <c r="B595" t="str">
        <f>RTD("tos.rtd", , "DESCRIPTION", ".SPY201118C355")</f>
        <v>SPY 100 (Weeklys) 18 NOV 20 355 CALL</v>
      </c>
      <c r="C595" t="str">
        <f>RTD("tos.rtd", , "PUT_CALL_RATIO", ".SPY201118C355")</f>
        <v>N/A</v>
      </c>
      <c r="D595" t="str">
        <f>RTD("tos.rtd", , "IMPL_VOL", ".SPY201118C355")</f>
        <v>20.06%</v>
      </c>
      <c r="E595">
        <f>RTD("tos.rtd", , "LAST", ".SPY201118C355")</f>
        <v>2.95</v>
      </c>
      <c r="F595">
        <f>RTD("tos.rtd", , "VOLUME", ".SPY201118C355")</f>
        <v>3702</v>
      </c>
      <c r="G595">
        <f>RTD("tos.rtd", , "OPEN_INT", ".SPY201118C355")</f>
        <v>1364</v>
      </c>
      <c r="H595">
        <f>RTD("tos.rtd", , "BID", ".SPY201118C355")</f>
        <v>2.88</v>
      </c>
      <c r="I595">
        <f>RTD("tos.rtd", , "ASK", ".SPY201118C355")</f>
        <v>2.91</v>
      </c>
      <c r="J595">
        <f>RTD("tos.rtd", , "HIGH", ".SPY201118C355")</f>
        <v>4.12</v>
      </c>
      <c r="K595">
        <f>RTD("tos.rtd", , "LOW", ".SPY201118C355")</f>
        <v>2.2000000000000002</v>
      </c>
      <c r="L595">
        <f>RTD("tos.rtd", , "OPEN", ".SPY201118C355")</f>
        <v>3.88</v>
      </c>
      <c r="M595">
        <f>RTD("tos.rtd", , "DELTA", ".SPY201118C355")</f>
        <v>0.44</v>
      </c>
      <c r="N595">
        <f>RTD("tos.rtd", , "GAMMA", ".SPY201118C355")</f>
        <v>0.04</v>
      </c>
      <c r="O595">
        <f>RTD("tos.rtd", , "THETA", ".SPY201118C355")</f>
        <v>-0.31</v>
      </c>
      <c r="P595">
        <f>RTD("tos.rtd", , "VEGA", ".SPY201118C355")</f>
        <v>0.18</v>
      </c>
      <c r="Q595">
        <f>RTD("tos.rtd", , "RHO", ".SPY201118C355")</f>
        <v>0.02</v>
      </c>
      <c r="R595">
        <f>RTD("tos.rtd", , "INTRINSIC", ".SPY201118C355")</f>
        <v>0</v>
      </c>
      <c r="S595">
        <f>RTD("tos.rtd", , "EXTRINSIC", ".SPY201118C355")</f>
        <v>2.895</v>
      </c>
      <c r="T595" t="str">
        <f>RTD("tos.rtd", , "PROB_OF_EXPIRING", ".SPY201118C355")</f>
        <v>42.58%</v>
      </c>
      <c r="U595" t="str">
        <f>RTD("tos.rtd", , "PROB_OTM", ".SPY201118C355")</f>
        <v>57.42%</v>
      </c>
      <c r="V595" t="str">
        <f>RTD("tos.rtd", , "PROB_OF_TOUCHING", ".SPY201118C355")</f>
        <v>86.59%</v>
      </c>
      <c r="W595">
        <f>RTD("tos.rtd", , "STRIKE", ".SPY201118C355")</f>
        <v>355</v>
      </c>
    </row>
    <row r="596" spans="1:23" x14ac:dyDescent="0.45">
      <c r="A596" t="s">
        <v>617</v>
      </c>
      <c r="B596" t="str">
        <f>RTD("tos.rtd", , "DESCRIPTION", ".SPY201118P355")</f>
        <v>SPY 100 (Weeklys) 18 NOV 20 355 PUT</v>
      </c>
      <c r="C596" t="str">
        <f>RTD("tos.rtd", , "PUT_CALL_RATIO", ".SPY201118P355")</f>
        <v>N/A</v>
      </c>
      <c r="D596" t="str">
        <f>RTD("tos.rtd", , "IMPL_VOL", ".SPY201118P355")</f>
        <v>17.83%</v>
      </c>
      <c r="E596">
        <f>RTD("tos.rtd", , "LAST", ".SPY201118P355")</f>
        <v>3.85</v>
      </c>
      <c r="F596">
        <f>RTD("tos.rtd", , "VOLUME", ".SPY201118P355")</f>
        <v>3059</v>
      </c>
      <c r="G596">
        <f>RTD("tos.rtd", , "OPEN_INT", ".SPY201118P355")</f>
        <v>963</v>
      </c>
      <c r="H596">
        <f>RTD("tos.rtd", , "BID", ".SPY201118P355")</f>
        <v>4.05</v>
      </c>
      <c r="I596">
        <f>RTD("tos.rtd", , "ASK", ".SPY201118P355")</f>
        <v>4.12</v>
      </c>
      <c r="J596">
        <f>RTD("tos.rtd", , "HIGH", ".SPY201118P355")</f>
        <v>5.85</v>
      </c>
      <c r="K596">
        <f>RTD("tos.rtd", , "LOW", ".SPY201118P355")</f>
        <v>2.75</v>
      </c>
      <c r="L596">
        <f>RTD("tos.rtd", , "OPEN", ".SPY201118P355")</f>
        <v>3.23</v>
      </c>
      <c r="M596">
        <f>RTD("tos.rtd", , "DELTA", ".SPY201118P355")</f>
        <v>-0.56999999999999995</v>
      </c>
      <c r="N596">
        <f>RTD("tos.rtd", , "GAMMA", ".SPY201118P355")</f>
        <v>0.05</v>
      </c>
      <c r="O596">
        <f>RTD("tos.rtd", , "THETA", ".SPY201118P355")</f>
        <v>-0.28000000000000003</v>
      </c>
      <c r="P596">
        <f>RTD("tos.rtd", , "VEGA", ".SPY201118P355")</f>
        <v>0.18</v>
      </c>
      <c r="Q596">
        <f>RTD("tos.rtd", , "RHO", ".SPY201118P355")</f>
        <v>-0.03</v>
      </c>
      <c r="R596">
        <f>RTD("tos.rtd", , "INTRINSIC", ".SPY201118P355")</f>
        <v>1.5</v>
      </c>
      <c r="S596">
        <f>RTD("tos.rtd", , "EXTRINSIC", ".SPY201118P355")</f>
        <v>2.585</v>
      </c>
      <c r="T596" t="str">
        <f>RTD("tos.rtd", , "PROB_OF_EXPIRING", ".SPY201118P355")</f>
        <v>58.22%</v>
      </c>
      <c r="U596" t="str">
        <f>RTD("tos.rtd", , "PROB_OTM", ".SPY201118P355")</f>
        <v>41.78%</v>
      </c>
      <c r="V596" t="str">
        <f>RTD("tos.rtd", , "PROB_OF_TOUCHING", ".SPY201118P355")</f>
        <v>84.95%</v>
      </c>
      <c r="W596">
        <f>RTD("tos.rtd", , "STRIKE", ".SPY201118P355")</f>
        <v>355</v>
      </c>
    </row>
    <row r="597" spans="1:23" x14ac:dyDescent="0.45">
      <c r="A597" t="s">
        <v>618</v>
      </c>
      <c r="B597" t="str">
        <f>RTD("tos.rtd", , "DESCRIPTION", ".SPY201118C356")</f>
        <v>SPY 100 (Weeklys) 18 NOV 20 356 CALL</v>
      </c>
      <c r="C597" t="str">
        <f>RTD("tos.rtd", , "PUT_CALL_RATIO", ".SPY201118C356")</f>
        <v>N/A</v>
      </c>
      <c r="D597" t="str">
        <f>RTD("tos.rtd", , "IMPL_VOL", ".SPY201118C356")</f>
        <v>19.51%</v>
      </c>
      <c r="E597">
        <f>RTD("tos.rtd", , "LAST", ".SPY201118C356")</f>
        <v>2.4</v>
      </c>
      <c r="F597">
        <f>RTD("tos.rtd", , "VOLUME", ".SPY201118C356")</f>
        <v>2848</v>
      </c>
      <c r="G597">
        <f>RTD("tos.rtd", , "OPEN_INT", ".SPY201118C356")</f>
        <v>1840</v>
      </c>
      <c r="H597">
        <f>RTD("tos.rtd", , "BID", ".SPY201118C356")</f>
        <v>2.38</v>
      </c>
      <c r="I597">
        <f>RTD("tos.rtd", , "ASK", ".SPY201118C356")</f>
        <v>2.41</v>
      </c>
      <c r="J597">
        <f>RTD("tos.rtd", , "HIGH", ".SPY201118C356")</f>
        <v>3.51</v>
      </c>
      <c r="K597">
        <f>RTD("tos.rtd", , "LOW", ".SPY201118C356")</f>
        <v>1.8</v>
      </c>
      <c r="L597">
        <f>RTD("tos.rtd", , "OPEN", ".SPY201118C356")</f>
        <v>3.33</v>
      </c>
      <c r="M597">
        <f>RTD("tos.rtd", , "DELTA", ".SPY201118C356")</f>
        <v>0.39</v>
      </c>
      <c r="N597">
        <f>RTD("tos.rtd", , "GAMMA", ".SPY201118C356")</f>
        <v>0.04</v>
      </c>
      <c r="O597">
        <f>RTD("tos.rtd", , "THETA", ".SPY201118C356")</f>
        <v>-0.28999999999999998</v>
      </c>
      <c r="P597">
        <f>RTD("tos.rtd", , "VEGA", ".SPY201118C356")</f>
        <v>0.17</v>
      </c>
      <c r="Q597">
        <f>RTD("tos.rtd", , "RHO", ".SPY201118C356")</f>
        <v>0.02</v>
      </c>
      <c r="R597">
        <f>RTD("tos.rtd", , "INTRINSIC", ".SPY201118C356")</f>
        <v>0</v>
      </c>
      <c r="S597">
        <f>RTD("tos.rtd", , "EXTRINSIC", ".SPY201118C356")</f>
        <v>2.395</v>
      </c>
      <c r="T597" t="str">
        <f>RTD("tos.rtd", , "PROB_OF_EXPIRING", ".SPY201118C356")</f>
        <v>38.05%</v>
      </c>
      <c r="U597" t="str">
        <f>RTD("tos.rtd", , "PROB_OTM", ".SPY201118C356")</f>
        <v>61.95%</v>
      </c>
      <c r="V597" t="str">
        <f>RTD("tos.rtd", , "PROB_OF_TOUCHING", ".SPY201118C356")</f>
        <v>77.32%</v>
      </c>
      <c r="W597">
        <f>RTD("tos.rtd", , "STRIKE", ".SPY201118C356")</f>
        <v>356</v>
      </c>
    </row>
    <row r="598" spans="1:23" x14ac:dyDescent="0.45">
      <c r="A598" t="s">
        <v>619</v>
      </c>
      <c r="B598" t="str">
        <f>RTD("tos.rtd", , "DESCRIPTION", ".SPY201118P356")</f>
        <v>SPY 100 (Weeklys) 18 NOV 20 356 PUT</v>
      </c>
      <c r="C598" t="str">
        <f>RTD("tos.rtd", , "PUT_CALL_RATIO", ".SPY201118P356")</f>
        <v>N/A</v>
      </c>
      <c r="D598" t="str">
        <f>RTD("tos.rtd", , "IMPL_VOL", ".SPY201118P356")</f>
        <v>17.22%</v>
      </c>
      <c r="E598">
        <f>RTD("tos.rtd", , "LAST", ".SPY201118P356")</f>
        <v>4.55</v>
      </c>
      <c r="F598">
        <f>RTD("tos.rtd", , "VOLUME", ".SPY201118P356")</f>
        <v>1509</v>
      </c>
      <c r="G598">
        <f>RTD("tos.rtd", , "OPEN_INT", ".SPY201118P356")</f>
        <v>602</v>
      </c>
      <c r="H598">
        <f>RTD("tos.rtd", , "BID", ".SPY201118P356")</f>
        <v>4.55</v>
      </c>
      <c r="I598">
        <f>RTD("tos.rtd", , "ASK", ".SPY201118P356")</f>
        <v>4.62</v>
      </c>
      <c r="J598">
        <f>RTD("tos.rtd", , "HIGH", ".SPY201118P356")</f>
        <v>6.58</v>
      </c>
      <c r="K598">
        <f>RTD("tos.rtd", , "LOW", ".SPY201118P356")</f>
        <v>3.16</v>
      </c>
      <c r="L598">
        <f>RTD("tos.rtd", , "OPEN", ".SPY201118P356")</f>
        <v>3.71</v>
      </c>
      <c r="M598">
        <f>RTD("tos.rtd", , "DELTA", ".SPY201118P356")</f>
        <v>-0.63</v>
      </c>
      <c r="N598">
        <f>RTD("tos.rtd", , "GAMMA", ".SPY201118P356")</f>
        <v>0.05</v>
      </c>
      <c r="O598">
        <f>RTD("tos.rtd", , "THETA", ".SPY201118P356")</f>
        <v>-0.27</v>
      </c>
      <c r="P598">
        <f>RTD("tos.rtd", , "VEGA", ".SPY201118P356")</f>
        <v>0.17</v>
      </c>
      <c r="Q598">
        <f>RTD("tos.rtd", , "RHO", ".SPY201118P356")</f>
        <v>-0.04</v>
      </c>
      <c r="R598">
        <f>RTD("tos.rtd", , "INTRINSIC", ".SPY201118P356")</f>
        <v>2.5</v>
      </c>
      <c r="S598">
        <f>RTD("tos.rtd", , "EXTRINSIC", ".SPY201118P356")</f>
        <v>2.085</v>
      </c>
      <c r="T598" t="str">
        <f>RTD("tos.rtd", , "PROB_OF_EXPIRING", ".SPY201118P356")</f>
        <v>63.37%</v>
      </c>
      <c r="U598" t="str">
        <f>RTD("tos.rtd", , "PROB_OTM", ".SPY201118P356")</f>
        <v>36.63%</v>
      </c>
      <c r="V598" t="str">
        <f>RTD("tos.rtd", , "PROB_OF_TOUCHING", ".SPY201118P356")</f>
        <v>74.41%</v>
      </c>
      <c r="W598">
        <f>RTD("tos.rtd", , "STRIKE", ".SPY201118P356")</f>
        <v>356</v>
      </c>
    </row>
    <row r="599" spans="1:23" x14ac:dyDescent="0.45">
      <c r="A599" t="s">
        <v>620</v>
      </c>
      <c r="B599" t="str">
        <f>RTD("tos.rtd", , "DESCRIPTION", ".SPY201118C357")</f>
        <v>SPY 100 (Weeklys) 18 NOV 20 357 CALL</v>
      </c>
      <c r="C599" t="str">
        <f>RTD("tos.rtd", , "PUT_CALL_RATIO", ".SPY201118C357")</f>
        <v>N/A</v>
      </c>
      <c r="D599" t="str">
        <f>RTD("tos.rtd", , "IMPL_VOL", ".SPY201118C357")</f>
        <v>18.97%</v>
      </c>
      <c r="E599">
        <f>RTD("tos.rtd", , "LAST", ".SPY201118C357")</f>
        <v>1.96</v>
      </c>
      <c r="F599">
        <f>RTD("tos.rtd", , "VOLUME", ".SPY201118C357")</f>
        <v>2921</v>
      </c>
      <c r="G599">
        <f>RTD("tos.rtd", , "OPEN_INT", ".SPY201118C357")</f>
        <v>1528</v>
      </c>
      <c r="H599">
        <f>RTD("tos.rtd", , "BID", ".SPY201118C357")</f>
        <v>1.93</v>
      </c>
      <c r="I599">
        <f>RTD("tos.rtd", , "ASK", ".SPY201118C357")</f>
        <v>1.96</v>
      </c>
      <c r="J599">
        <f>RTD("tos.rtd", , "HIGH", ".SPY201118C357")</f>
        <v>2.95</v>
      </c>
      <c r="K599">
        <f>RTD("tos.rtd", , "LOW", ".SPY201118C357")</f>
        <v>1.45</v>
      </c>
      <c r="L599">
        <f>RTD("tos.rtd", , "OPEN", ".SPY201118C357")</f>
        <v>2.74</v>
      </c>
      <c r="M599">
        <f>RTD("tos.rtd", , "DELTA", ".SPY201118C357")</f>
        <v>0.34</v>
      </c>
      <c r="N599">
        <f>RTD("tos.rtd", , "GAMMA", ".SPY201118C357")</f>
        <v>0.04</v>
      </c>
      <c r="O599">
        <f>RTD("tos.rtd", , "THETA", ".SPY201118C357")</f>
        <v>-0.27</v>
      </c>
      <c r="P599">
        <f>RTD("tos.rtd", , "VEGA", ".SPY201118C357")</f>
        <v>0.17</v>
      </c>
      <c r="Q599">
        <f>RTD("tos.rtd", , "RHO", ".SPY201118C357")</f>
        <v>0.02</v>
      </c>
      <c r="R599">
        <f>RTD("tos.rtd", , "INTRINSIC", ".SPY201118C357")</f>
        <v>0</v>
      </c>
      <c r="S599">
        <f>RTD("tos.rtd", , "EXTRINSIC", ".SPY201118C357")</f>
        <v>1.9450000000000001</v>
      </c>
      <c r="T599" t="str">
        <f>RTD("tos.rtd", , "PROB_OF_EXPIRING", ".SPY201118C357")</f>
        <v>33.45%</v>
      </c>
      <c r="U599" t="str">
        <f>RTD("tos.rtd", , "PROB_OTM", ".SPY201118C357")</f>
        <v>66.55%</v>
      </c>
      <c r="V599" t="str">
        <f>RTD("tos.rtd", , "PROB_OF_TOUCHING", ".SPY201118C357")</f>
        <v>67.91%</v>
      </c>
      <c r="W599">
        <f>RTD("tos.rtd", , "STRIKE", ".SPY201118C357")</f>
        <v>357</v>
      </c>
    </row>
    <row r="600" spans="1:23" x14ac:dyDescent="0.45">
      <c r="A600" t="s">
        <v>621</v>
      </c>
      <c r="B600" t="str">
        <f>RTD("tos.rtd", , "DESCRIPTION", ".SPY201118P357")</f>
        <v>SPY 100 (Weeklys) 18 NOV 20 357 PUT</v>
      </c>
      <c r="C600" t="str">
        <f>RTD("tos.rtd", , "PUT_CALL_RATIO", ".SPY201118P357")</f>
        <v>N/A</v>
      </c>
      <c r="D600" t="str">
        <f>RTD("tos.rtd", , "IMPL_VOL", ".SPY201118P357")</f>
        <v>16.56%</v>
      </c>
      <c r="E600">
        <f>RTD("tos.rtd", , "LAST", ".SPY201118P357")</f>
        <v>5.0199999999999996</v>
      </c>
      <c r="F600">
        <f>RTD("tos.rtd", , "VOLUME", ".SPY201118P357")</f>
        <v>672</v>
      </c>
      <c r="G600">
        <f>RTD("tos.rtd", , "OPEN_INT", ".SPY201118P357")</f>
        <v>723</v>
      </c>
      <c r="H600">
        <f>RTD("tos.rtd", , "BID", ".SPY201118P357")</f>
        <v>5.09</v>
      </c>
      <c r="I600">
        <f>RTD("tos.rtd", , "ASK", ".SPY201118P357")</f>
        <v>5.18</v>
      </c>
      <c r="J600">
        <f>RTD("tos.rtd", , "HIGH", ".SPY201118P357")</f>
        <v>7</v>
      </c>
      <c r="K600">
        <f>RTD("tos.rtd", , "LOW", ".SPY201118P357")</f>
        <v>3.59</v>
      </c>
      <c r="L600">
        <f>RTD("tos.rtd", , "OPEN", ".SPY201118P357")</f>
        <v>4.07</v>
      </c>
      <c r="M600">
        <f>RTD("tos.rtd", , "DELTA", ".SPY201118P357")</f>
        <v>-0.68</v>
      </c>
      <c r="N600">
        <f>RTD("tos.rtd", , "GAMMA", ".SPY201118P357")</f>
        <v>0.05</v>
      </c>
      <c r="O600">
        <f>RTD("tos.rtd", , "THETA", ".SPY201118P357")</f>
        <v>-0.24</v>
      </c>
      <c r="P600">
        <f>RTD("tos.rtd", , "VEGA", ".SPY201118P357")</f>
        <v>0.16</v>
      </c>
      <c r="Q600">
        <f>RTD("tos.rtd", , "RHO", ".SPY201118P357")</f>
        <v>-0.04</v>
      </c>
      <c r="R600">
        <f>RTD("tos.rtd", , "INTRINSIC", ".SPY201118P357")</f>
        <v>3.5</v>
      </c>
      <c r="S600">
        <f>RTD("tos.rtd", , "EXTRINSIC", ".SPY201118P357")</f>
        <v>1.635</v>
      </c>
      <c r="T600" t="str">
        <f>RTD("tos.rtd", , "PROB_OF_EXPIRING", ".SPY201118P357")</f>
        <v>68.67%</v>
      </c>
      <c r="U600" t="str">
        <f>RTD("tos.rtd", , "PROB_OTM", ".SPY201118P357")</f>
        <v>31.33%</v>
      </c>
      <c r="V600" t="str">
        <f>RTD("tos.rtd", , "PROB_OF_TOUCHING", ".SPY201118P357")</f>
        <v>63.58%</v>
      </c>
      <c r="W600">
        <f>RTD("tos.rtd", , "STRIKE", ".SPY201118P357")</f>
        <v>357</v>
      </c>
    </row>
    <row r="601" spans="1:23" x14ac:dyDescent="0.45">
      <c r="A601" t="s">
        <v>622</v>
      </c>
      <c r="B601" t="str">
        <f>RTD("tos.rtd", , "DESCRIPTION", ".SPY201118C358")</f>
        <v>SPY 100 (Weeklys) 18 NOV 20 358 CALL</v>
      </c>
      <c r="C601" t="str">
        <f>RTD("tos.rtd", , "PUT_CALL_RATIO", ".SPY201118C358")</f>
        <v>N/A</v>
      </c>
      <c r="D601" t="str">
        <f>RTD("tos.rtd", , "IMPL_VOL", ".SPY201118C358")</f>
        <v>18.49%</v>
      </c>
      <c r="E601">
        <f>RTD("tos.rtd", , "LAST", ".SPY201118C358")</f>
        <v>1.65</v>
      </c>
      <c r="F601">
        <f>RTD("tos.rtd", , "VOLUME", ".SPY201118C358")</f>
        <v>1801</v>
      </c>
      <c r="G601">
        <f>RTD("tos.rtd", , "OPEN_INT", ".SPY201118C358")</f>
        <v>2123</v>
      </c>
      <c r="H601">
        <f>RTD("tos.rtd", , "BID", ".SPY201118C358")</f>
        <v>1.54</v>
      </c>
      <c r="I601">
        <f>RTD("tos.rtd", , "ASK", ".SPY201118C358")</f>
        <v>1.57</v>
      </c>
      <c r="J601">
        <f>RTD("tos.rtd", , "HIGH", ".SPY201118C358")</f>
        <v>2.4500000000000002</v>
      </c>
      <c r="K601">
        <f>RTD("tos.rtd", , "LOW", ".SPY201118C358")</f>
        <v>1.18</v>
      </c>
      <c r="L601">
        <f>RTD("tos.rtd", , "OPEN", ".SPY201118C358")</f>
        <v>2.34</v>
      </c>
      <c r="M601">
        <f>RTD("tos.rtd", , "DELTA", ".SPY201118C358")</f>
        <v>0.3</v>
      </c>
      <c r="N601">
        <f>RTD("tos.rtd", , "GAMMA", ".SPY201118C358")</f>
        <v>0.04</v>
      </c>
      <c r="O601">
        <f>RTD("tos.rtd", , "THETA", ".SPY201118C358")</f>
        <v>-0.25</v>
      </c>
      <c r="P601">
        <f>RTD("tos.rtd", , "VEGA", ".SPY201118C358")</f>
        <v>0.16</v>
      </c>
      <c r="Q601">
        <f>RTD("tos.rtd", , "RHO", ".SPY201118C358")</f>
        <v>0.02</v>
      </c>
      <c r="R601">
        <f>RTD("tos.rtd", , "INTRINSIC", ".SPY201118C358")</f>
        <v>0</v>
      </c>
      <c r="S601">
        <f>RTD("tos.rtd", , "EXTRINSIC", ".SPY201118C358")</f>
        <v>1.5549999999999999</v>
      </c>
      <c r="T601" t="str">
        <f>RTD("tos.rtd", , "PROB_OF_EXPIRING", ".SPY201118C358")</f>
        <v>28.91%</v>
      </c>
      <c r="U601" t="str">
        <f>RTD("tos.rtd", , "PROB_OTM", ".SPY201118C358")</f>
        <v>71.09%</v>
      </c>
      <c r="V601" t="str">
        <f>RTD("tos.rtd", , "PROB_OF_TOUCHING", ".SPY201118C358")</f>
        <v>58.64%</v>
      </c>
      <c r="W601">
        <f>RTD("tos.rtd", , "STRIKE", ".SPY201118C358")</f>
        <v>358</v>
      </c>
    </row>
    <row r="602" spans="1:23" x14ac:dyDescent="0.45">
      <c r="A602" t="s">
        <v>623</v>
      </c>
      <c r="B602" t="str">
        <f>RTD("tos.rtd", , "DESCRIPTION", ".SPY201118P358")</f>
        <v>SPY 100 (Weeklys) 18 NOV 20 358 PUT</v>
      </c>
      <c r="C602" t="str">
        <f>RTD("tos.rtd", , "PUT_CALL_RATIO", ".SPY201118P358")</f>
        <v>N/A</v>
      </c>
      <c r="D602" t="str">
        <f>RTD("tos.rtd", , "IMPL_VOL", ".SPY201118P358")</f>
        <v>15.89%</v>
      </c>
      <c r="E602">
        <f>RTD("tos.rtd", , "LAST", ".SPY201118P358")</f>
        <v>7.68</v>
      </c>
      <c r="F602">
        <f>RTD("tos.rtd", , "VOLUME", ".SPY201118P358")</f>
        <v>182</v>
      </c>
      <c r="G602">
        <f>RTD("tos.rtd", , "OPEN_INT", ".SPY201118P358")</f>
        <v>288</v>
      </c>
      <c r="H602">
        <f>RTD("tos.rtd", , "BID", ".SPY201118P358")</f>
        <v>5.7</v>
      </c>
      <c r="I602">
        <f>RTD("tos.rtd", , "ASK", ".SPY201118P358")</f>
        <v>5.79</v>
      </c>
      <c r="J602">
        <f>RTD("tos.rtd", , "HIGH", ".SPY201118P358")</f>
        <v>7.68</v>
      </c>
      <c r="K602">
        <f>RTD("tos.rtd", , "LOW", ".SPY201118P358")</f>
        <v>4.22</v>
      </c>
      <c r="L602">
        <f>RTD("tos.rtd", , "OPEN", ".SPY201118P358")</f>
        <v>4.9800000000000004</v>
      </c>
      <c r="M602">
        <f>RTD("tos.rtd", , "DELTA", ".SPY201118P358")</f>
        <v>-0.73</v>
      </c>
      <c r="N602">
        <f>RTD("tos.rtd", , "GAMMA", ".SPY201118P358")</f>
        <v>0.05</v>
      </c>
      <c r="O602">
        <f>RTD("tos.rtd", , "THETA", ".SPY201118P358")</f>
        <v>-0.21</v>
      </c>
      <c r="P602">
        <f>RTD("tos.rtd", , "VEGA", ".SPY201118P358")</f>
        <v>0.15</v>
      </c>
      <c r="Q602">
        <f>RTD("tos.rtd", , "RHO", ".SPY201118P358")</f>
        <v>-0.04</v>
      </c>
      <c r="R602">
        <f>RTD("tos.rtd", , "INTRINSIC", ".SPY201118P358")</f>
        <v>4.5</v>
      </c>
      <c r="S602">
        <f>RTD("tos.rtd", , "EXTRINSIC", ".SPY201118P358")</f>
        <v>1.2450000000000001</v>
      </c>
      <c r="T602" t="str">
        <f>RTD("tos.rtd", , "PROB_OF_EXPIRING", ".SPY201118P358")</f>
        <v>74.00%</v>
      </c>
      <c r="U602" t="str">
        <f>RTD("tos.rtd", , "PROB_OTM", ".SPY201118P358")</f>
        <v>26.00%</v>
      </c>
      <c r="V602" t="str">
        <f>RTD("tos.rtd", , "PROB_OF_TOUCHING", ".SPY201118P358")</f>
        <v>52.72%</v>
      </c>
      <c r="W602">
        <f>RTD("tos.rtd", , "STRIKE", ".SPY201118P358")</f>
        <v>358</v>
      </c>
    </row>
    <row r="603" spans="1:23" x14ac:dyDescent="0.45">
      <c r="A603" t="s">
        <v>624</v>
      </c>
      <c r="B603" t="str">
        <f>RTD("tos.rtd", , "DESCRIPTION", ".SPY201118C359")</f>
        <v>SPY 100 (Weeklys) 18 NOV 20 359 CALL</v>
      </c>
      <c r="C603" t="str">
        <f>RTD("tos.rtd", , "PUT_CALL_RATIO", ".SPY201118C359")</f>
        <v>N/A</v>
      </c>
      <c r="D603" t="str">
        <f>RTD("tos.rtd", , "IMPL_VOL", ".SPY201118C359")</f>
        <v>18.04%</v>
      </c>
      <c r="E603">
        <f>RTD("tos.rtd", , "LAST", ".SPY201118C359")</f>
        <v>1.26</v>
      </c>
      <c r="F603">
        <f>RTD("tos.rtd", , "VOLUME", ".SPY201118C359")</f>
        <v>1836</v>
      </c>
      <c r="G603">
        <f>RTD("tos.rtd", , "OPEN_INT", ".SPY201118C359")</f>
        <v>1359</v>
      </c>
      <c r="H603">
        <f>RTD("tos.rtd", , "BID", ".SPY201118C359")</f>
        <v>1.21</v>
      </c>
      <c r="I603">
        <f>RTD("tos.rtd", , "ASK", ".SPY201118C359")</f>
        <v>1.23</v>
      </c>
      <c r="J603">
        <f>RTD("tos.rtd", , "HIGH", ".SPY201118C359")</f>
        <v>1.99</v>
      </c>
      <c r="K603">
        <f>RTD("tos.rtd", , "LOW", ".SPY201118C359")</f>
        <v>0.9</v>
      </c>
      <c r="L603">
        <f>RTD("tos.rtd", , "OPEN", ".SPY201118C359")</f>
        <v>1.66</v>
      </c>
      <c r="M603">
        <f>RTD("tos.rtd", , "DELTA", ".SPY201118C359")</f>
        <v>0.25</v>
      </c>
      <c r="N603">
        <f>RTD("tos.rtd", , "GAMMA", ".SPY201118C359")</f>
        <v>0.04</v>
      </c>
      <c r="O603">
        <f>RTD("tos.rtd", , "THETA", ".SPY201118C359")</f>
        <v>-0.22</v>
      </c>
      <c r="P603">
        <f>RTD("tos.rtd", , "VEGA", ".SPY201118C359")</f>
        <v>0.14000000000000001</v>
      </c>
      <c r="Q603">
        <f>RTD("tos.rtd", , "RHO", ".SPY201118C359")</f>
        <v>0.01</v>
      </c>
      <c r="R603">
        <f>RTD("tos.rtd", , "INTRINSIC", ".SPY201118C359")</f>
        <v>0</v>
      </c>
      <c r="S603">
        <f>RTD("tos.rtd", , "EXTRINSIC", ".SPY201118C359")</f>
        <v>1.22</v>
      </c>
      <c r="T603" t="str">
        <f>RTD("tos.rtd", , "PROB_OF_EXPIRING", ".SPY201118C359")</f>
        <v>24.51%</v>
      </c>
      <c r="U603" t="str">
        <f>RTD("tos.rtd", , "PROB_OTM", ".SPY201118C359")</f>
        <v>75.49%</v>
      </c>
      <c r="V603" t="str">
        <f>RTD("tos.rtd", , "PROB_OF_TOUCHING", ".SPY201118C359")</f>
        <v>49.68%</v>
      </c>
      <c r="W603">
        <f>RTD("tos.rtd", , "STRIKE", ".SPY201118C359")</f>
        <v>359</v>
      </c>
    </row>
    <row r="604" spans="1:23" x14ac:dyDescent="0.45">
      <c r="A604" t="s">
        <v>625</v>
      </c>
      <c r="B604" t="str">
        <f>RTD("tos.rtd", , "DESCRIPTION", ".SPY201118P359")</f>
        <v>SPY 100 (Weeklys) 18 NOV 20 359 PUT</v>
      </c>
      <c r="C604" t="str">
        <f>RTD("tos.rtd", , "PUT_CALL_RATIO", ".SPY201118P359")</f>
        <v>N/A</v>
      </c>
      <c r="D604" t="str">
        <f>RTD("tos.rtd", , "IMPL_VOL", ".SPY201118P359")</f>
        <v>15.17%</v>
      </c>
      <c r="E604">
        <f>RTD("tos.rtd", , "LAST", ".SPY201118P359")</f>
        <v>7.08</v>
      </c>
      <c r="F604">
        <f>RTD("tos.rtd", , "VOLUME", ".SPY201118P359")</f>
        <v>230</v>
      </c>
      <c r="G604">
        <f>RTD("tos.rtd", , "OPEN_INT", ".SPY201118P359")</f>
        <v>338</v>
      </c>
      <c r="H604">
        <f>RTD("tos.rtd", , "BID", ".SPY201118P359")</f>
        <v>6.36</v>
      </c>
      <c r="I604">
        <f>RTD("tos.rtd", , "ASK", ".SPY201118P359")</f>
        <v>6.46</v>
      </c>
      <c r="J604">
        <f>RTD("tos.rtd", , "HIGH", ".SPY201118P359")</f>
        <v>8.2100000000000009</v>
      </c>
      <c r="K604">
        <f>RTD("tos.rtd", , "LOW", ".SPY201118P359")</f>
        <v>4.87</v>
      </c>
      <c r="L604">
        <f>RTD("tos.rtd", , "OPEN", ".SPY201118P359")</f>
        <v>5.38</v>
      </c>
      <c r="M604">
        <f>RTD("tos.rtd", , "DELTA", ".SPY201118P359")</f>
        <v>-0.79</v>
      </c>
      <c r="N604">
        <f>RTD("tos.rtd", , "GAMMA", ".SPY201118P359")</f>
        <v>0.04</v>
      </c>
      <c r="O604">
        <f>RTD("tos.rtd", , "THETA", ".SPY201118P359")</f>
        <v>-0.18</v>
      </c>
      <c r="P604">
        <f>RTD("tos.rtd", , "VEGA", ".SPY201118P359")</f>
        <v>0.13</v>
      </c>
      <c r="Q604">
        <f>RTD("tos.rtd", , "RHO", ".SPY201118P359")</f>
        <v>-0.05</v>
      </c>
      <c r="R604">
        <f>RTD("tos.rtd", , "INTRINSIC", ".SPY201118P359")</f>
        <v>5.5</v>
      </c>
      <c r="S604">
        <f>RTD("tos.rtd", , "EXTRINSIC", ".SPY201118P359")</f>
        <v>0.91</v>
      </c>
      <c r="T604" t="str">
        <f>RTD("tos.rtd", , "PROB_OF_EXPIRING", ".SPY201118P359")</f>
        <v>79.29%</v>
      </c>
      <c r="U604" t="str">
        <f>RTD("tos.rtd", , "PROB_OTM", ".SPY201118P359")</f>
        <v>20.71%</v>
      </c>
      <c r="V604" t="str">
        <f>RTD("tos.rtd", , "PROB_OF_TOUCHING", ".SPY201118P359")</f>
        <v>41.96%</v>
      </c>
      <c r="W604">
        <f>RTD("tos.rtd", , "STRIKE", ".SPY201118P359")</f>
        <v>359</v>
      </c>
    </row>
    <row r="605" spans="1:23" x14ac:dyDescent="0.45">
      <c r="A605" t="s">
        <v>626</v>
      </c>
      <c r="B605" t="str">
        <f>RTD("tos.rtd", , "DESCRIPTION", ".SPY201118C360")</f>
        <v>SPY 100 (Weeklys) 18 NOV 20 360 CALL</v>
      </c>
      <c r="C605" t="str">
        <f>RTD("tos.rtd", , "PUT_CALL_RATIO", ".SPY201118C360")</f>
        <v>N/A</v>
      </c>
      <c r="D605" t="str">
        <f>RTD("tos.rtd", , "IMPL_VOL", ".SPY201118C360")</f>
        <v>17.63%</v>
      </c>
      <c r="E605">
        <f>RTD("tos.rtd", , "LAST", ".SPY201118C360")</f>
        <v>0.97</v>
      </c>
      <c r="F605">
        <f>RTD("tos.rtd", , "VOLUME", ".SPY201118C360")</f>
        <v>2577</v>
      </c>
      <c r="G605">
        <f>RTD("tos.rtd", , "OPEN_INT", ".SPY201118C360")</f>
        <v>1208</v>
      </c>
      <c r="H605">
        <f>RTD("tos.rtd", , "BID", ".SPY201118C360")</f>
        <v>0.93</v>
      </c>
      <c r="I605">
        <f>RTD("tos.rtd", , "ASK", ".SPY201118C360")</f>
        <v>0.95</v>
      </c>
      <c r="J605">
        <f>RTD("tos.rtd", , "HIGH", ".SPY201118C360")</f>
        <v>1.62</v>
      </c>
      <c r="K605">
        <f>RTD("tos.rtd", , "LOW", ".SPY201118C360")</f>
        <v>0.69</v>
      </c>
      <c r="L605">
        <f>RTD("tos.rtd", , "OPEN", ".SPY201118C360")</f>
        <v>1.53</v>
      </c>
      <c r="M605">
        <f>RTD("tos.rtd", , "DELTA", ".SPY201118C360")</f>
        <v>0.21</v>
      </c>
      <c r="N605">
        <f>RTD("tos.rtd", , "GAMMA", ".SPY201118C360")</f>
        <v>0.04</v>
      </c>
      <c r="O605">
        <f>RTD("tos.rtd", , "THETA", ".SPY201118C360")</f>
        <v>-0.19</v>
      </c>
      <c r="P605">
        <f>RTD("tos.rtd", , "VEGA", ".SPY201118C360")</f>
        <v>0.13</v>
      </c>
      <c r="Q605">
        <f>RTD("tos.rtd", , "RHO", ".SPY201118C360")</f>
        <v>0.01</v>
      </c>
      <c r="R605">
        <f>RTD("tos.rtd", , "INTRINSIC", ".SPY201118C360")</f>
        <v>0</v>
      </c>
      <c r="S605">
        <f>RTD("tos.rtd", , "EXTRINSIC", ".SPY201118C360")</f>
        <v>0.94</v>
      </c>
      <c r="T605" t="str">
        <f>RTD("tos.rtd", , "PROB_OF_EXPIRING", ".SPY201118C360")</f>
        <v>20.37%</v>
      </c>
      <c r="U605" t="str">
        <f>RTD("tos.rtd", , "PROB_OTM", ".SPY201118C360")</f>
        <v>79.63%</v>
      </c>
      <c r="V605" t="str">
        <f>RTD("tos.rtd", , "PROB_OF_TOUCHING", ".SPY201118C360")</f>
        <v>41.26%</v>
      </c>
      <c r="W605">
        <f>RTD("tos.rtd", , "STRIKE", ".SPY201118C360")</f>
        <v>360</v>
      </c>
    </row>
    <row r="606" spans="1:23" x14ac:dyDescent="0.45">
      <c r="A606" t="s">
        <v>627</v>
      </c>
      <c r="B606" t="str">
        <f>RTD("tos.rtd", , "DESCRIPTION", ".SPY201118P360")</f>
        <v>SPY 100 (Weeklys) 18 NOV 20 360 PUT</v>
      </c>
      <c r="C606" t="str">
        <f>RTD("tos.rtd", , "PUT_CALL_RATIO", ".SPY201118P360")</f>
        <v>N/A</v>
      </c>
      <c r="D606" t="str">
        <f>RTD("tos.rtd", , "IMPL_VOL", ".SPY201118P360")</f>
        <v>14.40%</v>
      </c>
      <c r="E606">
        <f>RTD("tos.rtd", , "LAST", ".SPY201118P360")</f>
        <v>8.01</v>
      </c>
      <c r="F606">
        <f>RTD("tos.rtd", , "VOLUME", ".SPY201118P360")</f>
        <v>123</v>
      </c>
      <c r="G606">
        <f>RTD("tos.rtd", , "OPEN_INT", ".SPY201118P360")</f>
        <v>715</v>
      </c>
      <c r="H606">
        <f>RTD("tos.rtd", , "BID", ".SPY201118P360")</f>
        <v>7.08</v>
      </c>
      <c r="I606">
        <f>RTD("tos.rtd", , "ASK", ".SPY201118P360")</f>
        <v>7.19</v>
      </c>
      <c r="J606">
        <f>RTD("tos.rtd", , "HIGH", ".SPY201118P360")</f>
        <v>9.27</v>
      </c>
      <c r="K606">
        <f>RTD("tos.rtd", , "LOW", ".SPY201118P360")</f>
        <v>5.52</v>
      </c>
      <c r="L606">
        <f>RTD("tos.rtd", , "OPEN", ".SPY201118P360")</f>
        <v>6.37</v>
      </c>
      <c r="M606">
        <f>RTD("tos.rtd", , "DELTA", ".SPY201118P360")</f>
        <v>-0.84</v>
      </c>
      <c r="N606">
        <f>RTD("tos.rtd", , "GAMMA", ".SPY201118P360")</f>
        <v>0.04</v>
      </c>
      <c r="O606">
        <f>RTD("tos.rtd", , "THETA", ".SPY201118P360")</f>
        <v>-0.14000000000000001</v>
      </c>
      <c r="P606">
        <f>RTD("tos.rtd", , "VEGA", ".SPY201118P360")</f>
        <v>0.11</v>
      </c>
      <c r="Q606">
        <f>RTD("tos.rtd", , "RHO", ".SPY201118P360")</f>
        <v>-0.05</v>
      </c>
      <c r="R606">
        <f>RTD("tos.rtd", , "INTRINSIC", ".SPY201118P360")</f>
        <v>6.5</v>
      </c>
      <c r="S606">
        <f>RTD("tos.rtd", , "EXTRINSIC", ".SPY201118P360")</f>
        <v>0.63500000000000001</v>
      </c>
      <c r="T606" t="str">
        <f>RTD("tos.rtd", , "PROB_OF_EXPIRING", ".SPY201118P360")</f>
        <v>84.37%</v>
      </c>
      <c r="U606" t="str">
        <f>RTD("tos.rtd", , "PROB_OTM", ".SPY201118P360")</f>
        <v>15.63%</v>
      </c>
      <c r="V606" t="str">
        <f>RTD("tos.rtd", , "PROB_OF_TOUCHING", ".SPY201118P360")</f>
        <v>31.64%</v>
      </c>
      <c r="W606">
        <f>RTD("tos.rtd", , "STRIKE", ".SPY201118P360")</f>
        <v>360</v>
      </c>
    </row>
    <row r="607" spans="1:23" x14ac:dyDescent="0.45">
      <c r="A607" t="s">
        <v>628</v>
      </c>
      <c r="B607" t="str">
        <f>RTD("tos.rtd", , "DESCRIPTION", ".SPY201120C352.5")</f>
        <v>SPY 100 20 NOV 20 352.5 CALL</v>
      </c>
      <c r="C607" t="str">
        <f>RTD("tos.rtd", , "PUT_CALL_RATIO", ".SPY201120C352.5")</f>
        <v>N/A</v>
      </c>
      <c r="D607" t="str">
        <f>RTD("tos.rtd", , "IMPL_VOL", ".SPY201120C352.5")</f>
        <v>22.76%</v>
      </c>
      <c r="E607">
        <f>RTD("tos.rtd", , "LAST", ".SPY201120C352.5")</f>
        <v>5.24</v>
      </c>
      <c r="F607">
        <f>RTD("tos.rtd", , "VOLUME", ".SPY201120C352.5")</f>
        <v>2639</v>
      </c>
      <c r="G607">
        <f>RTD("tos.rtd", , "OPEN_INT", ".SPY201120C352.5")</f>
        <v>2877</v>
      </c>
      <c r="H607">
        <f>RTD("tos.rtd", , "BID", ".SPY201120C352.5")</f>
        <v>5.18</v>
      </c>
      <c r="I607">
        <f>RTD("tos.rtd", , "ASK", ".SPY201120C352.5")</f>
        <v>5.22</v>
      </c>
      <c r="J607">
        <f>RTD("tos.rtd", , "HIGH", ".SPY201120C352.5")</f>
        <v>6.41</v>
      </c>
      <c r="K607">
        <f>RTD("tos.rtd", , "LOW", ".SPY201120C352.5")</f>
        <v>4.24</v>
      </c>
      <c r="L607">
        <f>RTD("tos.rtd", , "OPEN", ".SPY201120C352.5")</f>
        <v>6.03</v>
      </c>
      <c r="M607">
        <f>RTD("tos.rtd", , "DELTA", ".SPY201120C352.5")</f>
        <v>0.54</v>
      </c>
      <c r="N607">
        <f>RTD("tos.rtd", , "GAMMA", ".SPY201120C352.5")</f>
        <v>0.03</v>
      </c>
      <c r="O607">
        <f>RTD("tos.rtd", , "THETA", ".SPY201120C352.5")</f>
        <v>-0.3</v>
      </c>
      <c r="P607">
        <f>RTD("tos.rtd", , "VEGA", ".SPY201120C352.5")</f>
        <v>0.21</v>
      </c>
      <c r="Q607">
        <f>RTD("tos.rtd", , "RHO", ".SPY201120C352.5")</f>
        <v>0.04</v>
      </c>
      <c r="R607">
        <f>RTD("tos.rtd", , "INTRINSIC", ".SPY201120C352.5")</f>
        <v>1</v>
      </c>
      <c r="S607">
        <f>RTD("tos.rtd", , "EXTRINSIC", ".SPY201120C352.5")</f>
        <v>4.2</v>
      </c>
      <c r="T607" t="str">
        <f>RTD("tos.rtd", , "PROB_OF_EXPIRING", ".SPY201120C352.5")</f>
        <v>52.29%</v>
      </c>
      <c r="U607" t="str">
        <f>RTD("tos.rtd", , "PROB_OTM", ".SPY201120C352.5")</f>
        <v>47.71%</v>
      </c>
      <c r="V607" t="str">
        <f>RTD("tos.rtd", , "PROB_OF_TOUCHING", ".SPY201120C352.5")</f>
        <v>93.51%</v>
      </c>
      <c r="W607">
        <f>RTD("tos.rtd", , "STRIKE", ".SPY201120C352.5")</f>
        <v>352.5</v>
      </c>
    </row>
    <row r="608" spans="1:23" x14ac:dyDescent="0.45">
      <c r="A608" t="s">
        <v>629</v>
      </c>
      <c r="B608" t="str">
        <f>RTD("tos.rtd", , "DESCRIPTION", ".SPY201120P352.5")</f>
        <v>SPY 100 20 NOV 20 352.5 PUT</v>
      </c>
      <c r="C608" t="str">
        <f>RTD("tos.rtd", , "PUT_CALL_RATIO", ".SPY201120P352.5")</f>
        <v>N/A</v>
      </c>
      <c r="D608" t="str">
        <f>RTD("tos.rtd", , "IMPL_VOL", ".SPY201120P352.5")</f>
        <v>20.65%</v>
      </c>
      <c r="E608">
        <f>RTD("tos.rtd", , "LAST", ".SPY201120P352.5")</f>
        <v>3.85</v>
      </c>
      <c r="F608">
        <f>RTD("tos.rtd", , "VOLUME", ".SPY201120P352.5")</f>
        <v>7924</v>
      </c>
      <c r="G608">
        <f>RTD("tos.rtd", , "OPEN_INT", ".SPY201120P352.5")</f>
        <v>2533</v>
      </c>
      <c r="H608">
        <f>RTD("tos.rtd", , "BID", ".SPY201120P352.5")</f>
        <v>3.86</v>
      </c>
      <c r="I608">
        <f>RTD("tos.rtd", , "ASK", ".SPY201120P352.5")</f>
        <v>3.89</v>
      </c>
      <c r="J608">
        <f>RTD("tos.rtd", , "HIGH", ".SPY201120P352.5")</f>
        <v>5.5</v>
      </c>
      <c r="K608">
        <f>RTD("tos.rtd", , "LOW", ".SPY201120P352.5")</f>
        <v>2.67</v>
      </c>
      <c r="L608">
        <f>RTD("tos.rtd", , "OPEN", ".SPY201120P352.5")</f>
        <v>3.02</v>
      </c>
      <c r="M608">
        <f>RTD("tos.rtd", , "DELTA", ".SPY201120P352.5")</f>
        <v>-0.46</v>
      </c>
      <c r="N608">
        <f>RTD("tos.rtd", , "GAMMA", ".SPY201120P352.5")</f>
        <v>0.04</v>
      </c>
      <c r="O608">
        <f>RTD("tos.rtd", , "THETA", ".SPY201120P352.5")</f>
        <v>-0.28000000000000003</v>
      </c>
      <c r="P608">
        <f>RTD("tos.rtd", , "VEGA", ".SPY201120P352.5")</f>
        <v>0.21</v>
      </c>
      <c r="Q608">
        <f>RTD("tos.rtd", , "RHO", ".SPY201120P352.5")</f>
        <v>-0.04</v>
      </c>
      <c r="R608">
        <f>RTD("tos.rtd", , "INTRINSIC", ".SPY201120P352.5")</f>
        <v>0</v>
      </c>
      <c r="S608">
        <f>RTD("tos.rtd", , "EXTRINSIC", ".SPY201120P352.5")</f>
        <v>3.875</v>
      </c>
      <c r="T608" t="str">
        <f>RTD("tos.rtd", , "PROB_OF_EXPIRING", ".SPY201120P352.5")</f>
        <v>47.34%</v>
      </c>
      <c r="U608" t="str">
        <f>RTD("tos.rtd", , "PROB_OTM", ".SPY201120P352.5")</f>
        <v>52.66%</v>
      </c>
      <c r="V608" t="str">
        <f>RTD("tos.rtd", , "PROB_OF_TOUCHING", ".SPY201120P352.5")</f>
        <v>92.84%</v>
      </c>
      <c r="W608">
        <f>RTD("tos.rtd", , "STRIKE", ".SPY201120P352.5")</f>
        <v>352.5</v>
      </c>
    </row>
    <row r="609" spans="1:23" x14ac:dyDescent="0.45">
      <c r="A609" t="s">
        <v>630</v>
      </c>
      <c r="B609" t="str">
        <f>RTD("tos.rtd", , "DESCRIPTION", ".SPY201120C353")</f>
        <v>SPY 100 20 NOV 20 353 CALL</v>
      </c>
      <c r="C609" t="str">
        <f>RTD("tos.rtd", , "PUT_CALL_RATIO", ".SPY201120C353")</f>
        <v>N/A</v>
      </c>
      <c r="D609" t="str">
        <f>RTD("tos.rtd", , "IMPL_VOL", ".SPY201120C353")</f>
        <v>22.49%</v>
      </c>
      <c r="E609">
        <f>RTD("tos.rtd", , "LAST", ".SPY201120C353")</f>
        <v>4.93</v>
      </c>
      <c r="F609">
        <f>RTD("tos.rtd", , "VOLUME", ".SPY201120C353")</f>
        <v>5058</v>
      </c>
      <c r="G609">
        <f>RTD("tos.rtd", , "OPEN_INT", ".SPY201120C353")</f>
        <v>6417</v>
      </c>
      <c r="H609">
        <f>RTD("tos.rtd", , "BID", ".SPY201120C353")</f>
        <v>4.87</v>
      </c>
      <c r="I609">
        <f>RTD("tos.rtd", , "ASK", ".SPY201120C353")</f>
        <v>4.9000000000000004</v>
      </c>
      <c r="J609">
        <f>RTD("tos.rtd", , "HIGH", ".SPY201120C353")</f>
        <v>6.1</v>
      </c>
      <c r="K609">
        <f>RTD("tos.rtd", , "LOW", ".SPY201120C353")</f>
        <v>3.96</v>
      </c>
      <c r="L609">
        <f>RTD("tos.rtd", , "OPEN", ".SPY201120C353")</f>
        <v>5.75</v>
      </c>
      <c r="M609">
        <f>RTD("tos.rtd", , "DELTA", ".SPY201120C353")</f>
        <v>0.52</v>
      </c>
      <c r="N609">
        <f>RTD("tos.rtd", , "GAMMA", ".SPY201120C353")</f>
        <v>0.03</v>
      </c>
      <c r="O609">
        <f>RTD("tos.rtd", , "THETA", ".SPY201120C353")</f>
        <v>-0.3</v>
      </c>
      <c r="P609">
        <f>RTD("tos.rtd", , "VEGA", ".SPY201120C353")</f>
        <v>0.21</v>
      </c>
      <c r="Q609">
        <f>RTD("tos.rtd", , "RHO", ".SPY201120C353")</f>
        <v>0.04</v>
      </c>
      <c r="R609">
        <f>RTD("tos.rtd", , "INTRINSIC", ".SPY201120C353")</f>
        <v>0.5</v>
      </c>
      <c r="S609">
        <f>RTD("tos.rtd", , "EXTRINSIC", ".SPY201120C353")</f>
        <v>4.3849999999999998</v>
      </c>
      <c r="T609" t="str">
        <f>RTD("tos.rtd", , "PROB_OF_EXPIRING", ".SPY201120C353")</f>
        <v>50.64%</v>
      </c>
      <c r="U609" t="str">
        <f>RTD("tos.rtd", , "PROB_OTM", ".SPY201120C353")</f>
        <v>49.36%</v>
      </c>
      <c r="V609" t="str">
        <f>RTD("tos.rtd", , "PROB_OF_TOUCHING", ".SPY201120C353")</f>
        <v>96.72%</v>
      </c>
      <c r="W609">
        <f>RTD("tos.rtd", , "STRIKE", ".SPY201120C353")</f>
        <v>353</v>
      </c>
    </row>
    <row r="610" spans="1:23" x14ac:dyDescent="0.45">
      <c r="A610" t="s">
        <v>631</v>
      </c>
      <c r="B610" t="str">
        <f>RTD("tos.rtd", , "DESCRIPTION", ".SPY201120P353")</f>
        <v>SPY 100 20 NOV 20 353 PUT</v>
      </c>
      <c r="C610" t="str">
        <f>RTD("tos.rtd", , "PUT_CALL_RATIO", ".SPY201120P353")</f>
        <v>N/A</v>
      </c>
      <c r="D610" t="str">
        <f>RTD("tos.rtd", , "IMPL_VOL", ".SPY201120P353")</f>
        <v>20.40%</v>
      </c>
      <c r="E610">
        <f>RTD("tos.rtd", , "LAST", ".SPY201120P353")</f>
        <v>3.99</v>
      </c>
      <c r="F610">
        <f>RTD("tos.rtd", , "VOLUME", ".SPY201120P353")</f>
        <v>10898</v>
      </c>
      <c r="G610">
        <f>RTD("tos.rtd", , "OPEN_INT", ".SPY201120P353")</f>
        <v>4677</v>
      </c>
      <c r="H610">
        <f>RTD("tos.rtd", , "BID", ".SPY201120P353")</f>
        <v>4.05</v>
      </c>
      <c r="I610">
        <f>RTD("tos.rtd", , "ASK", ".SPY201120P353")</f>
        <v>4.08</v>
      </c>
      <c r="J610">
        <f>RTD("tos.rtd", , "HIGH", ".SPY201120P353")</f>
        <v>5.68</v>
      </c>
      <c r="K610">
        <f>RTD("tos.rtd", , "LOW", ".SPY201120P353")</f>
        <v>2.8</v>
      </c>
      <c r="L610">
        <f>RTD("tos.rtd", , "OPEN", ".SPY201120P353")</f>
        <v>3.2</v>
      </c>
      <c r="M610">
        <f>RTD("tos.rtd", , "DELTA", ".SPY201120P353")</f>
        <v>-0.48</v>
      </c>
      <c r="N610">
        <f>RTD("tos.rtd", , "GAMMA", ".SPY201120P353")</f>
        <v>0.04</v>
      </c>
      <c r="O610">
        <f>RTD("tos.rtd", , "THETA", ".SPY201120P353")</f>
        <v>-0.28000000000000003</v>
      </c>
      <c r="P610">
        <f>RTD("tos.rtd", , "VEGA", ".SPY201120P353")</f>
        <v>0.21</v>
      </c>
      <c r="Q610">
        <f>RTD("tos.rtd", , "RHO", ".SPY201120P353")</f>
        <v>-0.04</v>
      </c>
      <c r="R610">
        <f>RTD("tos.rtd", , "INTRINSIC", ".SPY201120P353")</f>
        <v>0</v>
      </c>
      <c r="S610">
        <f>RTD("tos.rtd", , "EXTRINSIC", ".SPY201120P353")</f>
        <v>4.0650000000000004</v>
      </c>
      <c r="T610" t="str">
        <f>RTD("tos.rtd", , "PROB_OF_EXPIRING", ".SPY201120P353")</f>
        <v>49.17%</v>
      </c>
      <c r="U610" t="str">
        <f>RTD("tos.rtd", , "PROB_OTM", ".SPY201120P353")</f>
        <v>50.83%</v>
      </c>
      <c r="V610" t="str">
        <f>RTD("tos.rtd", , "PROB_OF_TOUCHING", ".SPY201120P353")</f>
        <v>96.38%</v>
      </c>
      <c r="W610">
        <f>RTD("tos.rtd", , "STRIKE", ".SPY201120P353")</f>
        <v>353</v>
      </c>
    </row>
    <row r="611" spans="1:23" x14ac:dyDescent="0.45">
      <c r="A611" t="s">
        <v>632</v>
      </c>
      <c r="B611" t="str">
        <f>RTD("tos.rtd", , "DESCRIPTION", ".SPY201120C354")</f>
        <v>SPY 100 20 NOV 20 354 CALL</v>
      </c>
      <c r="C611" t="str">
        <f>RTD("tos.rtd", , "PUT_CALL_RATIO", ".SPY201120C354")</f>
        <v>N/A</v>
      </c>
      <c r="D611" t="str">
        <f>RTD("tos.rtd", , "IMPL_VOL", ".SPY201120C354")</f>
        <v>21.94%</v>
      </c>
      <c r="E611">
        <f>RTD("tos.rtd", , "LAST", ".SPY201120C354")</f>
        <v>4.3</v>
      </c>
      <c r="F611">
        <f>RTD("tos.rtd", , "VOLUME", ".SPY201120C354")</f>
        <v>6179</v>
      </c>
      <c r="G611">
        <f>RTD("tos.rtd", , "OPEN_INT", ".SPY201120C354")</f>
        <v>7324</v>
      </c>
      <c r="H611">
        <f>RTD("tos.rtd", , "BID", ".SPY201120C354")</f>
        <v>4.26</v>
      </c>
      <c r="I611">
        <f>RTD("tos.rtd", , "ASK", ".SPY201120C354")</f>
        <v>4.3</v>
      </c>
      <c r="J611">
        <f>RTD("tos.rtd", , "HIGH", ".SPY201120C354")</f>
        <v>5.53</v>
      </c>
      <c r="K611">
        <f>RTD("tos.rtd", , "LOW", ".SPY201120C354")</f>
        <v>3.43</v>
      </c>
      <c r="L611">
        <f>RTD("tos.rtd", , "OPEN", ".SPY201120C354")</f>
        <v>5.25</v>
      </c>
      <c r="M611">
        <f>RTD("tos.rtd", , "DELTA", ".SPY201120C354")</f>
        <v>0.49</v>
      </c>
      <c r="N611">
        <f>RTD("tos.rtd", , "GAMMA", ".SPY201120C354")</f>
        <v>0.03</v>
      </c>
      <c r="O611">
        <f>RTD("tos.rtd", , "THETA", ".SPY201120C354")</f>
        <v>-0.28999999999999998</v>
      </c>
      <c r="P611">
        <f>RTD("tos.rtd", , "VEGA", ".SPY201120C354")</f>
        <v>0.21</v>
      </c>
      <c r="Q611">
        <f>RTD("tos.rtd", , "RHO", ".SPY201120C354")</f>
        <v>0.04</v>
      </c>
      <c r="R611">
        <f>RTD("tos.rtd", , "INTRINSIC", ".SPY201120C354")</f>
        <v>0</v>
      </c>
      <c r="S611">
        <f>RTD("tos.rtd", , "EXTRINSIC", ".SPY201120C354")</f>
        <v>4.28</v>
      </c>
      <c r="T611" t="str">
        <f>RTD("tos.rtd", , "PROB_OF_EXPIRING", ".SPY201120C354")</f>
        <v>47.21%</v>
      </c>
      <c r="U611" t="str">
        <f>RTD("tos.rtd", , "PROB_OTM", ".SPY201120C354")</f>
        <v>52.79%</v>
      </c>
      <c r="V611" t="str">
        <f>RTD("tos.rtd", , "PROB_OF_TOUCHING", ".SPY201120C354")</f>
        <v>96.42%</v>
      </c>
      <c r="W611">
        <f>RTD("tos.rtd", , "STRIKE", ".SPY201120C354")</f>
        <v>354</v>
      </c>
    </row>
    <row r="612" spans="1:23" x14ac:dyDescent="0.45">
      <c r="A612" t="s">
        <v>633</v>
      </c>
      <c r="B612" t="str">
        <f>RTD("tos.rtd", , "DESCRIPTION", ".SPY201120P354")</f>
        <v>SPY 100 20 NOV 20 354 PUT</v>
      </c>
      <c r="C612" t="str">
        <f>RTD("tos.rtd", , "PUT_CALL_RATIO", ".SPY201120P354")</f>
        <v>N/A</v>
      </c>
      <c r="D612" t="str">
        <f>RTD("tos.rtd", , "IMPL_VOL", ".SPY201120P354")</f>
        <v>19.82%</v>
      </c>
      <c r="E612">
        <f>RTD("tos.rtd", , "LAST", ".SPY201120P354")</f>
        <v>4.4400000000000004</v>
      </c>
      <c r="F612">
        <f>RTD("tos.rtd", , "VOLUME", ".SPY201120P354")</f>
        <v>7580</v>
      </c>
      <c r="G612">
        <f>RTD("tos.rtd", , "OPEN_INT", ".SPY201120P354")</f>
        <v>15264</v>
      </c>
      <c r="H612">
        <f>RTD("tos.rtd", , "BID", ".SPY201120P354")</f>
        <v>4.4400000000000004</v>
      </c>
      <c r="I612">
        <f>RTD("tos.rtd", , "ASK", ".SPY201120P354")</f>
        <v>4.47</v>
      </c>
      <c r="J612">
        <f>RTD("tos.rtd", , "HIGH", ".SPY201120P354")</f>
        <v>6.15</v>
      </c>
      <c r="K612">
        <f>RTD("tos.rtd", , "LOW", ".SPY201120P354")</f>
        <v>3.11</v>
      </c>
      <c r="L612">
        <f>RTD("tos.rtd", , "OPEN", ".SPY201120P354")</f>
        <v>3.53</v>
      </c>
      <c r="M612">
        <f>RTD("tos.rtd", , "DELTA", ".SPY201120P354")</f>
        <v>-0.52</v>
      </c>
      <c r="N612">
        <f>RTD("tos.rtd", , "GAMMA", ".SPY201120P354")</f>
        <v>0.04</v>
      </c>
      <c r="O612">
        <f>RTD("tos.rtd", , "THETA", ".SPY201120P354")</f>
        <v>-0.27</v>
      </c>
      <c r="P612">
        <f>RTD("tos.rtd", , "VEGA", ".SPY201120P354")</f>
        <v>0.21</v>
      </c>
      <c r="Q612">
        <f>RTD("tos.rtd", , "RHO", ".SPY201120P354")</f>
        <v>-0.04</v>
      </c>
      <c r="R612">
        <f>RTD("tos.rtd", , "INTRINSIC", ".SPY201120P354")</f>
        <v>0.5</v>
      </c>
      <c r="S612">
        <f>RTD("tos.rtd", , "EXTRINSIC", ".SPY201120P354")</f>
        <v>3.9550000000000001</v>
      </c>
      <c r="T612" t="str">
        <f>RTD("tos.rtd", , "PROB_OF_EXPIRING", ".SPY201120P354")</f>
        <v>52.95%</v>
      </c>
      <c r="U612" t="str">
        <f>RTD("tos.rtd", , "PROB_OTM", ".SPY201120P354")</f>
        <v>47.05%</v>
      </c>
      <c r="V612" t="str">
        <f>RTD("tos.rtd", , "PROB_OF_TOUCHING", ".SPY201120P354")</f>
        <v>96.04%</v>
      </c>
      <c r="W612">
        <f>RTD("tos.rtd", , "STRIKE", ".SPY201120P354")</f>
        <v>354</v>
      </c>
    </row>
    <row r="613" spans="1:23" x14ac:dyDescent="0.45">
      <c r="A613" t="s">
        <v>634</v>
      </c>
      <c r="B613" t="str">
        <f>RTD("tos.rtd", , "DESCRIPTION", ".SPY201120C355")</f>
        <v>SPY 100 20 NOV 20 355 CALL</v>
      </c>
      <c r="C613" t="str">
        <f>RTD("tos.rtd", , "PUT_CALL_RATIO", ".SPY201120C355")</f>
        <v>N/A</v>
      </c>
      <c r="D613" t="str">
        <f>RTD("tos.rtd", , "IMPL_VOL", ".SPY201120C355")</f>
        <v>21.40%</v>
      </c>
      <c r="E613">
        <f>RTD("tos.rtd", , "LAST", ".SPY201120C355")</f>
        <v>3.7</v>
      </c>
      <c r="F613">
        <f>RTD("tos.rtd", , "VOLUME", ".SPY201120C355")</f>
        <v>32255</v>
      </c>
      <c r="G613">
        <f>RTD("tos.rtd", , "OPEN_INT", ".SPY201120C355")</f>
        <v>101402</v>
      </c>
      <c r="H613">
        <f>RTD("tos.rtd", , "BID", ".SPY201120C355")</f>
        <v>3.7</v>
      </c>
      <c r="I613">
        <f>RTD("tos.rtd", , "ASK", ".SPY201120C355")</f>
        <v>3.73</v>
      </c>
      <c r="J613">
        <f>RTD("tos.rtd", , "HIGH", ".SPY201120C355")</f>
        <v>4.88</v>
      </c>
      <c r="K613">
        <f>RTD("tos.rtd", , "LOW", ".SPY201120C355")</f>
        <v>2.93</v>
      </c>
      <c r="L613">
        <f>RTD("tos.rtd", , "OPEN", ".SPY201120C355")</f>
        <v>4.6399999999999997</v>
      </c>
      <c r="M613">
        <f>RTD("tos.rtd", , "DELTA", ".SPY201120C355")</f>
        <v>0.45</v>
      </c>
      <c r="N613">
        <f>RTD("tos.rtd", , "GAMMA", ".SPY201120C355")</f>
        <v>0.04</v>
      </c>
      <c r="O613">
        <f>RTD("tos.rtd", , "THETA", ".SPY201120C355")</f>
        <v>-0.28000000000000003</v>
      </c>
      <c r="P613">
        <f>RTD("tos.rtd", , "VEGA", ".SPY201120C355")</f>
        <v>0.21</v>
      </c>
      <c r="Q613">
        <f>RTD("tos.rtd", , "RHO", ".SPY201120C355")</f>
        <v>0.03</v>
      </c>
      <c r="R613">
        <f>RTD("tos.rtd", , "INTRINSIC", ".SPY201120C355")</f>
        <v>0</v>
      </c>
      <c r="S613">
        <f>RTD("tos.rtd", , "EXTRINSIC", ".SPY201120C355")</f>
        <v>3.7149999999999999</v>
      </c>
      <c r="T613" t="str">
        <f>RTD("tos.rtd", , "PROB_OF_EXPIRING", ".SPY201120C355")</f>
        <v>43.65%</v>
      </c>
      <c r="U613" t="str">
        <f>RTD("tos.rtd", , "PROB_OTM", ".SPY201120C355")</f>
        <v>56.35%</v>
      </c>
      <c r="V613" t="str">
        <f>RTD("tos.rtd", , "PROB_OF_TOUCHING", ".SPY201120C355")</f>
        <v>89.05%</v>
      </c>
      <c r="W613">
        <f>RTD("tos.rtd", , "STRIKE", ".SPY201120C355")</f>
        <v>355</v>
      </c>
    </row>
    <row r="614" spans="1:23" x14ac:dyDescent="0.45">
      <c r="A614" t="s">
        <v>635</v>
      </c>
      <c r="B614" t="str">
        <f>RTD("tos.rtd", , "DESCRIPTION", ".SPY201120P355")</f>
        <v>SPY 100 20 NOV 20 355 PUT</v>
      </c>
      <c r="C614" t="str">
        <f>RTD("tos.rtd", , "PUT_CALL_RATIO", ".SPY201120P355")</f>
        <v>N/A</v>
      </c>
      <c r="D614" t="str">
        <f>RTD("tos.rtd", , "IMPL_VOL", ".SPY201120P355")</f>
        <v>19.25%</v>
      </c>
      <c r="E614">
        <f>RTD("tos.rtd", , "LAST", ".SPY201120P355")</f>
        <v>4.8899999999999997</v>
      </c>
      <c r="F614">
        <f>RTD("tos.rtd", , "VOLUME", ".SPY201120P355")</f>
        <v>11331</v>
      </c>
      <c r="G614">
        <f>RTD("tos.rtd", , "OPEN_INT", ".SPY201120P355")</f>
        <v>19516</v>
      </c>
      <c r="H614">
        <f>RTD("tos.rtd", , "BID", ".SPY201120P355")</f>
        <v>4.88</v>
      </c>
      <c r="I614">
        <f>RTD("tos.rtd", , "ASK", ".SPY201120P355")</f>
        <v>4.8899999999999997</v>
      </c>
      <c r="J614">
        <f>RTD("tos.rtd", , "HIGH", ".SPY201120P355")</f>
        <v>6.76</v>
      </c>
      <c r="K614">
        <f>RTD("tos.rtd", , "LOW", ".SPY201120P355")</f>
        <v>3.46</v>
      </c>
      <c r="L614">
        <f>RTD("tos.rtd", , "OPEN", ".SPY201120P355")</f>
        <v>3.98</v>
      </c>
      <c r="M614">
        <f>RTD("tos.rtd", , "DELTA", ".SPY201120P355")</f>
        <v>-0.56000000000000005</v>
      </c>
      <c r="N614">
        <f>RTD("tos.rtd", , "GAMMA", ".SPY201120P355")</f>
        <v>0.04</v>
      </c>
      <c r="O614">
        <f>RTD("tos.rtd", , "THETA", ".SPY201120P355")</f>
        <v>-0.26</v>
      </c>
      <c r="P614">
        <f>RTD("tos.rtd", , "VEGA", ".SPY201120P355")</f>
        <v>0.21</v>
      </c>
      <c r="Q614">
        <f>RTD("tos.rtd", , "RHO", ".SPY201120P355")</f>
        <v>-0.04</v>
      </c>
      <c r="R614">
        <f>RTD("tos.rtd", , "INTRINSIC", ".SPY201120P355")</f>
        <v>1.5</v>
      </c>
      <c r="S614">
        <f>RTD("tos.rtd", , "EXTRINSIC", ".SPY201120P355")</f>
        <v>3.3849999999999998</v>
      </c>
      <c r="T614" t="str">
        <f>RTD("tos.rtd", , "PROB_OF_EXPIRING", ".SPY201120P355")</f>
        <v>56.93%</v>
      </c>
      <c r="U614" t="str">
        <f>RTD("tos.rtd", , "PROB_OTM", ".SPY201120P355")</f>
        <v>43.07%</v>
      </c>
      <c r="V614" t="str">
        <f>RTD("tos.rtd", , "PROB_OF_TOUCHING", ".SPY201120P355")</f>
        <v>87.84%</v>
      </c>
      <c r="W614">
        <f>RTD("tos.rtd", , "STRIKE", ".SPY201120P355")</f>
        <v>355</v>
      </c>
    </row>
    <row r="615" spans="1:23" x14ac:dyDescent="0.45">
      <c r="A615" t="s">
        <v>636</v>
      </c>
      <c r="B615" t="str">
        <f>RTD("tos.rtd", , "DESCRIPTION", ".SPY201120C356")</f>
        <v>SPY 100 20 NOV 20 356 CALL</v>
      </c>
      <c r="C615" t="str">
        <f>RTD("tos.rtd", , "PUT_CALL_RATIO", ".SPY201120C356")</f>
        <v>N/A</v>
      </c>
      <c r="D615" t="str">
        <f>RTD("tos.rtd", , "IMPL_VOL", ".SPY201120C356")</f>
        <v>20.86%</v>
      </c>
      <c r="E615">
        <f>RTD("tos.rtd", , "LAST", ".SPY201120C356")</f>
        <v>3.28</v>
      </c>
      <c r="F615">
        <f>RTD("tos.rtd", , "VOLUME", ".SPY201120C356")</f>
        <v>12168</v>
      </c>
      <c r="G615">
        <f>RTD("tos.rtd", , "OPEN_INT", ".SPY201120C356")</f>
        <v>9848</v>
      </c>
      <c r="H615">
        <f>RTD("tos.rtd", , "BID", ".SPY201120C356")</f>
        <v>3.17</v>
      </c>
      <c r="I615">
        <f>RTD("tos.rtd", , "ASK", ".SPY201120C356")</f>
        <v>3.2</v>
      </c>
      <c r="J615">
        <f>RTD("tos.rtd", , "HIGH", ".SPY201120C356")</f>
        <v>4.28</v>
      </c>
      <c r="K615">
        <f>RTD("tos.rtd", , "LOW", ".SPY201120C356")</f>
        <v>2.52</v>
      </c>
      <c r="L615">
        <f>RTD("tos.rtd", , "OPEN", ".SPY201120C356")</f>
        <v>4.04</v>
      </c>
      <c r="M615">
        <f>RTD("tos.rtd", , "DELTA", ".SPY201120C356")</f>
        <v>0.41</v>
      </c>
      <c r="N615">
        <f>RTD("tos.rtd", , "GAMMA", ".SPY201120C356")</f>
        <v>0.04</v>
      </c>
      <c r="O615">
        <f>RTD("tos.rtd", , "THETA", ".SPY201120C356")</f>
        <v>-0.27</v>
      </c>
      <c r="P615">
        <f>RTD("tos.rtd", , "VEGA", ".SPY201120C356")</f>
        <v>0.2</v>
      </c>
      <c r="Q615">
        <f>RTD("tos.rtd", , "RHO", ".SPY201120C356")</f>
        <v>0.03</v>
      </c>
      <c r="R615">
        <f>RTD("tos.rtd", , "INTRINSIC", ".SPY201120C356")</f>
        <v>0</v>
      </c>
      <c r="S615">
        <f>RTD("tos.rtd", , "EXTRINSIC", ".SPY201120C356")</f>
        <v>3.1850000000000001</v>
      </c>
      <c r="T615" t="str">
        <f>RTD("tos.rtd", , "PROB_OF_EXPIRING", ".SPY201120C356")</f>
        <v>39.96%</v>
      </c>
      <c r="U615" t="str">
        <f>RTD("tos.rtd", , "PROB_OTM", ".SPY201120C356")</f>
        <v>60.04%</v>
      </c>
      <c r="V615" t="str">
        <f>RTD("tos.rtd", , "PROB_OF_TOUCHING", ".SPY201120C356")</f>
        <v>81.45%</v>
      </c>
      <c r="W615">
        <f>RTD("tos.rtd", , "STRIKE", ".SPY201120C356")</f>
        <v>356</v>
      </c>
    </row>
    <row r="616" spans="1:23" x14ac:dyDescent="0.45">
      <c r="A616" t="s">
        <v>637</v>
      </c>
      <c r="B616" t="str">
        <f>RTD("tos.rtd", , "DESCRIPTION", ".SPY201120P356")</f>
        <v>SPY 100 20 NOV 20 356 PUT</v>
      </c>
      <c r="C616" t="str">
        <f>RTD("tos.rtd", , "PUT_CALL_RATIO", ".SPY201120P356")</f>
        <v>N/A</v>
      </c>
      <c r="D616" t="str">
        <f>RTD("tos.rtd", , "IMPL_VOL", ".SPY201120P356")</f>
        <v>18.66%</v>
      </c>
      <c r="E616">
        <f>RTD("tos.rtd", , "LAST", ".SPY201120P356")</f>
        <v>5.19</v>
      </c>
      <c r="F616">
        <f>RTD("tos.rtd", , "VOLUME", ".SPY201120P356")</f>
        <v>5431</v>
      </c>
      <c r="G616">
        <f>RTD("tos.rtd", , "OPEN_INT", ".SPY201120P356")</f>
        <v>3016</v>
      </c>
      <c r="H616">
        <f>RTD("tos.rtd", , "BID", ".SPY201120P356")</f>
        <v>5.33</v>
      </c>
      <c r="I616">
        <f>RTD("tos.rtd", , "ASK", ".SPY201120P356")</f>
        <v>5.38</v>
      </c>
      <c r="J616">
        <f>RTD("tos.rtd", , "HIGH", ".SPY201120P356")</f>
        <v>7.12</v>
      </c>
      <c r="K616">
        <f>RTD("tos.rtd", , "LOW", ".SPY201120P356")</f>
        <v>3.84</v>
      </c>
      <c r="L616">
        <f>RTD("tos.rtd", , "OPEN", ".SPY201120P356")</f>
        <v>4.33</v>
      </c>
      <c r="M616">
        <f>RTD("tos.rtd", , "DELTA", ".SPY201120P356")</f>
        <v>-0.6</v>
      </c>
      <c r="N616">
        <f>RTD("tos.rtd", , "GAMMA", ".SPY201120P356")</f>
        <v>0.04</v>
      </c>
      <c r="O616">
        <f>RTD("tos.rtd", , "THETA", ".SPY201120P356")</f>
        <v>-0.25</v>
      </c>
      <c r="P616">
        <f>RTD("tos.rtd", , "VEGA", ".SPY201120P356")</f>
        <v>0.2</v>
      </c>
      <c r="Q616">
        <f>RTD("tos.rtd", , "RHO", ".SPY201120P356")</f>
        <v>-0.05</v>
      </c>
      <c r="R616">
        <f>RTD("tos.rtd", , "INTRINSIC", ".SPY201120P356")</f>
        <v>2.5</v>
      </c>
      <c r="S616">
        <f>RTD("tos.rtd", , "EXTRINSIC", ".SPY201120P356")</f>
        <v>2.855</v>
      </c>
      <c r="T616" t="str">
        <f>RTD("tos.rtd", , "PROB_OF_EXPIRING", ".SPY201120P356")</f>
        <v>61.06%</v>
      </c>
      <c r="U616" t="str">
        <f>RTD("tos.rtd", , "PROB_OTM", ".SPY201120P356")</f>
        <v>38.94%</v>
      </c>
      <c r="V616" t="str">
        <f>RTD("tos.rtd", , "PROB_OF_TOUCHING", ".SPY201120P356")</f>
        <v>79.33%</v>
      </c>
      <c r="W616">
        <f>RTD("tos.rtd", , "STRIKE", ".SPY201120P356")</f>
        <v>356</v>
      </c>
    </row>
    <row r="617" spans="1:23" x14ac:dyDescent="0.45">
      <c r="A617" t="s">
        <v>638</v>
      </c>
      <c r="B617" t="str">
        <f>RTD("tos.rtd", , "DESCRIPTION", ".SPY201120C357")</f>
        <v>SPY 100 20 NOV 20 357 CALL</v>
      </c>
      <c r="C617" t="str">
        <f>RTD("tos.rtd", , "PUT_CALL_RATIO", ".SPY201120C357")</f>
        <v>N/A</v>
      </c>
      <c r="D617" t="str">
        <f>RTD("tos.rtd", , "IMPL_VOL", ".SPY201120C357")</f>
        <v>20.37%</v>
      </c>
      <c r="E617">
        <f>RTD("tos.rtd", , "LAST", ".SPY201120C357")</f>
        <v>2.72</v>
      </c>
      <c r="F617">
        <f>RTD("tos.rtd", , "VOLUME", ".SPY201120C357")</f>
        <v>8532</v>
      </c>
      <c r="G617">
        <f>RTD("tos.rtd", , "OPEN_INT", ".SPY201120C357")</f>
        <v>9870</v>
      </c>
      <c r="H617">
        <f>RTD("tos.rtd", , "BID", ".SPY201120C357")</f>
        <v>2.69</v>
      </c>
      <c r="I617">
        <f>RTD("tos.rtd", , "ASK", ".SPY201120C357")</f>
        <v>2.72</v>
      </c>
      <c r="J617">
        <f>RTD("tos.rtd", , "HIGH", ".SPY201120C357")</f>
        <v>3.71</v>
      </c>
      <c r="K617">
        <f>RTD("tos.rtd", , "LOW", ".SPY201120C357")</f>
        <v>2.14</v>
      </c>
      <c r="L617">
        <f>RTD("tos.rtd", , "OPEN", ".SPY201120C357")</f>
        <v>3.52</v>
      </c>
      <c r="M617">
        <f>RTD("tos.rtd", , "DELTA", ".SPY201120C357")</f>
        <v>0.37</v>
      </c>
      <c r="N617">
        <f>RTD("tos.rtd", , "GAMMA", ".SPY201120C357")</f>
        <v>0.04</v>
      </c>
      <c r="O617">
        <f>RTD("tos.rtd", , "THETA", ".SPY201120C357")</f>
        <v>-0.25</v>
      </c>
      <c r="P617">
        <f>RTD("tos.rtd", , "VEGA", ".SPY201120C357")</f>
        <v>0.2</v>
      </c>
      <c r="Q617">
        <f>RTD("tos.rtd", , "RHO", ".SPY201120C357")</f>
        <v>0.03</v>
      </c>
      <c r="R617">
        <f>RTD("tos.rtd", , "INTRINSIC", ".SPY201120C357")</f>
        <v>0</v>
      </c>
      <c r="S617">
        <f>RTD("tos.rtd", , "EXTRINSIC", ".SPY201120C357")</f>
        <v>2.7050000000000001</v>
      </c>
      <c r="T617" t="str">
        <f>RTD("tos.rtd", , "PROB_OF_EXPIRING", ".SPY201120C357")</f>
        <v>36.21%</v>
      </c>
      <c r="U617" t="str">
        <f>RTD("tos.rtd", , "PROB_OTM", ".SPY201120C357")</f>
        <v>63.79%</v>
      </c>
      <c r="V617" t="str">
        <f>RTD("tos.rtd", , "PROB_OF_TOUCHING", ".SPY201120C357")</f>
        <v>73.74%</v>
      </c>
      <c r="W617">
        <f>RTD("tos.rtd", , "STRIKE", ".SPY201120C357")</f>
        <v>357</v>
      </c>
    </row>
    <row r="618" spans="1:23" x14ac:dyDescent="0.45">
      <c r="A618" t="s">
        <v>639</v>
      </c>
      <c r="B618" t="str">
        <f>RTD("tos.rtd", , "DESCRIPTION", ".SPY201120P357")</f>
        <v>SPY 100 20 NOV 20 357 PUT</v>
      </c>
      <c r="C618" t="str">
        <f>RTD("tos.rtd", , "PUT_CALL_RATIO", ".SPY201120P357")</f>
        <v>N/A</v>
      </c>
      <c r="D618" t="str">
        <f>RTD("tos.rtd", , "IMPL_VOL", ".SPY201120P357")</f>
        <v>18.10%</v>
      </c>
      <c r="E618">
        <f>RTD("tos.rtd", , "LAST", ".SPY201120P357")</f>
        <v>5.9</v>
      </c>
      <c r="F618">
        <f>RTD("tos.rtd", , "VOLUME", ".SPY201120P357")</f>
        <v>2326</v>
      </c>
      <c r="G618">
        <f>RTD("tos.rtd", , "OPEN_INT", ".SPY201120P357")</f>
        <v>1753</v>
      </c>
      <c r="H618">
        <f>RTD("tos.rtd", , "BID", ".SPY201120P357")</f>
        <v>5.83</v>
      </c>
      <c r="I618">
        <f>RTD("tos.rtd", , "ASK", ".SPY201120P357")</f>
        <v>5.92</v>
      </c>
      <c r="J618">
        <f>RTD("tos.rtd", , "HIGH", ".SPY201120P357")</f>
        <v>7.76</v>
      </c>
      <c r="K618">
        <f>RTD("tos.rtd", , "LOW", ".SPY201120P357")</f>
        <v>4.25</v>
      </c>
      <c r="L618">
        <f>RTD("tos.rtd", , "OPEN", ".SPY201120P357")</f>
        <v>4.83</v>
      </c>
      <c r="M618">
        <f>RTD("tos.rtd", , "DELTA", ".SPY201120P357")</f>
        <v>-0.64</v>
      </c>
      <c r="N618">
        <f>RTD("tos.rtd", , "GAMMA", ".SPY201120P357")</f>
        <v>0.04</v>
      </c>
      <c r="O618">
        <f>RTD("tos.rtd", , "THETA", ".SPY201120P357")</f>
        <v>-0.24</v>
      </c>
      <c r="P618">
        <f>RTD("tos.rtd", , "VEGA", ".SPY201120P357")</f>
        <v>0.2</v>
      </c>
      <c r="Q618">
        <f>RTD("tos.rtd", , "RHO", ".SPY201120P357")</f>
        <v>-0.05</v>
      </c>
      <c r="R618">
        <f>RTD("tos.rtd", , "INTRINSIC", ".SPY201120P357")</f>
        <v>3.5</v>
      </c>
      <c r="S618">
        <f>RTD("tos.rtd", , "EXTRINSIC", ".SPY201120P357")</f>
        <v>2.375</v>
      </c>
      <c r="T618" t="str">
        <f>RTD("tos.rtd", , "PROB_OF_EXPIRING", ".SPY201120P357")</f>
        <v>65.30%</v>
      </c>
      <c r="U618" t="str">
        <f>RTD("tos.rtd", , "PROB_OTM", ".SPY201120P357")</f>
        <v>34.70%</v>
      </c>
      <c r="V618" t="str">
        <f>RTD("tos.rtd", , "PROB_OF_TOUCHING", ".SPY201120P357")</f>
        <v>70.63%</v>
      </c>
      <c r="W618">
        <f>RTD("tos.rtd", , "STRIKE", ".SPY201120P357")</f>
        <v>357</v>
      </c>
    </row>
    <row r="619" spans="1:23" x14ac:dyDescent="0.45">
      <c r="A619" t="s">
        <v>640</v>
      </c>
      <c r="B619" t="str">
        <f>RTD("tos.rtd", , "DESCRIPTION", ".SPY201120C357.5")</f>
        <v>SPY 100 20 NOV 20 357.5 CALL</v>
      </c>
      <c r="C619" t="str">
        <f>RTD("tos.rtd", , "PUT_CALL_RATIO", ".SPY201120C357.5")</f>
        <v>N/A</v>
      </c>
      <c r="D619" t="str">
        <f>RTD("tos.rtd", , "IMPL_VOL", ".SPY201120C357.5")</f>
        <v>20.12%</v>
      </c>
      <c r="E619">
        <f>RTD("tos.rtd", , "LAST", ".SPY201120C357.5")</f>
        <v>2.4500000000000002</v>
      </c>
      <c r="F619">
        <f>RTD("tos.rtd", , "VOLUME", ".SPY201120C357.5")</f>
        <v>3054</v>
      </c>
      <c r="G619">
        <f>RTD("tos.rtd", , "OPEN_INT", ".SPY201120C357.5")</f>
        <v>5831</v>
      </c>
      <c r="H619">
        <f>RTD("tos.rtd", , "BID", ".SPY201120C357.5")</f>
        <v>2.4700000000000002</v>
      </c>
      <c r="I619">
        <f>RTD("tos.rtd", , "ASK", ".SPY201120C357.5")</f>
        <v>2.4900000000000002</v>
      </c>
      <c r="J619">
        <f>RTD("tos.rtd", , "HIGH", ".SPY201120C357.5")</f>
        <v>3.39</v>
      </c>
      <c r="K619">
        <f>RTD("tos.rtd", , "LOW", ".SPY201120C357.5")</f>
        <v>2</v>
      </c>
      <c r="L619">
        <f>RTD("tos.rtd", , "OPEN", ".SPY201120C357.5")</f>
        <v>3.23</v>
      </c>
      <c r="M619">
        <f>RTD("tos.rtd", , "DELTA", ".SPY201120C357.5")</f>
        <v>0.35</v>
      </c>
      <c r="N619">
        <f>RTD("tos.rtd", , "GAMMA", ".SPY201120C357.5")</f>
        <v>0.04</v>
      </c>
      <c r="O619">
        <f>RTD("tos.rtd", , "THETA", ".SPY201120C357.5")</f>
        <v>-0.25</v>
      </c>
      <c r="P619">
        <f>RTD("tos.rtd", , "VEGA", ".SPY201120C357.5")</f>
        <v>0.19</v>
      </c>
      <c r="Q619">
        <f>RTD("tos.rtd", , "RHO", ".SPY201120C357.5")</f>
        <v>0.03</v>
      </c>
      <c r="R619">
        <f>RTD("tos.rtd", , "INTRINSIC", ".SPY201120C357.5")</f>
        <v>0</v>
      </c>
      <c r="S619">
        <f>RTD("tos.rtd", , "EXTRINSIC", ".SPY201120C357.5")</f>
        <v>2.48</v>
      </c>
      <c r="T619" t="str">
        <f>RTD("tos.rtd", , "PROB_OF_EXPIRING", ".SPY201120C357.5")</f>
        <v>34.32%</v>
      </c>
      <c r="U619" t="str">
        <f>RTD("tos.rtd", , "PROB_OTM", ".SPY201120C357.5")</f>
        <v>65.68%</v>
      </c>
      <c r="V619" t="str">
        <f>RTD("tos.rtd", , "PROB_OF_TOUCHING", ".SPY201120C357.5")</f>
        <v>69.86%</v>
      </c>
      <c r="W619">
        <f>RTD("tos.rtd", , "STRIKE", ".SPY201120C357.5")</f>
        <v>357.5</v>
      </c>
    </row>
    <row r="620" spans="1:23" x14ac:dyDescent="0.45">
      <c r="A620" t="s">
        <v>641</v>
      </c>
      <c r="B620" t="str">
        <f>RTD("tos.rtd", , "DESCRIPTION", ".SPY201120P357.5")</f>
        <v>SPY 100 20 NOV 20 357.5 PUT</v>
      </c>
      <c r="C620" t="str">
        <f>RTD("tos.rtd", , "PUT_CALL_RATIO", ".SPY201120P357.5")</f>
        <v>N/A</v>
      </c>
      <c r="D620" t="str">
        <f>RTD("tos.rtd", , "IMPL_VOL", ".SPY201120P357.5")</f>
        <v>17.78%</v>
      </c>
      <c r="E620">
        <f>RTD("tos.rtd", , "LAST", ".SPY201120P357.5")</f>
        <v>6.59</v>
      </c>
      <c r="F620">
        <f>RTD("tos.rtd", , "VOLUME", ".SPY201120P357.5")</f>
        <v>840</v>
      </c>
      <c r="G620">
        <f>RTD("tos.rtd", , "OPEN_INT", ".SPY201120P357.5")</f>
        <v>3014</v>
      </c>
      <c r="H620">
        <f>RTD("tos.rtd", , "BID", ".SPY201120P357.5")</f>
        <v>6.1</v>
      </c>
      <c r="I620">
        <f>RTD("tos.rtd", , "ASK", ".SPY201120P357.5")</f>
        <v>6.19</v>
      </c>
      <c r="J620">
        <f>RTD("tos.rtd", , "HIGH", ".SPY201120P357.5")</f>
        <v>7.92</v>
      </c>
      <c r="K620">
        <f>RTD("tos.rtd", , "LOW", ".SPY201120P357.5")</f>
        <v>4.5</v>
      </c>
      <c r="L620">
        <f>RTD("tos.rtd", , "OPEN", ".SPY201120P357.5")</f>
        <v>5.23</v>
      </c>
      <c r="M620">
        <f>RTD("tos.rtd", , "DELTA", ".SPY201120P357.5")</f>
        <v>-0.67</v>
      </c>
      <c r="N620">
        <f>RTD("tos.rtd", , "GAMMA", ".SPY201120P357.5")</f>
        <v>0.04</v>
      </c>
      <c r="O620">
        <f>RTD("tos.rtd", , "THETA", ".SPY201120P357.5")</f>
        <v>-0.23</v>
      </c>
      <c r="P620">
        <f>RTD("tos.rtd", , "VEGA", ".SPY201120P357.5")</f>
        <v>0.19</v>
      </c>
      <c r="Q620">
        <f>RTD("tos.rtd", , "RHO", ".SPY201120P357.5")</f>
        <v>-0.05</v>
      </c>
      <c r="R620">
        <f>RTD("tos.rtd", , "INTRINSIC", ".SPY201120P357.5")</f>
        <v>4</v>
      </c>
      <c r="S620">
        <f>RTD("tos.rtd", , "EXTRINSIC", ".SPY201120P357.5")</f>
        <v>2.145</v>
      </c>
      <c r="T620" t="str">
        <f>RTD("tos.rtd", , "PROB_OF_EXPIRING", ".SPY201120P357.5")</f>
        <v>67.48%</v>
      </c>
      <c r="U620" t="str">
        <f>RTD("tos.rtd", , "PROB_OTM", ".SPY201120P357.5")</f>
        <v>32.52%</v>
      </c>
      <c r="V620" t="str">
        <f>RTD("tos.rtd", , "PROB_OF_TOUCHING", ".SPY201120P357.5")</f>
        <v>66.16%</v>
      </c>
      <c r="W620">
        <f>RTD("tos.rtd", , "STRIKE", ".SPY201120P357.5")</f>
        <v>357.5</v>
      </c>
    </row>
    <row r="621" spans="1:23" x14ac:dyDescent="0.45">
      <c r="A621" t="s">
        <v>642</v>
      </c>
      <c r="B621" t="str">
        <f>RTD("tos.rtd", , "DESCRIPTION", ".SPY201120C358")</f>
        <v>SPY 100 20 NOV 20 358 CALL</v>
      </c>
      <c r="C621" t="str">
        <f>RTD("tos.rtd", , "PUT_CALL_RATIO", ".SPY201120C358")</f>
        <v>N/A</v>
      </c>
      <c r="D621" t="str">
        <f>RTD("tos.rtd", , "IMPL_VOL", ".SPY201120C358")</f>
        <v>19.87%</v>
      </c>
      <c r="E621">
        <f>RTD("tos.rtd", , "LAST", ".SPY201120C358")</f>
        <v>2.3199999999999998</v>
      </c>
      <c r="F621">
        <f>RTD("tos.rtd", , "VOLUME", ".SPY201120C358")</f>
        <v>5906</v>
      </c>
      <c r="G621">
        <f>RTD("tos.rtd", , "OPEN_INT", ".SPY201120C358")</f>
        <v>9985</v>
      </c>
      <c r="H621">
        <f>RTD("tos.rtd", , "BID", ".SPY201120C358")</f>
        <v>2.25</v>
      </c>
      <c r="I621">
        <f>RTD("tos.rtd", , "ASK", ".SPY201120C358")</f>
        <v>2.2799999999999998</v>
      </c>
      <c r="J621">
        <f>RTD("tos.rtd", , "HIGH", ".SPY201120C358")</f>
        <v>3.18</v>
      </c>
      <c r="K621">
        <f>RTD("tos.rtd", , "LOW", ".SPY201120C358")</f>
        <v>1.77</v>
      </c>
      <c r="L621">
        <f>RTD("tos.rtd", , "OPEN", ".SPY201120C358")</f>
        <v>3</v>
      </c>
      <c r="M621">
        <f>RTD("tos.rtd", , "DELTA", ".SPY201120C358")</f>
        <v>0.33</v>
      </c>
      <c r="N621">
        <f>RTD("tos.rtd", , "GAMMA", ".SPY201120C358")</f>
        <v>0.04</v>
      </c>
      <c r="O621">
        <f>RTD("tos.rtd", , "THETA", ".SPY201120C358")</f>
        <v>-0.24</v>
      </c>
      <c r="P621">
        <f>RTD("tos.rtd", , "VEGA", ".SPY201120C358")</f>
        <v>0.19</v>
      </c>
      <c r="Q621">
        <f>RTD("tos.rtd", , "RHO", ".SPY201120C358")</f>
        <v>0.03</v>
      </c>
      <c r="R621">
        <f>RTD("tos.rtd", , "INTRINSIC", ".SPY201120C358")</f>
        <v>0</v>
      </c>
      <c r="S621">
        <f>RTD("tos.rtd", , "EXTRINSIC", ".SPY201120C358")</f>
        <v>2.2650000000000001</v>
      </c>
      <c r="T621" t="str">
        <f>RTD("tos.rtd", , "PROB_OF_EXPIRING", ".SPY201120C358")</f>
        <v>32.42%</v>
      </c>
      <c r="U621" t="str">
        <f>RTD("tos.rtd", , "PROB_OTM", ".SPY201120C358")</f>
        <v>67.58%</v>
      </c>
      <c r="V621" t="str">
        <f>RTD("tos.rtd", , "PROB_OF_TOUCHING", ".SPY201120C358")</f>
        <v>65.96%</v>
      </c>
      <c r="W621">
        <f>RTD("tos.rtd", , "STRIKE", ".SPY201120C358")</f>
        <v>358</v>
      </c>
    </row>
    <row r="622" spans="1:23" x14ac:dyDescent="0.45">
      <c r="A622" t="s">
        <v>643</v>
      </c>
      <c r="B622" t="str">
        <f>RTD("tos.rtd", , "DESCRIPTION", ".SPY201120P358")</f>
        <v>SPY 100 20 NOV 20 358 PUT</v>
      </c>
      <c r="C622" t="str">
        <f>RTD("tos.rtd", , "PUT_CALL_RATIO", ".SPY201120P358")</f>
        <v>N/A</v>
      </c>
      <c r="D622" t="str">
        <f>RTD("tos.rtd", , "IMPL_VOL", ".SPY201120P358")</f>
        <v>17.50%</v>
      </c>
      <c r="E622">
        <f>RTD("tos.rtd", , "LAST", ".SPY201120P358")</f>
        <v>6.3</v>
      </c>
      <c r="F622">
        <f>RTD("tos.rtd", , "VOLUME", ".SPY201120P358")</f>
        <v>1030</v>
      </c>
      <c r="G622">
        <f>RTD("tos.rtd", , "OPEN_INT", ".SPY201120P358")</f>
        <v>2731</v>
      </c>
      <c r="H622">
        <f>RTD("tos.rtd", , "BID", ".SPY201120P358")</f>
        <v>6.39</v>
      </c>
      <c r="I622">
        <f>RTD("tos.rtd", , "ASK", ".SPY201120P358")</f>
        <v>6.48</v>
      </c>
      <c r="J622">
        <f>RTD("tos.rtd", , "HIGH", ".SPY201120P358")</f>
        <v>8.42</v>
      </c>
      <c r="K622">
        <f>RTD("tos.rtd", , "LOW", ".SPY201120P358")</f>
        <v>4.76</v>
      </c>
      <c r="L622">
        <f>RTD("tos.rtd", , "OPEN", ".SPY201120P358")</f>
        <v>5.4</v>
      </c>
      <c r="M622">
        <f>RTD("tos.rtd", , "DELTA", ".SPY201120P358")</f>
        <v>-0.69</v>
      </c>
      <c r="N622">
        <f>RTD("tos.rtd", , "GAMMA", ".SPY201120P358")</f>
        <v>0.04</v>
      </c>
      <c r="O622">
        <f>RTD("tos.rtd", , "THETA", ".SPY201120P358")</f>
        <v>-0.22</v>
      </c>
      <c r="P622">
        <f>RTD("tos.rtd", , "VEGA", ".SPY201120P358")</f>
        <v>0.19</v>
      </c>
      <c r="Q622">
        <f>RTD("tos.rtd", , "RHO", ".SPY201120P358")</f>
        <v>-0.05</v>
      </c>
      <c r="R622">
        <f>RTD("tos.rtd", , "INTRINSIC", ".SPY201120P358")</f>
        <v>4.5</v>
      </c>
      <c r="S622">
        <f>RTD("tos.rtd", , "EXTRINSIC", ".SPY201120P358")</f>
        <v>1.9350000000000001</v>
      </c>
      <c r="T622" t="str">
        <f>RTD("tos.rtd", , "PROB_OF_EXPIRING", ".SPY201120P358")</f>
        <v>69.64%</v>
      </c>
      <c r="U622" t="str">
        <f>RTD("tos.rtd", , "PROB_OTM", ".SPY201120P358")</f>
        <v>30.36%</v>
      </c>
      <c r="V622" t="str">
        <f>RTD("tos.rtd", , "PROB_OF_TOUCHING", ".SPY201120P358")</f>
        <v>61.74%</v>
      </c>
      <c r="W622">
        <f>RTD("tos.rtd", , "STRIKE", ".SPY201120P358")</f>
        <v>358</v>
      </c>
    </row>
    <row r="623" spans="1:23" x14ac:dyDescent="0.45">
      <c r="A623" t="s">
        <v>644</v>
      </c>
      <c r="B623" t="str">
        <f>RTD("tos.rtd", , "DESCRIPTION", ".SPY201120C359")</f>
        <v>SPY 100 20 NOV 20 359 CALL</v>
      </c>
      <c r="C623" t="str">
        <f>RTD("tos.rtd", , "PUT_CALL_RATIO", ".SPY201120C359")</f>
        <v>N/A</v>
      </c>
      <c r="D623" t="str">
        <f>RTD("tos.rtd", , "IMPL_VOL", ".SPY201120C359")</f>
        <v>19.44%</v>
      </c>
      <c r="E623">
        <f>RTD("tos.rtd", , "LAST", ".SPY201120C359")</f>
        <v>1.91</v>
      </c>
      <c r="F623">
        <f>RTD("tos.rtd", , "VOLUME", ".SPY201120C359")</f>
        <v>3581</v>
      </c>
      <c r="G623">
        <f>RTD("tos.rtd", , "OPEN_INT", ".SPY201120C359")</f>
        <v>4891</v>
      </c>
      <c r="H623">
        <f>RTD("tos.rtd", , "BID", ".SPY201120C359")</f>
        <v>1.87</v>
      </c>
      <c r="I623">
        <f>RTD("tos.rtd", , "ASK", ".SPY201120C359")</f>
        <v>1.89</v>
      </c>
      <c r="J623">
        <f>RTD("tos.rtd", , "HIGH", ".SPY201120C359")</f>
        <v>2.71</v>
      </c>
      <c r="K623">
        <f>RTD("tos.rtd", , "LOW", ".SPY201120C359")</f>
        <v>1.45</v>
      </c>
      <c r="L623">
        <f>RTD("tos.rtd", , "OPEN", ".SPY201120C359")</f>
        <v>2.56</v>
      </c>
      <c r="M623">
        <f>RTD("tos.rtd", , "DELTA", ".SPY201120C359")</f>
        <v>0.3</v>
      </c>
      <c r="N623">
        <f>RTD("tos.rtd", , "GAMMA", ".SPY201120C359")</f>
        <v>0.03</v>
      </c>
      <c r="O623">
        <f>RTD("tos.rtd", , "THETA", ".SPY201120C359")</f>
        <v>-0.22</v>
      </c>
      <c r="P623">
        <f>RTD("tos.rtd", , "VEGA", ".SPY201120C359")</f>
        <v>0.18</v>
      </c>
      <c r="Q623">
        <f>RTD("tos.rtd", , "RHO", ".SPY201120C359")</f>
        <v>0.02</v>
      </c>
      <c r="R623">
        <f>RTD("tos.rtd", , "INTRINSIC", ".SPY201120C359")</f>
        <v>0</v>
      </c>
      <c r="S623">
        <f>RTD("tos.rtd", , "EXTRINSIC", ".SPY201120C359")</f>
        <v>1.88</v>
      </c>
      <c r="T623" t="str">
        <f>RTD("tos.rtd", , "PROB_OF_EXPIRING", ".SPY201120C359")</f>
        <v>28.69%</v>
      </c>
      <c r="U623" t="str">
        <f>RTD("tos.rtd", , "PROB_OTM", ".SPY201120C359")</f>
        <v>71.31%</v>
      </c>
      <c r="V623" t="str">
        <f>RTD("tos.rtd", , "PROB_OF_TOUCHING", ".SPY201120C359")</f>
        <v>58.34%</v>
      </c>
      <c r="W623">
        <f>RTD("tos.rtd", , "STRIKE", ".SPY201120C359")</f>
        <v>359</v>
      </c>
    </row>
    <row r="624" spans="1:23" x14ac:dyDescent="0.45">
      <c r="A624" t="s">
        <v>645</v>
      </c>
      <c r="B624" t="str">
        <f>RTD("tos.rtd", , "DESCRIPTION", ".SPY201120P359")</f>
        <v>SPY 100 20 NOV 20 359 PUT</v>
      </c>
      <c r="C624" t="str">
        <f>RTD("tos.rtd", , "PUT_CALL_RATIO", ".SPY201120P359")</f>
        <v>N/A</v>
      </c>
      <c r="D624" t="str">
        <f>RTD("tos.rtd", , "IMPL_VOL", ".SPY201120P359")</f>
        <v>16.86%</v>
      </c>
      <c r="E624">
        <f>RTD("tos.rtd", , "LAST", ".SPY201120P359")</f>
        <v>6.82</v>
      </c>
      <c r="F624">
        <f>RTD("tos.rtd", , "VOLUME", ".SPY201120P359")</f>
        <v>1444</v>
      </c>
      <c r="G624">
        <f>RTD("tos.rtd", , "OPEN_INT", ".SPY201120P359")</f>
        <v>1424</v>
      </c>
      <c r="H624">
        <f>RTD("tos.rtd", , "BID", ".SPY201120P359")</f>
        <v>6.99</v>
      </c>
      <c r="I624">
        <f>RTD("tos.rtd", , "ASK", ".SPY201120P359")</f>
        <v>7.09</v>
      </c>
      <c r="J624">
        <f>RTD("tos.rtd", , "HIGH", ".SPY201120P359")</f>
        <v>9.07</v>
      </c>
      <c r="K624">
        <f>RTD("tos.rtd", , "LOW", ".SPY201120P359")</f>
        <v>5.37</v>
      </c>
      <c r="L624">
        <f>RTD("tos.rtd", , "OPEN", ".SPY201120P359")</f>
        <v>5.87</v>
      </c>
      <c r="M624">
        <f>RTD("tos.rtd", , "DELTA", ".SPY201120P359")</f>
        <v>-0.73</v>
      </c>
      <c r="N624">
        <f>RTD("tos.rtd", , "GAMMA", ".SPY201120P359")</f>
        <v>0.04</v>
      </c>
      <c r="O624">
        <f>RTD("tos.rtd", , "THETA", ".SPY201120P359")</f>
        <v>-0.2</v>
      </c>
      <c r="P624">
        <f>RTD("tos.rtd", , "VEGA", ".SPY201120P359")</f>
        <v>0.17</v>
      </c>
      <c r="Q624">
        <f>RTD("tos.rtd", , "RHO", ".SPY201120P359")</f>
        <v>-0.06</v>
      </c>
      <c r="R624">
        <f>RTD("tos.rtd", , "INTRINSIC", ".SPY201120P359")</f>
        <v>5.5</v>
      </c>
      <c r="S624">
        <f>RTD("tos.rtd", , "EXTRINSIC", ".SPY201120P359")</f>
        <v>1.54</v>
      </c>
      <c r="T624" t="str">
        <f>RTD("tos.rtd", , "PROB_OF_EXPIRING", ".SPY201120P359")</f>
        <v>74.03%</v>
      </c>
      <c r="U624" t="str">
        <f>RTD("tos.rtd", , "PROB_OTM", ".SPY201120P359")</f>
        <v>25.97%</v>
      </c>
      <c r="V624" t="str">
        <f>RTD("tos.rtd", , "PROB_OF_TOUCHING", ".SPY201120P359")</f>
        <v>52.77%</v>
      </c>
      <c r="W624">
        <f>RTD("tos.rtd", , "STRIKE", ".SPY201120P359")</f>
        <v>359</v>
      </c>
    </row>
    <row r="625" spans="1:23" x14ac:dyDescent="0.45">
      <c r="A625" t="s">
        <v>646</v>
      </c>
      <c r="B625" t="str">
        <f>RTD("tos.rtd", , "DESCRIPTION", ".SPY201120C360")</f>
        <v>SPY 100 20 NOV 20 360 CALL</v>
      </c>
      <c r="C625" t="str">
        <f>RTD("tos.rtd", , "PUT_CALL_RATIO", ".SPY201120C360")</f>
        <v>N/A</v>
      </c>
      <c r="D625" t="str">
        <f>RTD("tos.rtd", , "IMPL_VOL", ".SPY201120C360")</f>
        <v>19.01%</v>
      </c>
      <c r="E625">
        <f>RTD("tos.rtd", , "LAST", ".SPY201120C360")</f>
        <v>1.59</v>
      </c>
      <c r="F625">
        <f>RTD("tos.rtd", , "VOLUME", ".SPY201120C360")</f>
        <v>16734</v>
      </c>
      <c r="G625">
        <f>RTD("tos.rtd", , "OPEN_INT", ".SPY201120C360")</f>
        <v>60110</v>
      </c>
      <c r="H625">
        <f>RTD("tos.rtd", , "BID", ".SPY201120C360")</f>
        <v>1.52</v>
      </c>
      <c r="I625">
        <f>RTD("tos.rtd", , "ASK", ".SPY201120C360")</f>
        <v>1.55</v>
      </c>
      <c r="J625">
        <f>RTD("tos.rtd", , "HIGH", ".SPY201120C360")</f>
        <v>2.2799999999999998</v>
      </c>
      <c r="K625">
        <f>RTD("tos.rtd", , "LOW", ".SPY201120C360")</f>
        <v>1.17</v>
      </c>
      <c r="L625">
        <f>RTD("tos.rtd", , "OPEN", ".SPY201120C360")</f>
        <v>2.12</v>
      </c>
      <c r="M625">
        <f>RTD("tos.rtd", , "DELTA", ".SPY201120C360")</f>
        <v>0.26</v>
      </c>
      <c r="N625">
        <f>RTD("tos.rtd", , "GAMMA", ".SPY201120C360")</f>
        <v>0.03</v>
      </c>
      <c r="O625">
        <f>RTD("tos.rtd", , "THETA", ".SPY201120C360")</f>
        <v>-0.2</v>
      </c>
      <c r="P625">
        <f>RTD("tos.rtd", , "VEGA", ".SPY201120C360")</f>
        <v>0.17</v>
      </c>
      <c r="Q625">
        <f>RTD("tos.rtd", , "RHO", ".SPY201120C360")</f>
        <v>0.02</v>
      </c>
      <c r="R625">
        <f>RTD("tos.rtd", , "INTRINSIC", ".SPY201120C360")</f>
        <v>0</v>
      </c>
      <c r="S625">
        <f>RTD("tos.rtd", , "EXTRINSIC", ".SPY201120C360")</f>
        <v>1.5349999999999999</v>
      </c>
      <c r="T625" t="str">
        <f>RTD("tos.rtd", , "PROB_OF_EXPIRING", ".SPY201120C360")</f>
        <v>25.03%</v>
      </c>
      <c r="U625" t="str">
        <f>RTD("tos.rtd", , "PROB_OTM", ".SPY201120C360")</f>
        <v>74.97%</v>
      </c>
      <c r="V625" t="str">
        <f>RTD("tos.rtd", , "PROB_OF_TOUCHING", ".SPY201120C360")</f>
        <v>50.86%</v>
      </c>
      <c r="W625">
        <f>RTD("tos.rtd", , "STRIKE", ".SPY201120C360")</f>
        <v>360</v>
      </c>
    </row>
    <row r="626" spans="1:23" x14ac:dyDescent="0.45">
      <c r="A626" t="s">
        <v>647</v>
      </c>
      <c r="B626" t="str">
        <f>RTD("tos.rtd", , "DESCRIPTION", ".SPY201120P360")</f>
        <v>SPY 100 20 NOV 20 360 PUT</v>
      </c>
      <c r="C626" t="str">
        <f>RTD("tos.rtd", , "PUT_CALL_RATIO", ".SPY201120P360")</f>
        <v>N/A</v>
      </c>
      <c r="D626" t="str">
        <f>RTD("tos.rtd", , "IMPL_VOL", ".SPY201120P360")</f>
        <v>16.21%</v>
      </c>
      <c r="E626">
        <f>RTD("tos.rtd", , "LAST", ".SPY201120P360")</f>
        <v>7.5</v>
      </c>
      <c r="F626">
        <f>RTD("tos.rtd", , "VOLUME", ".SPY201120P360")</f>
        <v>2044</v>
      </c>
      <c r="G626">
        <f>RTD("tos.rtd", , "OPEN_INT", ".SPY201120P360")</f>
        <v>4995</v>
      </c>
      <c r="H626">
        <f>RTD("tos.rtd", , "BID", ".SPY201120P360")</f>
        <v>7.64</v>
      </c>
      <c r="I626">
        <f>RTD("tos.rtd", , "ASK", ".SPY201120P360")</f>
        <v>7.75</v>
      </c>
      <c r="J626">
        <f>RTD("tos.rtd", , "HIGH", ".SPY201120P360")</f>
        <v>9.89</v>
      </c>
      <c r="K626">
        <f>RTD("tos.rtd", , "LOW", ".SPY201120P360")</f>
        <v>5.84</v>
      </c>
      <c r="L626">
        <f>RTD("tos.rtd", , "OPEN", ".SPY201120P360")</f>
        <v>6.41</v>
      </c>
      <c r="M626">
        <f>RTD("tos.rtd", , "DELTA", ".SPY201120P360")</f>
        <v>-0.78</v>
      </c>
      <c r="N626">
        <f>RTD("tos.rtd", , "GAMMA", ".SPY201120P360")</f>
        <v>0.04</v>
      </c>
      <c r="O626">
        <f>RTD("tos.rtd", , "THETA", ".SPY201120P360")</f>
        <v>-0.17</v>
      </c>
      <c r="P626">
        <f>RTD("tos.rtd", , "VEGA", ".SPY201120P360")</f>
        <v>0.16</v>
      </c>
      <c r="Q626">
        <f>RTD("tos.rtd", , "RHO", ".SPY201120P360")</f>
        <v>-0.06</v>
      </c>
      <c r="R626">
        <f>RTD("tos.rtd", , "INTRINSIC", ".SPY201120P360")</f>
        <v>6.5</v>
      </c>
      <c r="S626">
        <f>RTD("tos.rtd", , "EXTRINSIC", ".SPY201120P360")</f>
        <v>1.1950000000000001</v>
      </c>
      <c r="T626" t="str">
        <f>RTD("tos.rtd", , "PROB_OF_EXPIRING", ".SPY201120P360")</f>
        <v>78.38%</v>
      </c>
      <c r="U626" t="str">
        <f>RTD("tos.rtd", , "PROB_OTM", ".SPY201120P360")</f>
        <v>21.62%</v>
      </c>
      <c r="V626" t="str">
        <f>RTD("tos.rtd", , "PROB_OF_TOUCHING", ".SPY201120P360")</f>
        <v>43.89%</v>
      </c>
      <c r="W626">
        <f>RTD("tos.rtd", , "STRIKE", ".SPY201120P360")</f>
        <v>360</v>
      </c>
    </row>
    <row r="627" spans="1:23" x14ac:dyDescent="0.45">
      <c r="A627" t="s">
        <v>648</v>
      </c>
      <c r="B627" t="str">
        <f>RTD("tos.rtd", , "DESCRIPTION", ".SPY201120C361")</f>
        <v>SPY 100 20 NOV 20 361 CALL</v>
      </c>
      <c r="C627" t="str">
        <f>RTD("tos.rtd", , "PUT_CALL_RATIO", ".SPY201120C361")</f>
        <v>N/A</v>
      </c>
      <c r="D627" t="str">
        <f>RTD("tos.rtd", , "IMPL_VOL", ".SPY201120C361")</f>
        <v>18.63%</v>
      </c>
      <c r="E627">
        <f>RTD("tos.rtd", , "LAST", ".SPY201120C361")</f>
        <v>1.28</v>
      </c>
      <c r="F627">
        <f>RTD("tos.rtd", , "VOLUME", ".SPY201120C361")</f>
        <v>2959</v>
      </c>
      <c r="G627">
        <f>RTD("tos.rtd", , "OPEN_INT", ".SPY201120C361")</f>
        <v>8911</v>
      </c>
      <c r="H627">
        <f>RTD("tos.rtd", , "BID", ".SPY201120C361")</f>
        <v>1.23</v>
      </c>
      <c r="I627">
        <f>RTD("tos.rtd", , "ASK", ".SPY201120C361")</f>
        <v>1.25</v>
      </c>
      <c r="J627">
        <f>RTD("tos.rtd", , "HIGH", ".SPY201120C361")</f>
        <v>1.87</v>
      </c>
      <c r="K627">
        <f>RTD("tos.rtd", , "LOW", ".SPY201120C361")</f>
        <v>0.96</v>
      </c>
      <c r="L627">
        <f>RTD("tos.rtd", , "OPEN", ".SPY201120C361")</f>
        <v>1.8</v>
      </c>
      <c r="M627">
        <f>RTD("tos.rtd", , "DELTA", ".SPY201120C361")</f>
        <v>0.22</v>
      </c>
      <c r="N627">
        <f>RTD("tos.rtd", , "GAMMA", ".SPY201120C361")</f>
        <v>0.03</v>
      </c>
      <c r="O627">
        <f>RTD("tos.rtd", , "THETA", ".SPY201120C361")</f>
        <v>-0.18</v>
      </c>
      <c r="P627">
        <f>RTD("tos.rtd", , "VEGA", ".SPY201120C361")</f>
        <v>0.16</v>
      </c>
      <c r="Q627">
        <f>RTD("tos.rtd", , "RHO", ".SPY201120C361")</f>
        <v>0.02</v>
      </c>
      <c r="R627">
        <f>RTD("tos.rtd", , "INTRINSIC", ".SPY201120C361")</f>
        <v>0</v>
      </c>
      <c r="S627">
        <f>RTD("tos.rtd", , "EXTRINSIC", ".SPY201120C361")</f>
        <v>1.24</v>
      </c>
      <c r="T627" t="str">
        <f>RTD("tos.rtd", , "PROB_OF_EXPIRING", ".SPY201120C361")</f>
        <v>21.56%</v>
      </c>
      <c r="U627" t="str">
        <f>RTD("tos.rtd", , "PROB_OTM", ".SPY201120C361")</f>
        <v>78.44%</v>
      </c>
      <c r="V627" t="str">
        <f>RTD("tos.rtd", , "PROB_OF_TOUCHING", ".SPY201120C361")</f>
        <v>43.76%</v>
      </c>
      <c r="W627">
        <f>RTD("tos.rtd", , "STRIKE", ".SPY201120C361")</f>
        <v>361</v>
      </c>
    </row>
    <row r="628" spans="1:23" x14ac:dyDescent="0.45">
      <c r="A628" t="s">
        <v>649</v>
      </c>
      <c r="B628" t="str">
        <f>RTD("tos.rtd", , "DESCRIPTION", ".SPY201120P361")</f>
        <v>SPY 100 20 NOV 20 361 PUT</v>
      </c>
      <c r="C628" t="str">
        <f>RTD("tos.rtd", , "PUT_CALL_RATIO", ".SPY201120P361")</f>
        <v>N/A</v>
      </c>
      <c r="D628" t="str">
        <f>RTD("tos.rtd", , "IMPL_VOL", ".SPY201120P361")</f>
        <v>15.57%</v>
      </c>
      <c r="E628">
        <f>RTD("tos.rtd", , "LAST", ".SPY201120P361")</f>
        <v>8.9</v>
      </c>
      <c r="F628">
        <f>RTD("tos.rtd", , "VOLUME", ".SPY201120P361")</f>
        <v>188</v>
      </c>
      <c r="G628">
        <f>RTD("tos.rtd", , "OPEN_INT", ".SPY201120P361")</f>
        <v>1937</v>
      </c>
      <c r="H628">
        <f>RTD("tos.rtd", , "BID", ".SPY201120P361")</f>
        <v>8.35</v>
      </c>
      <c r="I628">
        <f>RTD("tos.rtd", , "ASK", ".SPY201120P361")</f>
        <v>8.4600000000000009</v>
      </c>
      <c r="J628">
        <f>RTD("tos.rtd", , "HIGH", ".SPY201120P361")</f>
        <v>10.54</v>
      </c>
      <c r="K628">
        <f>RTD("tos.rtd", , "LOW", ".SPY201120P361")</f>
        <v>6.45</v>
      </c>
      <c r="L628">
        <f>RTD("tos.rtd", , "OPEN", ".SPY201120P361")</f>
        <v>7.5</v>
      </c>
      <c r="M628">
        <f>RTD("tos.rtd", , "DELTA", ".SPY201120P361")</f>
        <v>-0.82</v>
      </c>
      <c r="N628">
        <f>RTD("tos.rtd", , "GAMMA", ".SPY201120P361")</f>
        <v>0.03</v>
      </c>
      <c r="O628">
        <f>RTD("tos.rtd", , "THETA", ".SPY201120P361")</f>
        <v>-0.15</v>
      </c>
      <c r="P628">
        <f>RTD("tos.rtd", , "VEGA", ".SPY201120P361")</f>
        <v>0.14000000000000001</v>
      </c>
      <c r="Q628">
        <f>RTD("tos.rtd", , "RHO", ".SPY201120P361")</f>
        <v>-7.0000000000000007E-2</v>
      </c>
      <c r="R628">
        <f>RTD("tos.rtd", , "INTRINSIC", ".SPY201120P361")</f>
        <v>7.5</v>
      </c>
      <c r="S628">
        <f>RTD("tos.rtd", , "EXTRINSIC", ".SPY201120P361")</f>
        <v>0.90500000000000003</v>
      </c>
      <c r="T628" t="str">
        <f>RTD("tos.rtd", , "PROB_OF_EXPIRING", ".SPY201120P361")</f>
        <v>82.56%</v>
      </c>
      <c r="U628" t="str">
        <f>RTD("tos.rtd", , "PROB_OTM", ".SPY201120P361")</f>
        <v>17.44%</v>
      </c>
      <c r="V628" t="str">
        <f>RTD("tos.rtd", , "PROB_OF_TOUCHING", ".SPY201120P361")</f>
        <v>35.37%</v>
      </c>
      <c r="W628">
        <f>RTD("tos.rtd", , "STRIKE", ".SPY201120P361")</f>
        <v>361</v>
      </c>
    </row>
    <row r="629" spans="1:23" x14ac:dyDescent="0.45">
      <c r="A629" t="s">
        <v>650</v>
      </c>
      <c r="B629" t="str">
        <f>RTD("tos.rtd", , "DESCRIPTION", "SPYG")</f>
        <v>SPDR SERIES TRUST PRTFLO S&amp;P500 GW ETF</v>
      </c>
      <c r="C629">
        <f>RTD("tos.rtd", , "PUT_CALL_RATIO", "SPYG")</f>
        <v>0.38900000000000001</v>
      </c>
      <c r="D629" t="str">
        <f>RTD("tos.rtd", , "IMPL_VOL", "SPYG")</f>
        <v>28.99%</v>
      </c>
      <c r="E629">
        <f>RTD("tos.rtd", , "LAST", "SPYG")</f>
        <v>52.28</v>
      </c>
      <c r="F629">
        <f>RTD("tos.rtd", , "VOLUME", "SPYG")</f>
        <v>4801544</v>
      </c>
      <c r="G629">
        <f>RTD("tos.rtd", , "OPEN_INT", "SPYG")</f>
        <v>0</v>
      </c>
      <c r="H629">
        <f>RTD("tos.rtd", , "BID", "SPYG")</f>
        <v>51.99</v>
      </c>
      <c r="I629">
        <f>RTD("tos.rtd", , "ASK", "SPYG")</f>
        <v>52.67</v>
      </c>
      <c r="J629">
        <f>RTD("tos.rtd", , "HIGH", "SPYG")</f>
        <v>52.82</v>
      </c>
      <c r="K629">
        <f>RTD("tos.rtd", , "LOW", "SPYG")</f>
        <v>52.03</v>
      </c>
      <c r="L629">
        <f>RTD("tos.rtd", , "OPEN", "SPYG")</f>
        <v>52.64</v>
      </c>
      <c r="M629">
        <f>RTD("tos.rtd", , "DELTA", "SPYG")</f>
        <v>1</v>
      </c>
      <c r="N629">
        <f>RTD("tos.rtd", , "GAMMA", "SPYG")</f>
        <v>0</v>
      </c>
      <c r="O629">
        <f>RTD("tos.rtd", , "THETA", "SPYG")</f>
        <v>0</v>
      </c>
      <c r="P629">
        <f>RTD("tos.rtd", , "VEGA", "SPYG")</f>
        <v>0</v>
      </c>
      <c r="Q629">
        <f>RTD("tos.rtd", , "RHO", "SPYG")</f>
        <v>0</v>
      </c>
      <c r="R629" t="str">
        <f>RTD("tos.rtd", , "INTRINSIC", "SPYG")</f>
        <v>N/A</v>
      </c>
      <c r="S629" t="str">
        <f>RTD("tos.rtd", , "EXTRINSIC", "SPYG")</f>
        <v>N/A</v>
      </c>
      <c r="T629" t="str">
        <f>RTD("tos.rtd", , "PROB_OF_EXPIRING", "SPYG")</f>
        <v>N/A</v>
      </c>
      <c r="U629" t="str">
        <f>RTD("tos.rtd", , "PROB_OTM", "SPYG")</f>
        <v>N/A</v>
      </c>
      <c r="V629" t="str">
        <f>RTD("tos.rtd", , "PROB_OF_TOUCHING", "SPYG")</f>
        <v>N/A</v>
      </c>
      <c r="W629" t="str">
        <f>RTD("tos.rtd", , "STRIKE", "SPYG")</f>
        <v>N/A</v>
      </c>
    </row>
    <row r="630" spans="1:23" x14ac:dyDescent="0.45">
      <c r="A630" t="s">
        <v>651</v>
      </c>
      <c r="B630" t="str">
        <f>RTD("tos.rtd", , "DESCRIPTION", ".SPYG201120C52")</f>
        <v>N/A</v>
      </c>
      <c r="C630" t="str">
        <f>RTD("tos.rtd", , "PUT_CALL_RATIO", ".SPYG201120C52")</f>
        <v>N/A</v>
      </c>
      <c r="D630" t="str">
        <f>RTD("tos.rtd", , "IMPL_VOL", ".SPYG201120C52")</f>
        <v>N/A</v>
      </c>
      <c r="E630">
        <f>RTD("tos.rtd", , "LAST", ".SPYG201120C52")</f>
        <v>1.1499999999999999</v>
      </c>
      <c r="F630">
        <f>RTD("tos.rtd", , "VOLUME", ".SPYG201120C52")</f>
        <v>25</v>
      </c>
      <c r="G630">
        <f>RTD("tos.rtd", , "OPEN_INT", ".SPYG201120C52")</f>
        <v>136</v>
      </c>
      <c r="H630">
        <f>RTD("tos.rtd", , "BID", ".SPYG201120C52")</f>
        <v>0.8</v>
      </c>
      <c r="I630">
        <f>RTD("tos.rtd", , "ASK", ".SPYG201120C52")</f>
        <v>1</v>
      </c>
      <c r="J630">
        <f>RTD("tos.rtd", , "HIGH", ".SPYG201120C52")</f>
        <v>1.1499999999999999</v>
      </c>
      <c r="K630">
        <f>RTD("tos.rtd", , "LOW", ".SPYG201120C52")</f>
        <v>1.1499999999999999</v>
      </c>
      <c r="L630">
        <f>RTD("tos.rtd", , "OPEN", ".SPYG201120C52")</f>
        <v>1.1499999999999999</v>
      </c>
      <c r="M630" t="str">
        <f>RTD("tos.rtd", , "DELTA", ".SPYG201120C52")</f>
        <v>N/A</v>
      </c>
      <c r="N630" t="str">
        <f>RTD("tos.rtd", , "GAMMA", ".SPYG201120C52")</f>
        <v>N/A</v>
      </c>
      <c r="O630" t="str">
        <f>RTD("tos.rtd", , "THETA", ".SPYG201120C52")</f>
        <v>N/A</v>
      </c>
      <c r="P630" t="str">
        <f>RTD("tos.rtd", , "VEGA", ".SPYG201120C52")</f>
        <v>N/A</v>
      </c>
      <c r="Q630" t="str">
        <f>RTD("tos.rtd", , "RHO", ".SPYG201120C52")</f>
        <v>N/A</v>
      </c>
      <c r="R630" t="str">
        <f>RTD("tos.rtd", , "INTRINSIC", ".SPYG201120C52")</f>
        <v>N/A</v>
      </c>
      <c r="S630" t="str">
        <f>RTD("tos.rtd", , "EXTRINSIC", ".SPYG201120C52")</f>
        <v>N/A</v>
      </c>
      <c r="T630" t="str">
        <f>RTD("tos.rtd", , "PROB_OF_EXPIRING", ".SPYG201120C52")</f>
        <v>N/A</v>
      </c>
      <c r="U630" t="str">
        <f>RTD("tos.rtd", , "PROB_OTM", ".SPYG201120C52")</f>
        <v>N/A</v>
      </c>
      <c r="V630" t="str">
        <f>RTD("tos.rtd", , "PROB_OF_TOUCHING", ".SPYG201120C52")</f>
        <v>N/A</v>
      </c>
      <c r="W630" t="str">
        <f>RTD("tos.rtd", , "STRIKE", ".SPYG201120C52")</f>
        <v>N/A</v>
      </c>
    </row>
    <row r="631" spans="1:23" x14ac:dyDescent="0.45">
      <c r="A631" t="s">
        <v>652</v>
      </c>
      <c r="B631" t="str">
        <f>RTD("tos.rtd", , "DESCRIPTION", ".SPYG201120P52")</f>
        <v>N/A</v>
      </c>
      <c r="C631" t="str">
        <f>RTD("tos.rtd", , "PUT_CALL_RATIO", ".SPYG201120P52")</f>
        <v>N/A</v>
      </c>
      <c r="D631" t="str">
        <f>RTD("tos.rtd", , "IMPL_VOL", ".SPYG201120P52")</f>
        <v>N/A</v>
      </c>
      <c r="E631" t="str">
        <f>RTD("tos.rtd", , "LAST", ".SPYG201120P52")</f>
        <v>N/A</v>
      </c>
      <c r="F631" t="str">
        <f>RTD("tos.rtd", , "VOLUME", ".SPYG201120P52")</f>
        <v>N/A</v>
      </c>
      <c r="G631" t="str">
        <f>RTD("tos.rtd", , "OPEN_INT", ".SPYG201120P52")</f>
        <v>N/A</v>
      </c>
      <c r="H631" t="str">
        <f>RTD("tos.rtd", , "BID", ".SPYG201120P52")</f>
        <v>N/A</v>
      </c>
      <c r="I631" t="str">
        <f>RTD("tos.rtd", , "ASK", ".SPYG201120P52")</f>
        <v>N/A</v>
      </c>
      <c r="J631" t="str">
        <f>RTD("tos.rtd", , "HIGH", ".SPYG201120P52")</f>
        <v>N/A</v>
      </c>
      <c r="K631" t="str">
        <f>RTD("tos.rtd", , "LOW", ".SPYG201120P52")</f>
        <v>N/A</v>
      </c>
      <c r="L631" t="str">
        <f>RTD("tos.rtd", , "OPEN", ".SPYG201120P52")</f>
        <v>N/A</v>
      </c>
      <c r="M631" t="str">
        <f>RTD("tos.rtd", , "DELTA", ".SPYG201120P52")</f>
        <v>N/A</v>
      </c>
      <c r="N631" t="str">
        <f>RTD("tos.rtd", , "GAMMA", ".SPYG201120P52")</f>
        <v>N/A</v>
      </c>
      <c r="O631" t="str">
        <f>RTD("tos.rtd", , "THETA", ".SPYG201120P52")</f>
        <v>N/A</v>
      </c>
      <c r="P631" t="str">
        <f>RTD("tos.rtd", , "VEGA", ".SPYG201120P52")</f>
        <v>N/A</v>
      </c>
      <c r="Q631" t="str">
        <f>RTD("tos.rtd", , "RHO", ".SPYG201120P52")</f>
        <v>N/A</v>
      </c>
      <c r="R631" t="str">
        <f>RTD("tos.rtd", , "INTRINSIC", ".SPYG201120P52")</f>
        <v>N/A</v>
      </c>
      <c r="S631" t="str">
        <f>RTD("tos.rtd", , "EXTRINSIC", ".SPYG201120P52")</f>
        <v>N/A</v>
      </c>
      <c r="T631" t="str">
        <f>RTD("tos.rtd", , "PROB_OF_EXPIRING", ".SPYG201120P52")</f>
        <v>N/A</v>
      </c>
      <c r="U631" t="str">
        <f>RTD("tos.rtd", , "PROB_OTM", ".SPYG201120P52")</f>
        <v>N/A</v>
      </c>
      <c r="V631" t="str">
        <f>RTD("tos.rtd", , "PROB_OF_TOUCHING", ".SPYG201120P52")</f>
        <v>N/A</v>
      </c>
      <c r="W631" t="str">
        <f>RTD("tos.rtd", , "STRIKE", ".SPYG201120P52")</f>
        <v>N/A</v>
      </c>
    </row>
    <row r="632" spans="1:23" x14ac:dyDescent="0.45">
      <c r="A632" t="s">
        <v>653</v>
      </c>
      <c r="B632" t="str">
        <f>RTD("tos.rtd", , "DESCRIPTION", ".SPYG201120C53")</f>
        <v>N/A</v>
      </c>
      <c r="C632" t="str">
        <f>RTD("tos.rtd", , "PUT_CALL_RATIO", ".SPYG201120C53")</f>
        <v>N/A</v>
      </c>
      <c r="D632" t="str">
        <f>RTD("tos.rtd", , "IMPL_VOL", ".SPYG201120C53")</f>
        <v>N/A</v>
      </c>
      <c r="E632" t="str">
        <f>RTD("tos.rtd", , "LAST", ".SPYG201120C53")</f>
        <v>N/A</v>
      </c>
      <c r="F632" t="str">
        <f>RTD("tos.rtd", , "VOLUME", ".SPYG201120C53")</f>
        <v>N/A</v>
      </c>
      <c r="G632" t="str">
        <f>RTD("tos.rtd", , "OPEN_INT", ".SPYG201120C53")</f>
        <v>N/A</v>
      </c>
      <c r="H632" t="str">
        <f>RTD("tos.rtd", , "BID", ".SPYG201120C53")</f>
        <v>N/A</v>
      </c>
      <c r="I632" t="str">
        <f>RTD("tos.rtd", , "ASK", ".SPYG201120C53")</f>
        <v>N/A</v>
      </c>
      <c r="J632" t="str">
        <f>RTD("tos.rtd", , "HIGH", ".SPYG201120C53")</f>
        <v>N/A</v>
      </c>
      <c r="K632" t="str">
        <f>RTD("tos.rtd", , "LOW", ".SPYG201120C53")</f>
        <v>N/A</v>
      </c>
      <c r="L632" t="str">
        <f>RTD("tos.rtd", , "OPEN", ".SPYG201120C53")</f>
        <v>N/A</v>
      </c>
      <c r="M632" t="str">
        <f>RTD("tos.rtd", , "DELTA", ".SPYG201120C53")</f>
        <v>N/A</v>
      </c>
      <c r="N632" t="str">
        <f>RTD("tos.rtd", , "GAMMA", ".SPYG201120C53")</f>
        <v>N/A</v>
      </c>
      <c r="O632" t="str">
        <f>RTD("tos.rtd", , "THETA", ".SPYG201120C53")</f>
        <v>N/A</v>
      </c>
      <c r="P632" t="str">
        <f>RTD("tos.rtd", , "VEGA", ".SPYG201120C53")</f>
        <v>N/A</v>
      </c>
      <c r="Q632" t="str">
        <f>RTD("tos.rtd", , "RHO", ".SPYG201120C53")</f>
        <v>N/A</v>
      </c>
      <c r="R632" t="str">
        <f>RTD("tos.rtd", , "INTRINSIC", ".SPYG201120C53")</f>
        <v>N/A</v>
      </c>
      <c r="S632" t="str">
        <f>RTD("tos.rtd", , "EXTRINSIC", ".SPYG201120C53")</f>
        <v>N/A</v>
      </c>
      <c r="T632" t="str">
        <f>RTD("tos.rtd", , "PROB_OF_EXPIRING", ".SPYG201120C53")</f>
        <v>N/A</v>
      </c>
      <c r="U632" t="str">
        <f>RTD("tos.rtd", , "PROB_OTM", ".SPYG201120C53")</f>
        <v>N/A</v>
      </c>
      <c r="V632" t="str">
        <f>RTD("tos.rtd", , "PROB_OF_TOUCHING", ".SPYG201120C53")</f>
        <v>N/A</v>
      </c>
      <c r="W632" t="str">
        <f>RTD("tos.rtd", , "STRIKE", ".SPYG201120C53")</f>
        <v>N/A</v>
      </c>
    </row>
    <row r="633" spans="1:23" x14ac:dyDescent="0.45">
      <c r="A633" t="s">
        <v>654</v>
      </c>
      <c r="B633" t="str">
        <f>RTD("tos.rtd", , "DESCRIPTION", ".SPYG201120P53")</f>
        <v>N/A</v>
      </c>
      <c r="C633" t="str">
        <f>RTD("tos.rtd", , "PUT_CALL_RATIO", ".SPYG201120P53")</f>
        <v>N/A</v>
      </c>
      <c r="D633" t="str">
        <f>RTD("tos.rtd", , "IMPL_VOL", ".SPYG201120P53")</f>
        <v>N/A</v>
      </c>
      <c r="E633" t="str">
        <f>RTD("tos.rtd", , "LAST", ".SPYG201120P53")</f>
        <v>N/A</v>
      </c>
      <c r="F633" t="str">
        <f>RTD("tos.rtd", , "VOLUME", ".SPYG201120P53")</f>
        <v>N/A</v>
      </c>
      <c r="G633" t="str">
        <f>RTD("tos.rtd", , "OPEN_INT", ".SPYG201120P53")</f>
        <v>N/A</v>
      </c>
      <c r="H633" t="str">
        <f>RTD("tos.rtd", , "BID", ".SPYG201120P53")</f>
        <v>N/A</v>
      </c>
      <c r="I633" t="str">
        <f>RTD("tos.rtd", , "ASK", ".SPYG201120P53")</f>
        <v>N/A</v>
      </c>
      <c r="J633" t="str">
        <f>RTD("tos.rtd", , "HIGH", ".SPYG201120P53")</f>
        <v>N/A</v>
      </c>
      <c r="K633" t="str">
        <f>RTD("tos.rtd", , "LOW", ".SPYG201120P53")</f>
        <v>N/A</v>
      </c>
      <c r="L633" t="str">
        <f>RTD("tos.rtd", , "OPEN", ".SPYG201120P53")</f>
        <v>N/A</v>
      </c>
      <c r="M633" t="str">
        <f>RTD("tos.rtd", , "DELTA", ".SPYG201120P53")</f>
        <v>N/A</v>
      </c>
      <c r="N633" t="str">
        <f>RTD("tos.rtd", , "GAMMA", ".SPYG201120P53")</f>
        <v>N/A</v>
      </c>
      <c r="O633" t="str">
        <f>RTD("tos.rtd", , "THETA", ".SPYG201120P53")</f>
        <v>N/A</v>
      </c>
      <c r="P633" t="str">
        <f>RTD("tos.rtd", , "VEGA", ".SPYG201120P53")</f>
        <v>N/A</v>
      </c>
      <c r="Q633" t="str">
        <f>RTD("tos.rtd", , "RHO", ".SPYG201120P53")</f>
        <v>N/A</v>
      </c>
      <c r="R633" t="str">
        <f>RTD("tos.rtd", , "INTRINSIC", ".SPYG201120P53")</f>
        <v>N/A</v>
      </c>
      <c r="S633" t="str">
        <f>RTD("tos.rtd", , "EXTRINSIC", ".SPYG201120P53")</f>
        <v>N/A</v>
      </c>
      <c r="T633" t="str">
        <f>RTD("tos.rtd", , "PROB_OF_EXPIRING", ".SPYG201120P53")</f>
        <v>N/A</v>
      </c>
      <c r="U633" t="str">
        <f>RTD("tos.rtd", , "PROB_OTM", ".SPYG201120P53")</f>
        <v>N/A</v>
      </c>
      <c r="V633" t="str">
        <f>RTD("tos.rtd", , "PROB_OF_TOUCHING", ".SPYG201120P53")</f>
        <v>N/A</v>
      </c>
      <c r="W633" t="str">
        <f>RTD("tos.rtd", , "STRIKE", ".SPYG201120P53")</f>
        <v>N/A</v>
      </c>
    </row>
    <row r="634" spans="1:23" x14ac:dyDescent="0.45">
      <c r="A634" t="s">
        <v>655</v>
      </c>
      <c r="B634" t="str">
        <f>RTD("tos.rtd", , "DESCRIPTION", "SPYV")</f>
        <v>SPDR SERIES TRUST PRTFLO S&amp;P500 VL ETF</v>
      </c>
      <c r="C634">
        <f>RTD("tos.rtd", , "PUT_CALL_RATIO", "SPYV")</f>
        <v>6.3E-2</v>
      </c>
      <c r="D634" t="str">
        <f>RTD("tos.rtd", , "IMPL_VOL", "SPYV")</f>
        <v>23.87%</v>
      </c>
      <c r="E634">
        <f>RTD("tos.rtd", , "LAST", "SPYV")</f>
        <v>32.380000000000003</v>
      </c>
      <c r="F634">
        <f>RTD("tos.rtd", , "VOLUME", "SPYV")</f>
        <v>3173897</v>
      </c>
      <c r="G634">
        <f>RTD("tos.rtd", , "OPEN_INT", "SPYV")</f>
        <v>0</v>
      </c>
      <c r="H634">
        <f>RTD("tos.rtd", , "BID", "SPYV")</f>
        <v>32.25</v>
      </c>
      <c r="I634">
        <f>RTD("tos.rtd", , "ASK", "SPYV")</f>
        <v>32.630000000000003</v>
      </c>
      <c r="J634">
        <f>RTD("tos.rtd", , "HIGH", "SPYV")</f>
        <v>32.65</v>
      </c>
      <c r="K634">
        <f>RTD("tos.rtd", , "LOW", "SPYV")</f>
        <v>32.149900000000002</v>
      </c>
      <c r="L634">
        <f>RTD("tos.rtd", , "OPEN", "SPYV")</f>
        <v>32.57</v>
      </c>
      <c r="M634">
        <f>RTD("tos.rtd", , "DELTA", "SPYV")</f>
        <v>1</v>
      </c>
      <c r="N634">
        <f>RTD("tos.rtd", , "GAMMA", "SPYV")</f>
        <v>0</v>
      </c>
      <c r="O634">
        <f>RTD("tos.rtd", , "THETA", "SPYV")</f>
        <v>0</v>
      </c>
      <c r="P634">
        <f>RTD("tos.rtd", , "VEGA", "SPYV")</f>
        <v>0</v>
      </c>
      <c r="Q634">
        <f>RTD("tos.rtd", , "RHO", "SPYV")</f>
        <v>0</v>
      </c>
      <c r="R634" t="str">
        <f>RTD("tos.rtd", , "INTRINSIC", "SPYV")</f>
        <v>N/A</v>
      </c>
      <c r="S634" t="str">
        <f>RTD("tos.rtd", , "EXTRINSIC", "SPYV")</f>
        <v>N/A</v>
      </c>
      <c r="T634" t="str">
        <f>RTD("tos.rtd", , "PROB_OF_EXPIRING", "SPYV")</f>
        <v>N/A</v>
      </c>
      <c r="U634" t="str">
        <f>RTD("tos.rtd", , "PROB_OTM", "SPYV")</f>
        <v>N/A</v>
      </c>
      <c r="V634" t="str">
        <f>RTD("tos.rtd", , "PROB_OF_TOUCHING", "SPYV")</f>
        <v>N/A</v>
      </c>
      <c r="W634" t="str">
        <f>RTD("tos.rtd", , "STRIKE", "SPYV")</f>
        <v>N/A</v>
      </c>
    </row>
    <row r="635" spans="1:23" x14ac:dyDescent="0.45">
      <c r="A635" t="s">
        <v>656</v>
      </c>
      <c r="B635" t="str">
        <f>RTD("tos.rtd", , "DESCRIPTION", ".SPYV201120C33")</f>
        <v>N/A</v>
      </c>
      <c r="C635" t="str">
        <f>RTD("tos.rtd", , "PUT_CALL_RATIO", ".SPYV201120C33")</f>
        <v>N/A</v>
      </c>
      <c r="D635" t="str">
        <f>RTD("tos.rtd", , "IMPL_VOL", ".SPYV201120C33")</f>
        <v>N/A</v>
      </c>
      <c r="E635" t="str">
        <f>RTD("tos.rtd", , "LAST", ".SPYV201120C33")</f>
        <v>N/A</v>
      </c>
      <c r="F635" t="str">
        <f>RTD("tos.rtd", , "VOLUME", ".SPYV201120C33")</f>
        <v>N/A</v>
      </c>
      <c r="G635" t="str">
        <f>RTD("tos.rtd", , "OPEN_INT", ".SPYV201120C33")</f>
        <v>N/A</v>
      </c>
      <c r="H635" t="str">
        <f>RTD("tos.rtd", , "BID", ".SPYV201120C33")</f>
        <v>N/A</v>
      </c>
      <c r="I635" t="str">
        <f>RTD("tos.rtd", , "ASK", ".SPYV201120C33")</f>
        <v>N/A</v>
      </c>
      <c r="J635" t="str">
        <f>RTD("tos.rtd", , "HIGH", ".SPYV201120C33")</f>
        <v>N/A</v>
      </c>
      <c r="K635" t="str">
        <f>RTD("tos.rtd", , "LOW", ".SPYV201120C33")</f>
        <v>N/A</v>
      </c>
      <c r="L635" t="str">
        <f>RTD("tos.rtd", , "OPEN", ".SPYV201120C33")</f>
        <v>N/A</v>
      </c>
      <c r="M635" t="str">
        <f>RTD("tos.rtd", , "DELTA", ".SPYV201120C33")</f>
        <v>N/A</v>
      </c>
      <c r="N635" t="str">
        <f>RTD("tos.rtd", , "GAMMA", ".SPYV201120C33")</f>
        <v>N/A</v>
      </c>
      <c r="O635" t="str">
        <f>RTD("tos.rtd", , "THETA", ".SPYV201120C33")</f>
        <v>N/A</v>
      </c>
      <c r="P635" t="str">
        <f>RTD("tos.rtd", , "VEGA", ".SPYV201120C33")</f>
        <v>N/A</v>
      </c>
      <c r="Q635" t="str">
        <f>RTD("tos.rtd", , "RHO", ".SPYV201120C33")</f>
        <v>N/A</v>
      </c>
      <c r="R635" t="str">
        <f>RTD("tos.rtd", , "INTRINSIC", ".SPYV201120C33")</f>
        <v>N/A</v>
      </c>
      <c r="S635" t="str">
        <f>RTD("tos.rtd", , "EXTRINSIC", ".SPYV201120C33")</f>
        <v>N/A</v>
      </c>
      <c r="T635" t="str">
        <f>RTD("tos.rtd", , "PROB_OF_EXPIRING", ".SPYV201120C33")</f>
        <v>N/A</v>
      </c>
      <c r="U635" t="str">
        <f>RTD("tos.rtd", , "PROB_OTM", ".SPYV201120C33")</f>
        <v>N/A</v>
      </c>
      <c r="V635" t="str">
        <f>RTD("tos.rtd", , "PROB_OF_TOUCHING", ".SPYV201120C33")</f>
        <v>N/A</v>
      </c>
      <c r="W635" t="str">
        <f>RTD("tos.rtd", , "STRIKE", ".SPYV201120C33")</f>
        <v>N/A</v>
      </c>
    </row>
    <row r="636" spans="1:23" x14ac:dyDescent="0.45">
      <c r="A636" t="s">
        <v>657</v>
      </c>
      <c r="B636" t="str">
        <f>RTD("tos.rtd", , "DESCRIPTION", ".SPYV201120P33")</f>
        <v>N/A</v>
      </c>
      <c r="C636" t="str">
        <f>RTD("tos.rtd", , "PUT_CALL_RATIO", ".SPYV201120P33")</f>
        <v>N/A</v>
      </c>
      <c r="D636" t="str">
        <f>RTD("tos.rtd", , "IMPL_VOL", ".SPYV201120P33")</f>
        <v>N/A</v>
      </c>
      <c r="E636" t="str">
        <f>RTD("tos.rtd", , "LAST", ".SPYV201120P33")</f>
        <v>N/A</v>
      </c>
      <c r="F636" t="str">
        <f>RTD("tos.rtd", , "VOLUME", ".SPYV201120P33")</f>
        <v>N/A</v>
      </c>
      <c r="G636" t="str">
        <f>RTD("tos.rtd", , "OPEN_INT", ".SPYV201120P33")</f>
        <v>N/A</v>
      </c>
      <c r="H636" t="str">
        <f>RTD("tos.rtd", , "BID", ".SPYV201120P33")</f>
        <v>N/A</v>
      </c>
      <c r="I636" t="str">
        <f>RTD("tos.rtd", , "ASK", ".SPYV201120P33")</f>
        <v>N/A</v>
      </c>
      <c r="J636" t="str">
        <f>RTD("tos.rtd", , "HIGH", ".SPYV201120P33")</f>
        <v>N/A</v>
      </c>
      <c r="K636" t="str">
        <f>RTD("tos.rtd", , "LOW", ".SPYV201120P33")</f>
        <v>N/A</v>
      </c>
      <c r="L636" t="str">
        <f>RTD("tos.rtd", , "OPEN", ".SPYV201120P33")</f>
        <v>N/A</v>
      </c>
      <c r="M636" t="str">
        <f>RTD("tos.rtd", , "DELTA", ".SPYV201120P33")</f>
        <v>N/A</v>
      </c>
      <c r="N636" t="str">
        <f>RTD("tos.rtd", , "GAMMA", ".SPYV201120P33")</f>
        <v>N/A</v>
      </c>
      <c r="O636" t="str">
        <f>RTD("tos.rtd", , "THETA", ".SPYV201120P33")</f>
        <v>N/A</v>
      </c>
      <c r="P636" t="str">
        <f>RTD("tos.rtd", , "VEGA", ".SPYV201120P33")</f>
        <v>N/A</v>
      </c>
      <c r="Q636" t="str">
        <f>RTD("tos.rtd", , "RHO", ".SPYV201120P33")</f>
        <v>N/A</v>
      </c>
      <c r="R636" t="str">
        <f>RTD("tos.rtd", , "INTRINSIC", ".SPYV201120P33")</f>
        <v>N/A</v>
      </c>
      <c r="S636" t="str">
        <f>RTD("tos.rtd", , "EXTRINSIC", ".SPYV201120P33")</f>
        <v>N/A</v>
      </c>
      <c r="T636" t="str">
        <f>RTD("tos.rtd", , "PROB_OF_EXPIRING", ".SPYV201120P33")</f>
        <v>N/A</v>
      </c>
      <c r="U636" t="str">
        <f>RTD("tos.rtd", , "PROB_OTM", ".SPYV201120P33")</f>
        <v>N/A</v>
      </c>
      <c r="V636" t="str">
        <f>RTD("tos.rtd", , "PROB_OF_TOUCHING", ".SPYV201120P33")</f>
        <v>N/A</v>
      </c>
      <c r="W636" t="str">
        <f>RTD("tos.rtd", , "STRIKE", ".SPYV201120P33")</f>
        <v>N/A</v>
      </c>
    </row>
    <row r="637" spans="1:23" x14ac:dyDescent="0.45">
      <c r="A637" t="s">
        <v>658</v>
      </c>
      <c r="B637" t="str">
        <f>RTD("tos.rtd", , "DESCRIPTION", "SRVR")</f>
        <v>N/A</v>
      </c>
      <c r="C637">
        <f>RTD("tos.rtd", , "PUT_CALL_RATIO", "SRVR")</f>
        <v>4</v>
      </c>
      <c r="D637" t="str">
        <f>RTD("tos.rtd", , "IMPL_VOL", "SRVR")</f>
        <v>54.79%</v>
      </c>
      <c r="E637">
        <f>RTD("tos.rtd", , "LAST", "SRVR")</f>
        <v>35.770000000000003</v>
      </c>
      <c r="F637">
        <f>RTD("tos.rtd", , "VOLUME", "SRVR")</f>
        <v>2117625</v>
      </c>
      <c r="G637">
        <f>RTD("tos.rtd", , "OPEN_INT", "SRVR")</f>
        <v>0</v>
      </c>
      <c r="H637">
        <f>RTD("tos.rtd", , "BID", "SRVR")</f>
        <v>33.770000000000003</v>
      </c>
      <c r="I637">
        <f>RTD("tos.rtd", , "ASK", "SRVR")</f>
        <v>36.700000000000003</v>
      </c>
      <c r="J637">
        <f>RTD("tos.rtd", , "HIGH", "SRVR")</f>
        <v>36.119900000000001</v>
      </c>
      <c r="K637">
        <f>RTD("tos.rtd", , "LOW", "SRVR")</f>
        <v>35.664999999999999</v>
      </c>
      <c r="L637">
        <f>RTD("tos.rtd", , "OPEN", "SRVR")</f>
        <v>36.049999999999997</v>
      </c>
      <c r="M637">
        <f>RTD("tos.rtd", , "DELTA", "SRVR")</f>
        <v>1</v>
      </c>
      <c r="N637">
        <f>RTD("tos.rtd", , "GAMMA", "SRVR")</f>
        <v>0</v>
      </c>
      <c r="O637">
        <f>RTD("tos.rtd", , "THETA", "SRVR")</f>
        <v>0</v>
      </c>
      <c r="P637">
        <f>RTD("tos.rtd", , "VEGA", "SRVR")</f>
        <v>0</v>
      </c>
      <c r="Q637">
        <f>RTD("tos.rtd", , "RHO", "SRVR")</f>
        <v>0</v>
      </c>
      <c r="R637" t="str">
        <f>RTD("tos.rtd", , "INTRINSIC", "SRVR")</f>
        <v>N/A</v>
      </c>
      <c r="S637" t="str">
        <f>RTD("tos.rtd", , "EXTRINSIC", "SRVR")</f>
        <v>N/A</v>
      </c>
      <c r="T637" t="str">
        <f>RTD("tos.rtd", , "PROB_OF_EXPIRING", "SRVR")</f>
        <v>N/A</v>
      </c>
      <c r="U637" t="str">
        <f>RTD("tos.rtd", , "PROB_OTM", "SRVR")</f>
        <v>N/A</v>
      </c>
      <c r="V637" t="str">
        <f>RTD("tos.rtd", , "PROB_OF_TOUCHING", "SRVR")</f>
        <v>N/A</v>
      </c>
      <c r="W637" t="str">
        <f>RTD("tos.rtd", , "STRIKE", "SRVR")</f>
        <v>N/A</v>
      </c>
    </row>
    <row r="638" spans="1:23" x14ac:dyDescent="0.45">
      <c r="A638" t="s">
        <v>659</v>
      </c>
      <c r="B638" t="str">
        <f>RTD("tos.rtd", , "DESCRIPTION", ".SRVR201120C35")</f>
        <v>N/A</v>
      </c>
      <c r="C638" t="str">
        <f>RTD("tos.rtd", , "PUT_CALL_RATIO", ".SRVR201120C35")</f>
        <v>N/A</v>
      </c>
      <c r="D638" t="str">
        <f>RTD("tos.rtd", , "IMPL_VOL", ".SRVR201120C35")</f>
        <v>N/A</v>
      </c>
      <c r="E638" t="str">
        <f>RTD("tos.rtd", , "LAST", ".SRVR201120C35")</f>
        <v>N/A</v>
      </c>
      <c r="F638" t="str">
        <f>RTD("tos.rtd", , "VOLUME", ".SRVR201120C35")</f>
        <v>N/A</v>
      </c>
      <c r="G638" t="str">
        <f>RTD("tos.rtd", , "OPEN_INT", ".SRVR201120C35")</f>
        <v>N/A</v>
      </c>
      <c r="H638" t="str">
        <f>RTD("tos.rtd", , "BID", ".SRVR201120C35")</f>
        <v>N/A</v>
      </c>
      <c r="I638" t="str">
        <f>RTD("tos.rtd", , "ASK", ".SRVR201120C35")</f>
        <v>N/A</v>
      </c>
      <c r="J638" t="str">
        <f>RTD("tos.rtd", , "HIGH", ".SRVR201120C35")</f>
        <v>N/A</v>
      </c>
      <c r="K638" t="str">
        <f>RTD("tos.rtd", , "LOW", ".SRVR201120C35")</f>
        <v>N/A</v>
      </c>
      <c r="L638" t="str">
        <f>RTD("tos.rtd", , "OPEN", ".SRVR201120C35")</f>
        <v>N/A</v>
      </c>
      <c r="M638" t="str">
        <f>RTD("tos.rtd", , "DELTA", ".SRVR201120C35")</f>
        <v>N/A</v>
      </c>
      <c r="N638" t="str">
        <f>RTD("tos.rtd", , "GAMMA", ".SRVR201120C35")</f>
        <v>N/A</v>
      </c>
      <c r="O638" t="str">
        <f>RTD("tos.rtd", , "THETA", ".SRVR201120C35")</f>
        <v>N/A</v>
      </c>
      <c r="P638" t="str">
        <f>RTD("tos.rtd", , "VEGA", ".SRVR201120C35")</f>
        <v>N/A</v>
      </c>
      <c r="Q638" t="str">
        <f>RTD("tos.rtd", , "RHO", ".SRVR201120C35")</f>
        <v>N/A</v>
      </c>
      <c r="R638" t="str">
        <f>RTD("tos.rtd", , "INTRINSIC", ".SRVR201120C35")</f>
        <v>N/A</v>
      </c>
      <c r="S638" t="str">
        <f>RTD("tos.rtd", , "EXTRINSIC", ".SRVR201120C35")</f>
        <v>N/A</v>
      </c>
      <c r="T638" t="str">
        <f>RTD("tos.rtd", , "PROB_OF_EXPIRING", ".SRVR201120C35")</f>
        <v>N/A</v>
      </c>
      <c r="U638" t="str">
        <f>RTD("tos.rtd", , "PROB_OTM", ".SRVR201120C35")</f>
        <v>N/A</v>
      </c>
      <c r="V638" t="str">
        <f>RTD("tos.rtd", , "PROB_OF_TOUCHING", ".SRVR201120C35")</f>
        <v>N/A</v>
      </c>
      <c r="W638" t="str">
        <f>RTD("tos.rtd", , "STRIKE", ".SRVR201120C35")</f>
        <v>N/A</v>
      </c>
    </row>
    <row r="639" spans="1:23" x14ac:dyDescent="0.45">
      <c r="A639" t="s">
        <v>660</v>
      </c>
      <c r="B639" t="str">
        <f>RTD("tos.rtd", , "DESCRIPTION", ".SRVR201120P35")</f>
        <v>N/A</v>
      </c>
      <c r="C639" t="str">
        <f>RTD("tos.rtd", , "PUT_CALL_RATIO", ".SRVR201120P35")</f>
        <v>N/A</v>
      </c>
      <c r="D639" t="str">
        <f>RTD("tos.rtd", , "IMPL_VOL", ".SRVR201120P35")</f>
        <v>N/A</v>
      </c>
      <c r="E639">
        <f>RTD("tos.rtd", , "LAST", ".SRVR201120P35")</f>
        <v>0.5</v>
      </c>
      <c r="F639">
        <f>RTD("tos.rtd", , "VOLUME", ".SRVR201120P35")</f>
        <v>0</v>
      </c>
      <c r="G639">
        <f>RTD("tos.rtd", , "OPEN_INT", ".SRVR201120P35")</f>
        <v>5</v>
      </c>
      <c r="H639">
        <f>RTD("tos.rtd", , "BID", ".SRVR201120P35")</f>
        <v>0.05</v>
      </c>
      <c r="I639">
        <f>RTD("tos.rtd", , "ASK", ".SRVR201120P35")</f>
        <v>0.45</v>
      </c>
      <c r="J639">
        <f>RTD("tos.rtd", , "HIGH", ".SRVR201120P35")</f>
        <v>0</v>
      </c>
      <c r="K639">
        <f>RTD("tos.rtd", , "LOW", ".SRVR201120P35")</f>
        <v>0</v>
      </c>
      <c r="L639">
        <f>RTD("tos.rtd", , "OPEN", ".SRVR201120P35")</f>
        <v>0</v>
      </c>
      <c r="M639" t="str">
        <f>RTD("tos.rtd", , "DELTA", ".SRVR201120P35")</f>
        <v>N/A</v>
      </c>
      <c r="N639" t="str">
        <f>RTD("tos.rtd", , "GAMMA", ".SRVR201120P35")</f>
        <v>N/A</v>
      </c>
      <c r="O639" t="str">
        <f>RTD("tos.rtd", , "THETA", ".SRVR201120P35")</f>
        <v>N/A</v>
      </c>
      <c r="P639" t="str">
        <f>RTD("tos.rtd", , "VEGA", ".SRVR201120P35")</f>
        <v>N/A</v>
      </c>
      <c r="Q639" t="str">
        <f>RTD("tos.rtd", , "RHO", ".SRVR201120P35")</f>
        <v>N/A</v>
      </c>
      <c r="R639" t="str">
        <f>RTD("tos.rtd", , "INTRINSIC", ".SRVR201120P35")</f>
        <v>N/A</v>
      </c>
      <c r="S639" t="str">
        <f>RTD("tos.rtd", , "EXTRINSIC", ".SRVR201120P35")</f>
        <v>N/A</v>
      </c>
      <c r="T639" t="str">
        <f>RTD("tos.rtd", , "PROB_OF_EXPIRING", ".SRVR201120P35")</f>
        <v>N/A</v>
      </c>
      <c r="U639" t="str">
        <f>RTD("tos.rtd", , "PROB_OTM", ".SRVR201120P35")</f>
        <v>N/A</v>
      </c>
      <c r="V639" t="str">
        <f>RTD("tos.rtd", , "PROB_OF_TOUCHING", ".SRVR201120P35")</f>
        <v>N/A</v>
      </c>
      <c r="W639" t="str">
        <f>RTD("tos.rtd", , "STRIKE", ".SRVR201120P35")</f>
        <v>N/A</v>
      </c>
    </row>
    <row r="640" spans="1:23" x14ac:dyDescent="0.45">
      <c r="A640" t="s">
        <v>661</v>
      </c>
      <c r="B640" t="str">
        <f>RTD("tos.rtd", , "DESCRIPTION", ".SRVR201120C36")</f>
        <v>N/A</v>
      </c>
      <c r="C640" t="str">
        <f>RTD("tos.rtd", , "PUT_CALL_RATIO", ".SRVR201120C36")</f>
        <v>N/A</v>
      </c>
      <c r="D640" t="str">
        <f>RTD("tos.rtd", , "IMPL_VOL", ".SRVR201120C36")</f>
        <v>N/A</v>
      </c>
      <c r="E640" t="str">
        <f>RTD("tos.rtd", , "LAST", ".SRVR201120C36")</f>
        <v>N/A</v>
      </c>
      <c r="F640" t="str">
        <f>RTD("tos.rtd", , "VOLUME", ".SRVR201120C36")</f>
        <v>N/A</v>
      </c>
      <c r="G640" t="str">
        <f>RTD("tos.rtd", , "OPEN_INT", ".SRVR201120C36")</f>
        <v>N/A</v>
      </c>
      <c r="H640" t="str">
        <f>RTD("tos.rtd", , "BID", ".SRVR201120C36")</f>
        <v>N/A</v>
      </c>
      <c r="I640" t="str">
        <f>RTD("tos.rtd", , "ASK", ".SRVR201120C36")</f>
        <v>N/A</v>
      </c>
      <c r="J640" t="str">
        <f>RTD("tos.rtd", , "HIGH", ".SRVR201120C36")</f>
        <v>N/A</v>
      </c>
      <c r="K640" t="str">
        <f>RTD("tos.rtd", , "LOW", ".SRVR201120C36")</f>
        <v>N/A</v>
      </c>
      <c r="L640" t="str">
        <f>RTD("tos.rtd", , "OPEN", ".SRVR201120C36")</f>
        <v>N/A</v>
      </c>
      <c r="M640" t="str">
        <f>RTD("tos.rtd", , "DELTA", ".SRVR201120C36")</f>
        <v>N/A</v>
      </c>
      <c r="N640" t="str">
        <f>RTD("tos.rtd", , "GAMMA", ".SRVR201120C36")</f>
        <v>N/A</v>
      </c>
      <c r="O640" t="str">
        <f>RTD("tos.rtd", , "THETA", ".SRVR201120C36")</f>
        <v>N/A</v>
      </c>
      <c r="P640" t="str">
        <f>RTD("tos.rtd", , "VEGA", ".SRVR201120C36")</f>
        <v>N/A</v>
      </c>
      <c r="Q640" t="str">
        <f>RTD("tos.rtd", , "RHO", ".SRVR201120C36")</f>
        <v>N/A</v>
      </c>
      <c r="R640" t="str">
        <f>RTD("tos.rtd", , "INTRINSIC", ".SRVR201120C36")</f>
        <v>N/A</v>
      </c>
      <c r="S640" t="str">
        <f>RTD("tos.rtd", , "EXTRINSIC", ".SRVR201120C36")</f>
        <v>N/A</v>
      </c>
      <c r="T640" t="str">
        <f>RTD("tos.rtd", , "PROB_OF_EXPIRING", ".SRVR201120C36")</f>
        <v>N/A</v>
      </c>
      <c r="U640" t="str">
        <f>RTD("tos.rtd", , "PROB_OTM", ".SRVR201120C36")</f>
        <v>N/A</v>
      </c>
      <c r="V640" t="str">
        <f>RTD("tos.rtd", , "PROB_OF_TOUCHING", ".SRVR201120C36")</f>
        <v>N/A</v>
      </c>
      <c r="W640" t="str">
        <f>RTD("tos.rtd", , "STRIKE", ".SRVR201120C36")</f>
        <v>N/A</v>
      </c>
    </row>
    <row r="641" spans="1:23" x14ac:dyDescent="0.45">
      <c r="A641" t="s">
        <v>662</v>
      </c>
      <c r="B641" t="str">
        <f>RTD("tos.rtd", , "DESCRIPTION", ".SRVR201120P36")</f>
        <v>N/A</v>
      </c>
      <c r="C641" t="str">
        <f>RTD("tos.rtd", , "PUT_CALL_RATIO", ".SRVR201120P36")</f>
        <v>N/A</v>
      </c>
      <c r="D641" t="str">
        <f>RTD("tos.rtd", , "IMPL_VOL", ".SRVR201120P36")</f>
        <v>N/A</v>
      </c>
      <c r="E641" t="str">
        <f>RTD("tos.rtd", , "LAST", ".SRVR201120P36")</f>
        <v>N/A</v>
      </c>
      <c r="F641" t="str">
        <f>RTD("tos.rtd", , "VOLUME", ".SRVR201120P36")</f>
        <v>N/A</v>
      </c>
      <c r="G641" t="str">
        <f>RTD("tos.rtd", , "OPEN_INT", ".SRVR201120P36")</f>
        <v>N/A</v>
      </c>
      <c r="H641" t="str">
        <f>RTD("tos.rtd", , "BID", ".SRVR201120P36")</f>
        <v>N/A</v>
      </c>
      <c r="I641" t="str">
        <f>RTD("tos.rtd", , "ASK", ".SRVR201120P36")</f>
        <v>N/A</v>
      </c>
      <c r="J641" t="str">
        <f>RTD("tos.rtd", , "HIGH", ".SRVR201120P36")</f>
        <v>N/A</v>
      </c>
      <c r="K641" t="str">
        <f>RTD("tos.rtd", , "LOW", ".SRVR201120P36")</f>
        <v>N/A</v>
      </c>
      <c r="L641" t="str">
        <f>RTD("tos.rtd", , "OPEN", ".SRVR201120P36")</f>
        <v>N/A</v>
      </c>
      <c r="M641" t="str">
        <f>RTD("tos.rtd", , "DELTA", ".SRVR201120P36")</f>
        <v>N/A</v>
      </c>
      <c r="N641" t="str">
        <f>RTD("tos.rtd", , "GAMMA", ".SRVR201120P36")</f>
        <v>N/A</v>
      </c>
      <c r="O641" t="str">
        <f>RTD("tos.rtd", , "THETA", ".SRVR201120P36")</f>
        <v>N/A</v>
      </c>
      <c r="P641" t="str">
        <f>RTD("tos.rtd", , "VEGA", ".SRVR201120P36")</f>
        <v>N/A</v>
      </c>
      <c r="Q641" t="str">
        <f>RTD("tos.rtd", , "RHO", ".SRVR201120P36")</f>
        <v>N/A</v>
      </c>
      <c r="R641" t="str">
        <f>RTD("tos.rtd", , "INTRINSIC", ".SRVR201120P36")</f>
        <v>N/A</v>
      </c>
      <c r="S641" t="str">
        <f>RTD("tos.rtd", , "EXTRINSIC", ".SRVR201120P36")</f>
        <v>N/A</v>
      </c>
      <c r="T641" t="str">
        <f>RTD("tos.rtd", , "PROB_OF_EXPIRING", ".SRVR201120P36")</f>
        <v>N/A</v>
      </c>
      <c r="U641" t="str">
        <f>RTD("tos.rtd", , "PROB_OTM", ".SRVR201120P36")</f>
        <v>N/A</v>
      </c>
      <c r="V641" t="str">
        <f>RTD("tos.rtd", , "PROB_OF_TOUCHING", ".SRVR201120P36")</f>
        <v>N/A</v>
      </c>
      <c r="W641" t="str">
        <f>RTD("tos.rtd", , "STRIKE", ".SRVR201120P36")</f>
        <v>N/A</v>
      </c>
    </row>
    <row r="642" spans="1:23" x14ac:dyDescent="0.45">
      <c r="A642" t="s">
        <v>663</v>
      </c>
      <c r="B642" t="str">
        <f>RTD("tos.rtd", , "DESCRIPTION", "SSO")</f>
        <v>N/A</v>
      </c>
      <c r="C642">
        <f>RTD("tos.rtd", , "PUT_CALL_RATIO", "SSO")</f>
        <v>1.1950000000000001</v>
      </c>
      <c r="D642" t="str">
        <f>RTD("tos.rtd", , "IMPL_VOL", "SSO")</f>
        <v>31.93%</v>
      </c>
      <c r="E642">
        <f>RTD("tos.rtd", , "LAST", "SSO")</f>
        <v>81.22</v>
      </c>
      <c r="F642">
        <f>RTD("tos.rtd", , "VOLUME", "SSO")</f>
        <v>2166283</v>
      </c>
      <c r="G642">
        <f>RTD("tos.rtd", , "OPEN_INT", "SSO")</f>
        <v>0</v>
      </c>
      <c r="H642">
        <f>RTD("tos.rtd", , "BID", "SSO")</f>
        <v>80.930000000000007</v>
      </c>
      <c r="I642">
        <f>RTD("tos.rtd", , "ASK", "SSO")</f>
        <v>80.959999999999994</v>
      </c>
      <c r="J642">
        <f>RTD("tos.rtd", , "HIGH", "SSO")</f>
        <v>82.68</v>
      </c>
      <c r="K642">
        <f>RTD("tos.rtd", , "LOW", "SSO")</f>
        <v>80.290000000000006</v>
      </c>
      <c r="L642">
        <f>RTD("tos.rtd", , "OPEN", "SSO")</f>
        <v>82.31</v>
      </c>
      <c r="M642">
        <f>RTD("tos.rtd", , "DELTA", "SSO")</f>
        <v>1</v>
      </c>
      <c r="N642">
        <f>RTD("tos.rtd", , "GAMMA", "SSO")</f>
        <v>0</v>
      </c>
      <c r="O642">
        <f>RTD("tos.rtd", , "THETA", "SSO")</f>
        <v>0</v>
      </c>
      <c r="P642">
        <f>RTD("tos.rtd", , "VEGA", "SSO")</f>
        <v>0</v>
      </c>
      <c r="Q642">
        <f>RTD("tos.rtd", , "RHO", "SSO")</f>
        <v>0</v>
      </c>
      <c r="R642" t="str">
        <f>RTD("tos.rtd", , "INTRINSIC", "SSO")</f>
        <v>N/A</v>
      </c>
      <c r="S642" t="str">
        <f>RTD("tos.rtd", , "EXTRINSIC", "SSO")</f>
        <v>N/A</v>
      </c>
      <c r="T642" t="str">
        <f>RTD("tos.rtd", , "PROB_OF_EXPIRING", "SSO")</f>
        <v>N/A</v>
      </c>
      <c r="U642" t="str">
        <f>RTD("tos.rtd", , "PROB_OTM", "SSO")</f>
        <v>N/A</v>
      </c>
      <c r="V642" t="str">
        <f>RTD("tos.rtd", , "PROB_OF_TOUCHING", "SSO")</f>
        <v>N/A</v>
      </c>
      <c r="W642" t="str">
        <f>RTD("tos.rtd", , "STRIKE", "SSO")</f>
        <v>N/A</v>
      </c>
    </row>
    <row r="643" spans="1:23" x14ac:dyDescent="0.45">
      <c r="A643" t="s">
        <v>664</v>
      </c>
      <c r="B643" t="str">
        <f>RTD("tos.rtd", , "DESCRIPTION", ".SSO201120C81")</f>
        <v>N/A</v>
      </c>
      <c r="C643" t="str">
        <f>RTD("tos.rtd", , "PUT_CALL_RATIO", ".SSO201120C81")</f>
        <v>N/A</v>
      </c>
      <c r="D643" t="str">
        <f>RTD("tos.rtd", , "IMPL_VOL", ".SSO201120C81")</f>
        <v>N/A</v>
      </c>
      <c r="E643" t="str">
        <f>RTD("tos.rtd", , "LAST", ".SSO201120C81")</f>
        <v>N/A</v>
      </c>
      <c r="F643" t="str">
        <f>RTD("tos.rtd", , "VOLUME", ".SSO201120C81")</f>
        <v>N/A</v>
      </c>
      <c r="G643" t="str">
        <f>RTD("tos.rtd", , "OPEN_INT", ".SSO201120C81")</f>
        <v>N/A</v>
      </c>
      <c r="H643" t="str">
        <f>RTD("tos.rtd", , "BID", ".SSO201120C81")</f>
        <v>N/A</v>
      </c>
      <c r="I643" t="str">
        <f>RTD("tos.rtd", , "ASK", ".SSO201120C81")</f>
        <v>N/A</v>
      </c>
      <c r="J643" t="str">
        <f>RTD("tos.rtd", , "HIGH", ".SSO201120C81")</f>
        <v>N/A</v>
      </c>
      <c r="K643" t="str">
        <f>RTD("tos.rtd", , "LOW", ".SSO201120C81")</f>
        <v>N/A</v>
      </c>
      <c r="L643" t="str">
        <f>RTD("tos.rtd", , "OPEN", ".SSO201120C81")</f>
        <v>N/A</v>
      </c>
      <c r="M643" t="str">
        <f>RTD("tos.rtd", , "DELTA", ".SSO201120C81")</f>
        <v>N/A</v>
      </c>
      <c r="N643" t="str">
        <f>RTD("tos.rtd", , "GAMMA", ".SSO201120C81")</f>
        <v>N/A</v>
      </c>
      <c r="O643" t="str">
        <f>RTD("tos.rtd", , "THETA", ".SSO201120C81")</f>
        <v>N/A</v>
      </c>
      <c r="P643" t="str">
        <f>RTD("tos.rtd", , "VEGA", ".SSO201120C81")</f>
        <v>N/A</v>
      </c>
      <c r="Q643" t="str">
        <f>RTD("tos.rtd", , "RHO", ".SSO201120C81")</f>
        <v>N/A</v>
      </c>
      <c r="R643" t="str">
        <f>RTD("tos.rtd", , "INTRINSIC", ".SSO201120C81")</f>
        <v>N/A</v>
      </c>
      <c r="S643" t="str">
        <f>RTD("tos.rtd", , "EXTRINSIC", ".SSO201120C81")</f>
        <v>N/A</v>
      </c>
      <c r="T643" t="str">
        <f>RTD("tos.rtd", , "PROB_OF_EXPIRING", ".SSO201120C81")</f>
        <v>N/A</v>
      </c>
      <c r="U643" t="str">
        <f>RTD("tos.rtd", , "PROB_OTM", ".SSO201120C81")</f>
        <v>N/A</v>
      </c>
      <c r="V643" t="str">
        <f>RTD("tos.rtd", , "PROB_OF_TOUCHING", ".SSO201120C81")</f>
        <v>N/A</v>
      </c>
      <c r="W643" t="str">
        <f>RTD("tos.rtd", , "STRIKE", ".SSO201120C81")</f>
        <v>N/A</v>
      </c>
    </row>
    <row r="644" spans="1:23" x14ac:dyDescent="0.45">
      <c r="A644" t="s">
        <v>665</v>
      </c>
      <c r="B644" t="str">
        <f>RTD("tos.rtd", , "DESCRIPTION", ".SSO201120P81")</f>
        <v>N/A</v>
      </c>
      <c r="C644" t="str">
        <f>RTD("tos.rtd", , "PUT_CALL_RATIO", ".SSO201120P81")</f>
        <v>N/A</v>
      </c>
      <c r="D644" t="str">
        <f>RTD("tos.rtd", , "IMPL_VOL", ".SSO201120P81")</f>
        <v>N/A</v>
      </c>
      <c r="E644">
        <f>RTD("tos.rtd", , "LAST", ".SSO201120P81")</f>
        <v>2.1</v>
      </c>
      <c r="F644">
        <f>RTD("tos.rtd", , "VOLUME", ".SSO201120P81")</f>
        <v>10</v>
      </c>
      <c r="G644">
        <f>RTD("tos.rtd", , "OPEN_INT", ".SSO201120P81")</f>
        <v>15</v>
      </c>
      <c r="H644">
        <f>RTD("tos.rtd", , "BID", ".SSO201120P81")</f>
        <v>1.3</v>
      </c>
      <c r="I644">
        <f>RTD("tos.rtd", , "ASK", ".SSO201120P81")</f>
        <v>2.15</v>
      </c>
      <c r="J644">
        <f>RTD("tos.rtd", , "HIGH", ".SSO201120P81")</f>
        <v>2.1</v>
      </c>
      <c r="K644">
        <f>RTD("tos.rtd", , "LOW", ".SSO201120P81")</f>
        <v>2.1</v>
      </c>
      <c r="L644">
        <f>RTD("tos.rtd", , "OPEN", ".SSO201120P81")</f>
        <v>2.1</v>
      </c>
      <c r="M644" t="str">
        <f>RTD("tos.rtd", , "DELTA", ".SSO201120P81")</f>
        <v>N/A</v>
      </c>
      <c r="N644" t="str">
        <f>RTD("tos.rtd", , "GAMMA", ".SSO201120P81")</f>
        <v>N/A</v>
      </c>
      <c r="O644" t="str">
        <f>RTD("tos.rtd", , "THETA", ".SSO201120P81")</f>
        <v>N/A</v>
      </c>
      <c r="P644" t="str">
        <f>RTD("tos.rtd", , "VEGA", ".SSO201120P81")</f>
        <v>N/A</v>
      </c>
      <c r="Q644" t="str">
        <f>RTD("tos.rtd", , "RHO", ".SSO201120P81")</f>
        <v>N/A</v>
      </c>
      <c r="R644" t="str">
        <f>RTD("tos.rtd", , "INTRINSIC", ".SSO201120P81")</f>
        <v>N/A</v>
      </c>
      <c r="S644" t="str">
        <f>RTD("tos.rtd", , "EXTRINSIC", ".SSO201120P81")</f>
        <v>N/A</v>
      </c>
      <c r="T644" t="str">
        <f>RTD("tos.rtd", , "PROB_OF_EXPIRING", ".SSO201120P81")</f>
        <v>N/A</v>
      </c>
      <c r="U644" t="str">
        <f>RTD("tos.rtd", , "PROB_OTM", ".SSO201120P81")</f>
        <v>N/A</v>
      </c>
      <c r="V644" t="str">
        <f>RTD("tos.rtd", , "PROB_OF_TOUCHING", ".SSO201120P81")</f>
        <v>N/A</v>
      </c>
      <c r="W644" t="str">
        <f>RTD("tos.rtd", , "STRIKE", ".SSO201120P81")</f>
        <v>N/A</v>
      </c>
    </row>
    <row r="645" spans="1:23" x14ac:dyDescent="0.45">
      <c r="A645" t="s">
        <v>666</v>
      </c>
      <c r="B645" t="str">
        <f>RTD("tos.rtd", , "DESCRIPTION", ".SSO201120C81.5")</f>
        <v>N/A</v>
      </c>
      <c r="C645" t="str">
        <f>RTD("tos.rtd", , "PUT_CALL_RATIO", ".SSO201120C81.5")</f>
        <v>N/A</v>
      </c>
      <c r="D645" t="str">
        <f>RTD("tos.rtd", , "IMPL_VOL", ".SSO201120C81.5")</f>
        <v>N/A</v>
      </c>
      <c r="E645" t="str">
        <f>RTD("tos.rtd", , "LAST", ".SSO201120C81.5")</f>
        <v>N/A</v>
      </c>
      <c r="F645" t="str">
        <f>RTD("tos.rtd", , "VOLUME", ".SSO201120C81.5")</f>
        <v>N/A</v>
      </c>
      <c r="G645" t="str">
        <f>RTD("tos.rtd", , "OPEN_INT", ".SSO201120C81.5")</f>
        <v>N/A</v>
      </c>
      <c r="H645" t="str">
        <f>RTD("tos.rtd", , "BID", ".SSO201120C81.5")</f>
        <v>N/A</v>
      </c>
      <c r="I645" t="str">
        <f>RTD("tos.rtd", , "ASK", ".SSO201120C81.5")</f>
        <v>N/A</v>
      </c>
      <c r="J645" t="str">
        <f>RTD("tos.rtd", , "HIGH", ".SSO201120C81.5")</f>
        <v>N/A</v>
      </c>
      <c r="K645" t="str">
        <f>RTD("tos.rtd", , "LOW", ".SSO201120C81.5")</f>
        <v>N/A</v>
      </c>
      <c r="L645" t="str">
        <f>RTD("tos.rtd", , "OPEN", ".SSO201120C81.5")</f>
        <v>N/A</v>
      </c>
      <c r="M645" t="str">
        <f>RTD("tos.rtd", , "DELTA", ".SSO201120C81.5")</f>
        <v>N/A</v>
      </c>
      <c r="N645" t="str">
        <f>RTD("tos.rtd", , "GAMMA", ".SSO201120C81.5")</f>
        <v>N/A</v>
      </c>
      <c r="O645" t="str">
        <f>RTD("tos.rtd", , "THETA", ".SSO201120C81.5")</f>
        <v>N/A</v>
      </c>
      <c r="P645" t="str">
        <f>RTD("tos.rtd", , "VEGA", ".SSO201120C81.5")</f>
        <v>N/A</v>
      </c>
      <c r="Q645" t="str">
        <f>RTD("tos.rtd", , "RHO", ".SSO201120C81.5")</f>
        <v>N/A</v>
      </c>
      <c r="R645" t="str">
        <f>RTD("tos.rtd", , "INTRINSIC", ".SSO201120C81.5")</f>
        <v>N/A</v>
      </c>
      <c r="S645" t="str">
        <f>RTD("tos.rtd", , "EXTRINSIC", ".SSO201120C81.5")</f>
        <v>N/A</v>
      </c>
      <c r="T645" t="str">
        <f>RTD("tos.rtd", , "PROB_OF_EXPIRING", ".SSO201120C81.5")</f>
        <v>N/A</v>
      </c>
      <c r="U645" t="str">
        <f>RTD("tos.rtd", , "PROB_OTM", ".SSO201120C81.5")</f>
        <v>N/A</v>
      </c>
      <c r="V645" t="str">
        <f>RTD("tos.rtd", , "PROB_OF_TOUCHING", ".SSO201120C81.5")</f>
        <v>N/A</v>
      </c>
      <c r="W645" t="str">
        <f>RTD("tos.rtd", , "STRIKE", ".SSO201120C81.5")</f>
        <v>N/A</v>
      </c>
    </row>
    <row r="646" spans="1:23" x14ac:dyDescent="0.45">
      <c r="A646" t="s">
        <v>667</v>
      </c>
      <c r="B646" t="str">
        <f>RTD("tos.rtd", , "DESCRIPTION", ".SSO201120P81.5")</f>
        <v>N/A</v>
      </c>
      <c r="C646" t="str">
        <f>RTD("tos.rtd", , "PUT_CALL_RATIO", ".SSO201120P81.5")</f>
        <v>N/A</v>
      </c>
      <c r="D646" t="str">
        <f>RTD("tos.rtd", , "IMPL_VOL", ".SSO201120P81.5")</f>
        <v>N/A</v>
      </c>
      <c r="E646" t="str">
        <f>RTD("tos.rtd", , "LAST", ".SSO201120P81.5")</f>
        <v>N/A</v>
      </c>
      <c r="F646" t="str">
        <f>RTD("tos.rtd", , "VOLUME", ".SSO201120P81.5")</f>
        <v>N/A</v>
      </c>
      <c r="G646" t="str">
        <f>RTD("tos.rtd", , "OPEN_INT", ".SSO201120P81.5")</f>
        <v>N/A</v>
      </c>
      <c r="H646" t="str">
        <f>RTD("tos.rtd", , "BID", ".SSO201120P81.5")</f>
        <v>N/A</v>
      </c>
      <c r="I646" t="str">
        <f>RTD("tos.rtd", , "ASK", ".SSO201120P81.5")</f>
        <v>N/A</v>
      </c>
      <c r="J646" t="str">
        <f>RTD("tos.rtd", , "HIGH", ".SSO201120P81.5")</f>
        <v>N/A</v>
      </c>
      <c r="K646" t="str">
        <f>RTD("tos.rtd", , "LOW", ".SSO201120P81.5")</f>
        <v>N/A</v>
      </c>
      <c r="L646" t="str">
        <f>RTD("tos.rtd", , "OPEN", ".SSO201120P81.5")</f>
        <v>N/A</v>
      </c>
      <c r="M646" t="str">
        <f>RTD("tos.rtd", , "DELTA", ".SSO201120P81.5")</f>
        <v>N/A</v>
      </c>
      <c r="N646" t="str">
        <f>RTD("tos.rtd", , "GAMMA", ".SSO201120P81.5")</f>
        <v>N/A</v>
      </c>
      <c r="O646" t="str">
        <f>RTD("tos.rtd", , "THETA", ".SSO201120P81.5")</f>
        <v>N/A</v>
      </c>
      <c r="P646" t="str">
        <f>RTD("tos.rtd", , "VEGA", ".SSO201120P81.5")</f>
        <v>N/A</v>
      </c>
      <c r="Q646" t="str">
        <f>RTD("tos.rtd", , "RHO", ".SSO201120P81.5")</f>
        <v>N/A</v>
      </c>
      <c r="R646" t="str">
        <f>RTD("tos.rtd", , "INTRINSIC", ".SSO201120P81.5")</f>
        <v>N/A</v>
      </c>
      <c r="S646" t="str">
        <f>RTD("tos.rtd", , "EXTRINSIC", ".SSO201120P81.5")</f>
        <v>N/A</v>
      </c>
      <c r="T646" t="str">
        <f>RTD("tos.rtd", , "PROB_OF_EXPIRING", ".SSO201120P81.5")</f>
        <v>N/A</v>
      </c>
      <c r="U646" t="str">
        <f>RTD("tos.rtd", , "PROB_OTM", ".SSO201120P81.5")</f>
        <v>N/A</v>
      </c>
      <c r="V646" t="str">
        <f>RTD("tos.rtd", , "PROB_OF_TOUCHING", ".SSO201120P81.5")</f>
        <v>N/A</v>
      </c>
      <c r="W646" t="str">
        <f>RTD("tos.rtd", , "STRIKE", ".SSO201120P81.5")</f>
        <v>N/A</v>
      </c>
    </row>
    <row r="647" spans="1:23" x14ac:dyDescent="0.45">
      <c r="A647" t="s">
        <v>668</v>
      </c>
      <c r="B647" t="str">
        <f>RTD("tos.rtd", , "DESCRIPTION", ".SSO201120C82")</f>
        <v>N/A</v>
      </c>
      <c r="C647" t="str">
        <f>RTD("tos.rtd", , "PUT_CALL_RATIO", ".SSO201120C82")</f>
        <v>N/A</v>
      </c>
      <c r="D647" t="str">
        <f>RTD("tos.rtd", , "IMPL_VOL", ".SSO201120C82")</f>
        <v>N/A</v>
      </c>
      <c r="E647" t="str">
        <f>RTD("tos.rtd", , "LAST", ".SSO201120C82")</f>
        <v>N/A</v>
      </c>
      <c r="F647" t="str">
        <f>RTD("tos.rtd", , "VOLUME", ".SSO201120C82")</f>
        <v>N/A</v>
      </c>
      <c r="G647" t="str">
        <f>RTD("tos.rtd", , "OPEN_INT", ".SSO201120C82")</f>
        <v>N/A</v>
      </c>
      <c r="H647" t="str">
        <f>RTD("tos.rtd", , "BID", ".SSO201120C82")</f>
        <v>N/A</v>
      </c>
      <c r="I647" t="str">
        <f>RTD("tos.rtd", , "ASK", ".SSO201120C82")</f>
        <v>N/A</v>
      </c>
      <c r="J647" t="str">
        <f>RTD("tos.rtd", , "HIGH", ".SSO201120C82")</f>
        <v>N/A</v>
      </c>
      <c r="K647" t="str">
        <f>RTD("tos.rtd", , "LOW", ".SSO201120C82")</f>
        <v>N/A</v>
      </c>
      <c r="L647" t="str">
        <f>RTD("tos.rtd", , "OPEN", ".SSO201120C82")</f>
        <v>N/A</v>
      </c>
      <c r="M647" t="str">
        <f>RTD("tos.rtd", , "DELTA", ".SSO201120C82")</f>
        <v>N/A</v>
      </c>
      <c r="N647" t="str">
        <f>RTD("tos.rtd", , "GAMMA", ".SSO201120C82")</f>
        <v>N/A</v>
      </c>
      <c r="O647" t="str">
        <f>RTD("tos.rtd", , "THETA", ".SSO201120C82")</f>
        <v>N/A</v>
      </c>
      <c r="P647" t="str">
        <f>RTD("tos.rtd", , "VEGA", ".SSO201120C82")</f>
        <v>N/A</v>
      </c>
      <c r="Q647" t="str">
        <f>RTD("tos.rtd", , "RHO", ".SSO201120C82")</f>
        <v>N/A</v>
      </c>
      <c r="R647" t="str">
        <f>RTD("tos.rtd", , "INTRINSIC", ".SSO201120C82")</f>
        <v>N/A</v>
      </c>
      <c r="S647" t="str">
        <f>RTD("tos.rtd", , "EXTRINSIC", ".SSO201120C82")</f>
        <v>N/A</v>
      </c>
      <c r="T647" t="str">
        <f>RTD("tos.rtd", , "PROB_OF_EXPIRING", ".SSO201120C82")</f>
        <v>N/A</v>
      </c>
      <c r="U647" t="str">
        <f>RTD("tos.rtd", , "PROB_OTM", ".SSO201120C82")</f>
        <v>N/A</v>
      </c>
      <c r="V647" t="str">
        <f>RTD("tos.rtd", , "PROB_OF_TOUCHING", ".SSO201120C82")</f>
        <v>N/A</v>
      </c>
      <c r="W647" t="str">
        <f>RTD("tos.rtd", , "STRIKE", ".SSO201120C82")</f>
        <v>N/A</v>
      </c>
    </row>
    <row r="648" spans="1:23" x14ac:dyDescent="0.45">
      <c r="A648" t="s">
        <v>669</v>
      </c>
      <c r="B648" t="str">
        <f>RTD("tos.rtd", , "DESCRIPTION", ".SSO201120P82")</f>
        <v>N/A</v>
      </c>
      <c r="C648" t="str">
        <f>RTD("tos.rtd", , "PUT_CALL_RATIO", ".SSO201120P82")</f>
        <v>N/A</v>
      </c>
      <c r="D648" t="str">
        <f>RTD("tos.rtd", , "IMPL_VOL", ".SSO201120P82")</f>
        <v>N/A</v>
      </c>
      <c r="E648" t="str">
        <f>RTD("tos.rtd", , "LAST", ".SSO201120P82")</f>
        <v>N/A</v>
      </c>
      <c r="F648" t="str">
        <f>RTD("tos.rtd", , "VOLUME", ".SSO201120P82")</f>
        <v>N/A</v>
      </c>
      <c r="G648" t="str">
        <f>RTD("tos.rtd", , "OPEN_INT", ".SSO201120P82")</f>
        <v>N/A</v>
      </c>
      <c r="H648" t="str">
        <f>RTD("tos.rtd", , "BID", ".SSO201120P82")</f>
        <v>N/A</v>
      </c>
      <c r="I648" t="str">
        <f>RTD("tos.rtd", , "ASK", ".SSO201120P82")</f>
        <v>N/A</v>
      </c>
      <c r="J648" t="str">
        <f>RTD("tos.rtd", , "HIGH", ".SSO201120P82")</f>
        <v>N/A</v>
      </c>
      <c r="K648" t="str">
        <f>RTD("tos.rtd", , "LOW", ".SSO201120P82")</f>
        <v>N/A</v>
      </c>
      <c r="L648" t="str">
        <f>RTD("tos.rtd", , "OPEN", ".SSO201120P82")</f>
        <v>N/A</v>
      </c>
      <c r="M648" t="str">
        <f>RTD("tos.rtd", , "DELTA", ".SSO201120P82")</f>
        <v>N/A</v>
      </c>
      <c r="N648" t="str">
        <f>RTD("tos.rtd", , "GAMMA", ".SSO201120P82")</f>
        <v>N/A</v>
      </c>
      <c r="O648" t="str">
        <f>RTD("tos.rtd", , "THETA", ".SSO201120P82")</f>
        <v>N/A</v>
      </c>
      <c r="P648" t="str">
        <f>RTD("tos.rtd", , "VEGA", ".SSO201120P82")</f>
        <v>N/A</v>
      </c>
      <c r="Q648" t="str">
        <f>RTD("tos.rtd", , "RHO", ".SSO201120P82")</f>
        <v>N/A</v>
      </c>
      <c r="R648" t="str">
        <f>RTD("tos.rtd", , "INTRINSIC", ".SSO201120P82")</f>
        <v>N/A</v>
      </c>
      <c r="S648" t="str">
        <f>RTD("tos.rtd", , "EXTRINSIC", ".SSO201120P82")</f>
        <v>N/A</v>
      </c>
      <c r="T648" t="str">
        <f>RTD("tos.rtd", , "PROB_OF_EXPIRING", ".SSO201120P82")</f>
        <v>N/A</v>
      </c>
      <c r="U648" t="str">
        <f>RTD("tos.rtd", , "PROB_OTM", ".SSO201120P82")</f>
        <v>N/A</v>
      </c>
      <c r="V648" t="str">
        <f>RTD("tos.rtd", , "PROB_OF_TOUCHING", ".SSO201120P82")</f>
        <v>N/A</v>
      </c>
      <c r="W648" t="str">
        <f>RTD("tos.rtd", , "STRIKE", ".SSO201120P82")</f>
        <v>N/A</v>
      </c>
    </row>
    <row r="649" spans="1:23" x14ac:dyDescent="0.45">
      <c r="A649" t="s">
        <v>670</v>
      </c>
      <c r="B649" t="str">
        <f>RTD("tos.rtd", , "DESCRIPTION", ".SSO201120C82.5")</f>
        <v>N/A</v>
      </c>
      <c r="C649" t="str">
        <f>RTD("tos.rtd", , "PUT_CALL_RATIO", ".SSO201120C82.5")</f>
        <v>N/A</v>
      </c>
      <c r="D649" t="str">
        <f>RTD("tos.rtd", , "IMPL_VOL", ".SSO201120C82.5")</f>
        <v>N/A</v>
      </c>
      <c r="E649" t="str">
        <f>RTD("tos.rtd", , "LAST", ".SSO201120C82.5")</f>
        <v>N/A</v>
      </c>
      <c r="F649" t="str">
        <f>RTD("tos.rtd", , "VOLUME", ".SSO201120C82.5")</f>
        <v>N/A</v>
      </c>
      <c r="G649" t="str">
        <f>RTD("tos.rtd", , "OPEN_INT", ".SSO201120C82.5")</f>
        <v>N/A</v>
      </c>
      <c r="H649" t="str">
        <f>RTD("tos.rtd", , "BID", ".SSO201120C82.5")</f>
        <v>N/A</v>
      </c>
      <c r="I649" t="str">
        <f>RTD("tos.rtd", , "ASK", ".SSO201120C82.5")</f>
        <v>N/A</v>
      </c>
      <c r="J649" t="str">
        <f>RTD("tos.rtd", , "HIGH", ".SSO201120C82.5")</f>
        <v>N/A</v>
      </c>
      <c r="K649" t="str">
        <f>RTD("tos.rtd", , "LOW", ".SSO201120C82.5")</f>
        <v>N/A</v>
      </c>
      <c r="L649" t="str">
        <f>RTD("tos.rtd", , "OPEN", ".SSO201120C82.5")</f>
        <v>N/A</v>
      </c>
      <c r="M649" t="str">
        <f>RTD("tos.rtd", , "DELTA", ".SSO201120C82.5")</f>
        <v>N/A</v>
      </c>
      <c r="N649" t="str">
        <f>RTD("tos.rtd", , "GAMMA", ".SSO201120C82.5")</f>
        <v>N/A</v>
      </c>
      <c r="O649" t="str">
        <f>RTD("tos.rtd", , "THETA", ".SSO201120C82.5")</f>
        <v>N/A</v>
      </c>
      <c r="P649" t="str">
        <f>RTD("tos.rtd", , "VEGA", ".SSO201120C82.5")</f>
        <v>N/A</v>
      </c>
      <c r="Q649" t="str">
        <f>RTD("tos.rtd", , "RHO", ".SSO201120C82.5")</f>
        <v>N/A</v>
      </c>
      <c r="R649" t="str">
        <f>RTD("tos.rtd", , "INTRINSIC", ".SSO201120C82.5")</f>
        <v>N/A</v>
      </c>
      <c r="S649" t="str">
        <f>RTD("tos.rtd", , "EXTRINSIC", ".SSO201120C82.5")</f>
        <v>N/A</v>
      </c>
      <c r="T649" t="str">
        <f>RTD("tos.rtd", , "PROB_OF_EXPIRING", ".SSO201120C82.5")</f>
        <v>N/A</v>
      </c>
      <c r="U649" t="str">
        <f>RTD("tos.rtd", , "PROB_OTM", ".SSO201120C82.5")</f>
        <v>N/A</v>
      </c>
      <c r="V649" t="str">
        <f>RTD("tos.rtd", , "PROB_OF_TOUCHING", ".SSO201120C82.5")</f>
        <v>N/A</v>
      </c>
      <c r="W649" t="str">
        <f>RTD("tos.rtd", , "STRIKE", ".SSO201120C82.5")</f>
        <v>N/A</v>
      </c>
    </row>
    <row r="650" spans="1:23" x14ac:dyDescent="0.45">
      <c r="A650" t="s">
        <v>671</v>
      </c>
      <c r="B650" t="str">
        <f>RTD("tos.rtd", , "DESCRIPTION", ".SSO201120P82.5")</f>
        <v>N/A</v>
      </c>
      <c r="C650" t="str">
        <f>RTD("tos.rtd", , "PUT_CALL_RATIO", ".SSO201120P82.5")</f>
        <v>N/A</v>
      </c>
      <c r="D650" t="str">
        <f>RTD("tos.rtd", , "IMPL_VOL", ".SSO201120P82.5")</f>
        <v>N/A</v>
      </c>
      <c r="E650" t="str">
        <f>RTD("tos.rtd", , "LAST", ".SSO201120P82.5")</f>
        <v>N/A</v>
      </c>
      <c r="F650" t="str">
        <f>RTD("tos.rtd", , "VOLUME", ".SSO201120P82.5")</f>
        <v>N/A</v>
      </c>
      <c r="G650" t="str">
        <f>RTD("tos.rtd", , "OPEN_INT", ".SSO201120P82.5")</f>
        <v>N/A</v>
      </c>
      <c r="H650" t="str">
        <f>RTD("tos.rtd", , "BID", ".SSO201120P82.5")</f>
        <v>N/A</v>
      </c>
      <c r="I650" t="str">
        <f>RTD("tos.rtd", , "ASK", ".SSO201120P82.5")</f>
        <v>N/A</v>
      </c>
      <c r="J650" t="str">
        <f>RTD("tos.rtd", , "HIGH", ".SSO201120P82.5")</f>
        <v>N/A</v>
      </c>
      <c r="K650" t="str">
        <f>RTD("tos.rtd", , "LOW", ".SSO201120P82.5")</f>
        <v>N/A</v>
      </c>
      <c r="L650" t="str">
        <f>RTD("tos.rtd", , "OPEN", ".SSO201120P82.5")</f>
        <v>N/A</v>
      </c>
      <c r="M650" t="str">
        <f>RTD("tos.rtd", , "DELTA", ".SSO201120P82.5")</f>
        <v>N/A</v>
      </c>
      <c r="N650" t="str">
        <f>RTD("tos.rtd", , "GAMMA", ".SSO201120P82.5")</f>
        <v>N/A</v>
      </c>
      <c r="O650" t="str">
        <f>RTD("tos.rtd", , "THETA", ".SSO201120P82.5")</f>
        <v>N/A</v>
      </c>
      <c r="P650" t="str">
        <f>RTD("tos.rtd", , "VEGA", ".SSO201120P82.5")</f>
        <v>N/A</v>
      </c>
      <c r="Q650" t="str">
        <f>RTD("tos.rtd", , "RHO", ".SSO201120P82.5")</f>
        <v>N/A</v>
      </c>
      <c r="R650" t="str">
        <f>RTD("tos.rtd", , "INTRINSIC", ".SSO201120P82.5")</f>
        <v>N/A</v>
      </c>
      <c r="S650" t="str">
        <f>RTD("tos.rtd", , "EXTRINSIC", ".SSO201120P82.5")</f>
        <v>N/A</v>
      </c>
      <c r="T650" t="str">
        <f>RTD("tos.rtd", , "PROB_OF_EXPIRING", ".SSO201120P82.5")</f>
        <v>N/A</v>
      </c>
      <c r="U650" t="str">
        <f>RTD("tos.rtd", , "PROB_OTM", ".SSO201120P82.5")</f>
        <v>N/A</v>
      </c>
      <c r="V650" t="str">
        <f>RTD("tos.rtd", , "PROB_OF_TOUCHING", ".SSO201120P82.5")</f>
        <v>N/A</v>
      </c>
      <c r="W650" t="str">
        <f>RTD("tos.rtd", , "STRIKE", ".SSO201120P82.5")</f>
        <v>N/A</v>
      </c>
    </row>
    <row r="651" spans="1:23" x14ac:dyDescent="0.45">
      <c r="A651" t="s">
        <v>672</v>
      </c>
      <c r="B651" t="str">
        <f>RTD("tos.rtd", , "DESCRIPTION", ".SSO201120C83")</f>
        <v>N/A</v>
      </c>
      <c r="C651" t="str">
        <f>RTD("tos.rtd", , "PUT_CALL_RATIO", ".SSO201120C83")</f>
        <v>N/A</v>
      </c>
      <c r="D651" t="str">
        <f>RTD("tos.rtd", , "IMPL_VOL", ".SSO201120C83")</f>
        <v>N/A</v>
      </c>
      <c r="E651" t="str">
        <f>RTD("tos.rtd", , "LAST", ".SSO201120C83")</f>
        <v>N/A</v>
      </c>
      <c r="F651" t="str">
        <f>RTD("tos.rtd", , "VOLUME", ".SSO201120C83")</f>
        <v>N/A</v>
      </c>
      <c r="G651" t="str">
        <f>RTD("tos.rtd", , "OPEN_INT", ".SSO201120C83")</f>
        <v>N/A</v>
      </c>
      <c r="H651" t="str">
        <f>RTD("tos.rtd", , "BID", ".SSO201120C83")</f>
        <v>N/A</v>
      </c>
      <c r="I651" t="str">
        <f>RTD("tos.rtd", , "ASK", ".SSO201120C83")</f>
        <v>N/A</v>
      </c>
      <c r="J651" t="str">
        <f>RTD("tos.rtd", , "HIGH", ".SSO201120C83")</f>
        <v>N/A</v>
      </c>
      <c r="K651" t="str">
        <f>RTD("tos.rtd", , "LOW", ".SSO201120C83")</f>
        <v>N/A</v>
      </c>
      <c r="L651" t="str">
        <f>RTD("tos.rtd", , "OPEN", ".SSO201120C83")</f>
        <v>N/A</v>
      </c>
      <c r="M651" t="str">
        <f>RTD("tos.rtd", , "DELTA", ".SSO201120C83")</f>
        <v>N/A</v>
      </c>
      <c r="N651" t="str">
        <f>RTD("tos.rtd", , "GAMMA", ".SSO201120C83")</f>
        <v>N/A</v>
      </c>
      <c r="O651" t="str">
        <f>RTD("tos.rtd", , "THETA", ".SSO201120C83")</f>
        <v>N/A</v>
      </c>
      <c r="P651" t="str">
        <f>RTD("tos.rtd", , "VEGA", ".SSO201120C83")</f>
        <v>N/A</v>
      </c>
      <c r="Q651" t="str">
        <f>RTD("tos.rtd", , "RHO", ".SSO201120C83")</f>
        <v>N/A</v>
      </c>
      <c r="R651" t="str">
        <f>RTD("tos.rtd", , "INTRINSIC", ".SSO201120C83")</f>
        <v>N/A</v>
      </c>
      <c r="S651" t="str">
        <f>RTD("tos.rtd", , "EXTRINSIC", ".SSO201120C83")</f>
        <v>N/A</v>
      </c>
      <c r="T651" t="str">
        <f>RTD("tos.rtd", , "PROB_OF_EXPIRING", ".SSO201120C83")</f>
        <v>N/A</v>
      </c>
      <c r="U651" t="str">
        <f>RTD("tos.rtd", , "PROB_OTM", ".SSO201120C83")</f>
        <v>N/A</v>
      </c>
      <c r="V651" t="str">
        <f>RTD("tos.rtd", , "PROB_OF_TOUCHING", ".SSO201120C83")</f>
        <v>N/A</v>
      </c>
      <c r="W651" t="str">
        <f>RTD("tos.rtd", , "STRIKE", ".SSO201120C83")</f>
        <v>N/A</v>
      </c>
    </row>
    <row r="652" spans="1:23" x14ac:dyDescent="0.45">
      <c r="A652" t="s">
        <v>673</v>
      </c>
      <c r="B652" t="str">
        <f>RTD("tos.rtd", , "DESCRIPTION", ".SSO201120P83")</f>
        <v>N/A</v>
      </c>
      <c r="C652" t="str">
        <f>RTD("tos.rtd", , "PUT_CALL_RATIO", ".SSO201120P83")</f>
        <v>N/A</v>
      </c>
      <c r="D652" t="str">
        <f>RTD("tos.rtd", , "IMPL_VOL", ".SSO201120P83")</f>
        <v>N/A</v>
      </c>
      <c r="E652" t="str">
        <f>RTD("tos.rtd", , "LAST", ".SSO201120P83")</f>
        <v>N/A</v>
      </c>
      <c r="F652" t="str">
        <f>RTD("tos.rtd", , "VOLUME", ".SSO201120P83")</f>
        <v>N/A</v>
      </c>
      <c r="G652" t="str">
        <f>RTD("tos.rtd", , "OPEN_INT", ".SSO201120P83")</f>
        <v>N/A</v>
      </c>
      <c r="H652" t="str">
        <f>RTD("tos.rtd", , "BID", ".SSO201120P83")</f>
        <v>N/A</v>
      </c>
      <c r="I652" t="str">
        <f>RTD("tos.rtd", , "ASK", ".SSO201120P83")</f>
        <v>N/A</v>
      </c>
      <c r="J652" t="str">
        <f>RTD("tos.rtd", , "HIGH", ".SSO201120P83")</f>
        <v>N/A</v>
      </c>
      <c r="K652" t="str">
        <f>RTD("tos.rtd", , "LOW", ".SSO201120P83")</f>
        <v>N/A</v>
      </c>
      <c r="L652" t="str">
        <f>RTD("tos.rtd", , "OPEN", ".SSO201120P83")</f>
        <v>N/A</v>
      </c>
      <c r="M652" t="str">
        <f>RTD("tos.rtd", , "DELTA", ".SSO201120P83")</f>
        <v>N/A</v>
      </c>
      <c r="N652" t="str">
        <f>RTD("tos.rtd", , "GAMMA", ".SSO201120P83")</f>
        <v>N/A</v>
      </c>
      <c r="O652" t="str">
        <f>RTD("tos.rtd", , "THETA", ".SSO201120P83")</f>
        <v>N/A</v>
      </c>
      <c r="P652" t="str">
        <f>RTD("tos.rtd", , "VEGA", ".SSO201120P83")</f>
        <v>N/A</v>
      </c>
      <c r="Q652" t="str">
        <f>RTD("tos.rtd", , "RHO", ".SSO201120P83")</f>
        <v>N/A</v>
      </c>
      <c r="R652" t="str">
        <f>RTD("tos.rtd", , "INTRINSIC", ".SSO201120P83")</f>
        <v>N/A</v>
      </c>
      <c r="S652" t="str">
        <f>RTD("tos.rtd", , "EXTRINSIC", ".SSO201120P83")</f>
        <v>N/A</v>
      </c>
      <c r="T652" t="str">
        <f>RTD("tos.rtd", , "PROB_OF_EXPIRING", ".SSO201120P83")</f>
        <v>N/A</v>
      </c>
      <c r="U652" t="str">
        <f>RTD("tos.rtd", , "PROB_OTM", ".SSO201120P83")</f>
        <v>N/A</v>
      </c>
      <c r="V652" t="str">
        <f>RTD("tos.rtd", , "PROB_OF_TOUCHING", ".SSO201120P83")</f>
        <v>N/A</v>
      </c>
      <c r="W652" t="str">
        <f>RTD("tos.rtd", , "STRIKE", ".SSO201120P83")</f>
        <v>N/A</v>
      </c>
    </row>
    <row r="653" spans="1:23" x14ac:dyDescent="0.45">
      <c r="A653" t="s">
        <v>674</v>
      </c>
      <c r="B653" t="str">
        <f>RTD("tos.rtd", , "DESCRIPTION", ".SSO201120C83.5")</f>
        <v>N/A</v>
      </c>
      <c r="C653" t="str">
        <f>RTD("tos.rtd", , "PUT_CALL_RATIO", ".SSO201120C83.5")</f>
        <v>N/A</v>
      </c>
      <c r="D653" t="str">
        <f>RTD("tos.rtd", , "IMPL_VOL", ".SSO201120C83.5")</f>
        <v>N/A</v>
      </c>
      <c r="E653" t="str">
        <f>RTD("tos.rtd", , "LAST", ".SSO201120C83.5")</f>
        <v>N/A</v>
      </c>
      <c r="F653" t="str">
        <f>RTD("tos.rtd", , "VOLUME", ".SSO201120C83.5")</f>
        <v>N/A</v>
      </c>
      <c r="G653" t="str">
        <f>RTD("tos.rtd", , "OPEN_INT", ".SSO201120C83.5")</f>
        <v>N/A</v>
      </c>
      <c r="H653" t="str">
        <f>RTD("tos.rtd", , "BID", ".SSO201120C83.5")</f>
        <v>N/A</v>
      </c>
      <c r="I653" t="str">
        <f>RTD("tos.rtd", , "ASK", ".SSO201120C83.5")</f>
        <v>N/A</v>
      </c>
      <c r="J653" t="str">
        <f>RTD("tos.rtd", , "HIGH", ".SSO201120C83.5")</f>
        <v>N/A</v>
      </c>
      <c r="K653" t="str">
        <f>RTD("tos.rtd", , "LOW", ".SSO201120C83.5")</f>
        <v>N/A</v>
      </c>
      <c r="L653" t="str">
        <f>RTD("tos.rtd", , "OPEN", ".SSO201120C83.5")</f>
        <v>N/A</v>
      </c>
      <c r="M653" t="str">
        <f>RTD("tos.rtd", , "DELTA", ".SSO201120C83.5")</f>
        <v>N/A</v>
      </c>
      <c r="N653" t="str">
        <f>RTD("tos.rtd", , "GAMMA", ".SSO201120C83.5")</f>
        <v>N/A</v>
      </c>
      <c r="O653" t="str">
        <f>RTD("tos.rtd", , "THETA", ".SSO201120C83.5")</f>
        <v>N/A</v>
      </c>
      <c r="P653" t="str">
        <f>RTD("tos.rtd", , "VEGA", ".SSO201120C83.5")</f>
        <v>N/A</v>
      </c>
      <c r="Q653" t="str">
        <f>RTD("tos.rtd", , "RHO", ".SSO201120C83.5")</f>
        <v>N/A</v>
      </c>
      <c r="R653" t="str">
        <f>RTD("tos.rtd", , "INTRINSIC", ".SSO201120C83.5")</f>
        <v>N/A</v>
      </c>
      <c r="S653" t="str">
        <f>RTD("tos.rtd", , "EXTRINSIC", ".SSO201120C83.5")</f>
        <v>N/A</v>
      </c>
      <c r="T653" t="str">
        <f>RTD("tos.rtd", , "PROB_OF_EXPIRING", ".SSO201120C83.5")</f>
        <v>N/A</v>
      </c>
      <c r="U653" t="str">
        <f>RTD("tos.rtd", , "PROB_OTM", ".SSO201120C83.5")</f>
        <v>N/A</v>
      </c>
      <c r="V653" t="str">
        <f>RTD("tos.rtd", , "PROB_OF_TOUCHING", ".SSO201120C83.5")</f>
        <v>N/A</v>
      </c>
      <c r="W653" t="str">
        <f>RTD("tos.rtd", , "STRIKE", ".SSO201120C83.5")</f>
        <v>N/A</v>
      </c>
    </row>
    <row r="654" spans="1:23" x14ac:dyDescent="0.45">
      <c r="A654" t="s">
        <v>675</v>
      </c>
      <c r="B654" t="str">
        <f>RTD("tos.rtd", , "DESCRIPTION", ".SSO201120P83.5")</f>
        <v>N/A</v>
      </c>
      <c r="C654" t="str">
        <f>RTD("tos.rtd", , "PUT_CALL_RATIO", ".SSO201120P83.5")</f>
        <v>N/A</v>
      </c>
      <c r="D654" t="str">
        <f>RTD("tos.rtd", , "IMPL_VOL", ".SSO201120P83.5")</f>
        <v>N/A</v>
      </c>
      <c r="E654" t="str">
        <f>RTD("tos.rtd", , "LAST", ".SSO201120P83.5")</f>
        <v>N/A</v>
      </c>
      <c r="F654" t="str">
        <f>RTD("tos.rtd", , "VOLUME", ".SSO201120P83.5")</f>
        <v>N/A</v>
      </c>
      <c r="G654" t="str">
        <f>RTD("tos.rtd", , "OPEN_INT", ".SSO201120P83.5")</f>
        <v>N/A</v>
      </c>
      <c r="H654" t="str">
        <f>RTD("tos.rtd", , "BID", ".SSO201120P83.5")</f>
        <v>N/A</v>
      </c>
      <c r="I654" t="str">
        <f>RTD("tos.rtd", , "ASK", ".SSO201120P83.5")</f>
        <v>N/A</v>
      </c>
      <c r="J654" t="str">
        <f>RTD("tos.rtd", , "HIGH", ".SSO201120P83.5")</f>
        <v>N/A</v>
      </c>
      <c r="K654" t="str">
        <f>RTD("tos.rtd", , "LOW", ".SSO201120P83.5")</f>
        <v>N/A</v>
      </c>
      <c r="L654" t="str">
        <f>RTD("tos.rtd", , "OPEN", ".SSO201120P83.5")</f>
        <v>N/A</v>
      </c>
      <c r="M654" t="str">
        <f>RTD("tos.rtd", , "DELTA", ".SSO201120P83.5")</f>
        <v>N/A</v>
      </c>
      <c r="N654" t="str">
        <f>RTD("tos.rtd", , "GAMMA", ".SSO201120P83.5")</f>
        <v>N/A</v>
      </c>
      <c r="O654" t="str">
        <f>RTD("tos.rtd", , "THETA", ".SSO201120P83.5")</f>
        <v>N/A</v>
      </c>
      <c r="P654" t="str">
        <f>RTD("tos.rtd", , "VEGA", ".SSO201120P83.5")</f>
        <v>N/A</v>
      </c>
      <c r="Q654" t="str">
        <f>RTD("tos.rtd", , "RHO", ".SSO201120P83.5")</f>
        <v>N/A</v>
      </c>
      <c r="R654" t="str">
        <f>RTD("tos.rtd", , "INTRINSIC", ".SSO201120P83.5")</f>
        <v>N/A</v>
      </c>
      <c r="S654" t="str">
        <f>RTD("tos.rtd", , "EXTRINSIC", ".SSO201120P83.5")</f>
        <v>N/A</v>
      </c>
      <c r="T654" t="str">
        <f>RTD("tos.rtd", , "PROB_OF_EXPIRING", ".SSO201120P83.5")</f>
        <v>N/A</v>
      </c>
      <c r="U654" t="str">
        <f>RTD("tos.rtd", , "PROB_OTM", ".SSO201120P83.5")</f>
        <v>N/A</v>
      </c>
      <c r="V654" t="str">
        <f>RTD("tos.rtd", , "PROB_OF_TOUCHING", ".SSO201120P83.5")</f>
        <v>N/A</v>
      </c>
      <c r="W654" t="str">
        <f>RTD("tos.rtd", , "STRIKE", ".SSO201120P83.5")</f>
        <v>N/A</v>
      </c>
    </row>
    <row r="655" spans="1:23" x14ac:dyDescent="0.45">
      <c r="A655" t="s">
        <v>676</v>
      </c>
      <c r="B655" t="str">
        <f>RTD("tos.rtd", , "DESCRIPTION", ".SSO201120C84")</f>
        <v>N/A</v>
      </c>
      <c r="C655" t="str">
        <f>RTD("tos.rtd", , "PUT_CALL_RATIO", ".SSO201120C84")</f>
        <v>N/A</v>
      </c>
      <c r="D655" t="str">
        <f>RTD("tos.rtd", , "IMPL_VOL", ".SSO201120C84")</f>
        <v>N/A</v>
      </c>
      <c r="E655" t="str">
        <f>RTD("tos.rtd", , "LAST", ".SSO201120C84")</f>
        <v>N/A</v>
      </c>
      <c r="F655" t="str">
        <f>RTD("tos.rtd", , "VOLUME", ".SSO201120C84")</f>
        <v>N/A</v>
      </c>
      <c r="G655" t="str">
        <f>RTD("tos.rtd", , "OPEN_INT", ".SSO201120C84")</f>
        <v>N/A</v>
      </c>
      <c r="H655" t="str">
        <f>RTD("tos.rtd", , "BID", ".SSO201120C84")</f>
        <v>N/A</v>
      </c>
      <c r="I655" t="str">
        <f>RTD("tos.rtd", , "ASK", ".SSO201120C84")</f>
        <v>N/A</v>
      </c>
      <c r="J655" t="str">
        <f>RTD("tos.rtd", , "HIGH", ".SSO201120C84")</f>
        <v>N/A</v>
      </c>
      <c r="K655" t="str">
        <f>RTD("tos.rtd", , "LOW", ".SSO201120C84")</f>
        <v>N/A</v>
      </c>
      <c r="L655" t="str">
        <f>RTD("tos.rtd", , "OPEN", ".SSO201120C84")</f>
        <v>N/A</v>
      </c>
      <c r="M655" t="str">
        <f>RTD("tos.rtd", , "DELTA", ".SSO201120C84")</f>
        <v>N/A</v>
      </c>
      <c r="N655" t="str">
        <f>RTD("tos.rtd", , "GAMMA", ".SSO201120C84")</f>
        <v>N/A</v>
      </c>
      <c r="O655" t="str">
        <f>RTD("tos.rtd", , "THETA", ".SSO201120C84")</f>
        <v>N/A</v>
      </c>
      <c r="P655" t="str">
        <f>RTD("tos.rtd", , "VEGA", ".SSO201120C84")</f>
        <v>N/A</v>
      </c>
      <c r="Q655" t="str">
        <f>RTD("tos.rtd", , "RHO", ".SSO201120C84")</f>
        <v>N/A</v>
      </c>
      <c r="R655" t="str">
        <f>RTD("tos.rtd", , "INTRINSIC", ".SSO201120C84")</f>
        <v>N/A</v>
      </c>
      <c r="S655" t="str">
        <f>RTD("tos.rtd", , "EXTRINSIC", ".SSO201120C84")</f>
        <v>N/A</v>
      </c>
      <c r="T655" t="str">
        <f>RTD("tos.rtd", , "PROB_OF_EXPIRING", ".SSO201120C84")</f>
        <v>N/A</v>
      </c>
      <c r="U655" t="str">
        <f>RTD("tos.rtd", , "PROB_OTM", ".SSO201120C84")</f>
        <v>N/A</v>
      </c>
      <c r="V655" t="str">
        <f>RTD("tos.rtd", , "PROB_OF_TOUCHING", ".SSO201120C84")</f>
        <v>N/A</v>
      </c>
      <c r="W655" t="str">
        <f>RTD("tos.rtd", , "STRIKE", ".SSO201120C84")</f>
        <v>N/A</v>
      </c>
    </row>
    <row r="656" spans="1:23" x14ac:dyDescent="0.45">
      <c r="A656" t="s">
        <v>677</v>
      </c>
      <c r="B656" t="str">
        <f>RTD("tos.rtd", , "DESCRIPTION", ".SSO201120P84")</f>
        <v>N/A</v>
      </c>
      <c r="C656" t="str">
        <f>RTD("tos.rtd", , "PUT_CALL_RATIO", ".SSO201120P84")</f>
        <v>N/A</v>
      </c>
      <c r="D656" t="str">
        <f>RTD("tos.rtd", , "IMPL_VOL", ".SSO201120P84")</f>
        <v>N/A</v>
      </c>
      <c r="E656">
        <f>RTD("tos.rtd", , "LAST", ".SSO201120P84")</f>
        <v>4.2699999999999996</v>
      </c>
      <c r="F656">
        <f>RTD("tos.rtd", , "VOLUME", ".SSO201120P84")</f>
        <v>0</v>
      </c>
      <c r="G656">
        <f>RTD("tos.rtd", , "OPEN_INT", ".SSO201120P84")</f>
        <v>5</v>
      </c>
      <c r="H656">
        <f>RTD("tos.rtd", , "BID", ".SSO201120P84")</f>
        <v>2.5</v>
      </c>
      <c r="I656">
        <f>RTD("tos.rtd", , "ASK", ".SSO201120P84")</f>
        <v>3.8</v>
      </c>
      <c r="J656">
        <f>RTD("tos.rtd", , "HIGH", ".SSO201120P84")</f>
        <v>0</v>
      </c>
      <c r="K656">
        <f>RTD("tos.rtd", , "LOW", ".SSO201120P84")</f>
        <v>0</v>
      </c>
      <c r="L656">
        <f>RTD("tos.rtd", , "OPEN", ".SSO201120P84")</f>
        <v>0</v>
      </c>
      <c r="M656" t="str">
        <f>RTD("tos.rtd", , "DELTA", ".SSO201120P84")</f>
        <v>N/A</v>
      </c>
      <c r="N656" t="str">
        <f>RTD("tos.rtd", , "GAMMA", ".SSO201120P84")</f>
        <v>N/A</v>
      </c>
      <c r="O656" t="str">
        <f>RTD("tos.rtd", , "THETA", ".SSO201120P84")</f>
        <v>N/A</v>
      </c>
      <c r="P656" t="str">
        <f>RTD("tos.rtd", , "VEGA", ".SSO201120P84")</f>
        <v>N/A</v>
      </c>
      <c r="Q656" t="str">
        <f>RTD("tos.rtd", , "RHO", ".SSO201120P84")</f>
        <v>N/A</v>
      </c>
      <c r="R656" t="str">
        <f>RTD("tos.rtd", , "INTRINSIC", ".SSO201120P84")</f>
        <v>N/A</v>
      </c>
      <c r="S656" t="str">
        <f>RTD("tos.rtd", , "EXTRINSIC", ".SSO201120P84")</f>
        <v>N/A</v>
      </c>
      <c r="T656" t="str">
        <f>RTD("tos.rtd", , "PROB_OF_EXPIRING", ".SSO201120P84")</f>
        <v>N/A</v>
      </c>
      <c r="U656" t="str">
        <f>RTD("tos.rtd", , "PROB_OTM", ".SSO201120P84")</f>
        <v>N/A</v>
      </c>
      <c r="V656" t="str">
        <f>RTD("tos.rtd", , "PROB_OF_TOUCHING", ".SSO201120P84")</f>
        <v>N/A</v>
      </c>
      <c r="W656" t="str">
        <f>RTD("tos.rtd", , "STRIKE", ".SSO201120P84")</f>
        <v>N/A</v>
      </c>
    </row>
    <row r="657" spans="1:23" x14ac:dyDescent="0.45">
      <c r="A657" t="s">
        <v>678</v>
      </c>
      <c r="B657" t="str">
        <f>RTD("tos.rtd", , "DESCRIPTION", ".SSO201120C84.5")</f>
        <v>N/A</v>
      </c>
      <c r="C657" t="str">
        <f>RTD("tos.rtd", , "PUT_CALL_RATIO", ".SSO201120C84.5")</f>
        <v>N/A</v>
      </c>
      <c r="D657" t="str">
        <f>RTD("tos.rtd", , "IMPL_VOL", ".SSO201120C84.5")</f>
        <v>N/A</v>
      </c>
      <c r="E657" t="str">
        <f>RTD("tos.rtd", , "LAST", ".SSO201120C84.5")</f>
        <v>N/A</v>
      </c>
      <c r="F657" t="str">
        <f>RTD("tos.rtd", , "VOLUME", ".SSO201120C84.5")</f>
        <v>N/A</v>
      </c>
      <c r="G657" t="str">
        <f>RTD("tos.rtd", , "OPEN_INT", ".SSO201120C84.5")</f>
        <v>N/A</v>
      </c>
      <c r="H657" t="str">
        <f>RTD("tos.rtd", , "BID", ".SSO201120C84.5")</f>
        <v>N/A</v>
      </c>
      <c r="I657" t="str">
        <f>RTD("tos.rtd", , "ASK", ".SSO201120C84.5")</f>
        <v>N/A</v>
      </c>
      <c r="J657" t="str">
        <f>RTD("tos.rtd", , "HIGH", ".SSO201120C84.5")</f>
        <v>N/A</v>
      </c>
      <c r="K657" t="str">
        <f>RTD("tos.rtd", , "LOW", ".SSO201120C84.5")</f>
        <v>N/A</v>
      </c>
      <c r="L657" t="str">
        <f>RTD("tos.rtd", , "OPEN", ".SSO201120C84.5")</f>
        <v>N/A</v>
      </c>
      <c r="M657" t="str">
        <f>RTD("tos.rtd", , "DELTA", ".SSO201120C84.5")</f>
        <v>N/A</v>
      </c>
      <c r="N657" t="str">
        <f>RTD("tos.rtd", , "GAMMA", ".SSO201120C84.5")</f>
        <v>N/A</v>
      </c>
      <c r="O657" t="str">
        <f>RTD("tos.rtd", , "THETA", ".SSO201120C84.5")</f>
        <v>N/A</v>
      </c>
      <c r="P657" t="str">
        <f>RTD("tos.rtd", , "VEGA", ".SSO201120C84.5")</f>
        <v>N/A</v>
      </c>
      <c r="Q657" t="str">
        <f>RTD("tos.rtd", , "RHO", ".SSO201120C84.5")</f>
        <v>N/A</v>
      </c>
      <c r="R657" t="str">
        <f>RTD("tos.rtd", , "INTRINSIC", ".SSO201120C84.5")</f>
        <v>N/A</v>
      </c>
      <c r="S657" t="str">
        <f>RTD("tos.rtd", , "EXTRINSIC", ".SSO201120C84.5")</f>
        <v>N/A</v>
      </c>
      <c r="T657" t="str">
        <f>RTD("tos.rtd", , "PROB_OF_EXPIRING", ".SSO201120C84.5")</f>
        <v>N/A</v>
      </c>
      <c r="U657" t="str">
        <f>RTD("tos.rtd", , "PROB_OTM", ".SSO201120C84.5")</f>
        <v>N/A</v>
      </c>
      <c r="V657" t="str">
        <f>RTD("tos.rtd", , "PROB_OF_TOUCHING", ".SSO201120C84.5")</f>
        <v>N/A</v>
      </c>
      <c r="W657" t="str">
        <f>RTD("tos.rtd", , "STRIKE", ".SSO201120C84.5")</f>
        <v>N/A</v>
      </c>
    </row>
    <row r="658" spans="1:23" x14ac:dyDescent="0.45">
      <c r="A658" t="s">
        <v>679</v>
      </c>
      <c r="B658" t="str">
        <f>RTD("tos.rtd", , "DESCRIPTION", ".SSO201120P84.5")</f>
        <v>N/A</v>
      </c>
      <c r="C658" t="str">
        <f>RTD("tos.rtd", , "PUT_CALL_RATIO", ".SSO201120P84.5")</f>
        <v>N/A</v>
      </c>
      <c r="D658" t="str">
        <f>RTD("tos.rtd", , "IMPL_VOL", ".SSO201120P84.5")</f>
        <v>N/A</v>
      </c>
      <c r="E658" t="str">
        <f>RTD("tos.rtd", , "LAST", ".SSO201120P84.5")</f>
        <v>N/A</v>
      </c>
      <c r="F658" t="str">
        <f>RTD("tos.rtd", , "VOLUME", ".SSO201120P84.5")</f>
        <v>N/A</v>
      </c>
      <c r="G658" t="str">
        <f>RTD("tos.rtd", , "OPEN_INT", ".SSO201120P84.5")</f>
        <v>N/A</v>
      </c>
      <c r="H658" t="str">
        <f>RTD("tos.rtd", , "BID", ".SSO201120P84.5")</f>
        <v>N/A</v>
      </c>
      <c r="I658" t="str">
        <f>RTD("tos.rtd", , "ASK", ".SSO201120P84.5")</f>
        <v>N/A</v>
      </c>
      <c r="J658" t="str">
        <f>RTD("tos.rtd", , "HIGH", ".SSO201120P84.5")</f>
        <v>N/A</v>
      </c>
      <c r="K658" t="str">
        <f>RTD("tos.rtd", , "LOW", ".SSO201120P84.5")</f>
        <v>N/A</v>
      </c>
      <c r="L658" t="str">
        <f>RTD("tos.rtd", , "OPEN", ".SSO201120P84.5")</f>
        <v>N/A</v>
      </c>
      <c r="M658" t="str">
        <f>RTD("tos.rtd", , "DELTA", ".SSO201120P84.5")</f>
        <v>N/A</v>
      </c>
      <c r="N658" t="str">
        <f>RTD("tos.rtd", , "GAMMA", ".SSO201120P84.5")</f>
        <v>N/A</v>
      </c>
      <c r="O658" t="str">
        <f>RTD("tos.rtd", , "THETA", ".SSO201120P84.5")</f>
        <v>N/A</v>
      </c>
      <c r="P658" t="str">
        <f>RTD("tos.rtd", , "VEGA", ".SSO201120P84.5")</f>
        <v>N/A</v>
      </c>
      <c r="Q658" t="str">
        <f>RTD("tos.rtd", , "RHO", ".SSO201120P84.5")</f>
        <v>N/A</v>
      </c>
      <c r="R658" t="str">
        <f>RTD("tos.rtd", , "INTRINSIC", ".SSO201120P84.5")</f>
        <v>N/A</v>
      </c>
      <c r="S658" t="str">
        <f>RTD("tos.rtd", , "EXTRINSIC", ".SSO201120P84.5")</f>
        <v>N/A</v>
      </c>
      <c r="T658" t="str">
        <f>RTD("tos.rtd", , "PROB_OF_EXPIRING", ".SSO201120P84.5")</f>
        <v>N/A</v>
      </c>
      <c r="U658" t="str">
        <f>RTD("tos.rtd", , "PROB_OTM", ".SSO201120P84.5")</f>
        <v>N/A</v>
      </c>
      <c r="V658" t="str">
        <f>RTD("tos.rtd", , "PROB_OF_TOUCHING", ".SSO201120P84.5")</f>
        <v>N/A</v>
      </c>
      <c r="W658" t="str">
        <f>RTD("tos.rtd", , "STRIKE", ".SSO201120P84.5")</f>
        <v>N/A</v>
      </c>
    </row>
    <row r="659" spans="1:23" x14ac:dyDescent="0.45">
      <c r="A659" t="s">
        <v>680</v>
      </c>
      <c r="B659" t="str">
        <f>RTD("tos.rtd", , "DESCRIPTION", "TAN")</f>
        <v>N/A</v>
      </c>
      <c r="C659">
        <f>RTD("tos.rtd", , "PUT_CALL_RATIO", "TAN")</f>
        <v>0.59899999999999998</v>
      </c>
      <c r="D659" t="str">
        <f>RTD("tos.rtd", , "IMPL_VOL", "TAN")</f>
        <v>60.58%</v>
      </c>
      <c r="E659">
        <f>RTD("tos.rtd", , "LAST", "TAN")</f>
        <v>73.680000000000007</v>
      </c>
      <c r="F659">
        <f>RTD("tos.rtd", , "VOLUME", "TAN")</f>
        <v>1627808</v>
      </c>
      <c r="G659">
        <f>RTD("tos.rtd", , "OPEN_INT", "TAN")</f>
        <v>0</v>
      </c>
      <c r="H659">
        <f>RTD("tos.rtd", , "BID", "TAN")</f>
        <v>73.86</v>
      </c>
      <c r="I659">
        <f>RTD("tos.rtd", , "ASK", "TAN")</f>
        <v>74.69</v>
      </c>
      <c r="J659">
        <f>RTD("tos.rtd", , "HIGH", "TAN")</f>
        <v>76.13</v>
      </c>
      <c r="K659">
        <f>RTD("tos.rtd", , "LOW", "TAN")</f>
        <v>73.19</v>
      </c>
      <c r="L659">
        <f>RTD("tos.rtd", , "OPEN", "TAN")</f>
        <v>75.91</v>
      </c>
      <c r="M659">
        <f>RTD("tos.rtd", , "DELTA", "TAN")</f>
        <v>1</v>
      </c>
      <c r="N659">
        <f>RTD("tos.rtd", , "GAMMA", "TAN")</f>
        <v>0</v>
      </c>
      <c r="O659">
        <f>RTD("tos.rtd", , "THETA", "TAN")</f>
        <v>0</v>
      </c>
      <c r="P659">
        <f>RTD("tos.rtd", , "VEGA", "TAN")</f>
        <v>0</v>
      </c>
      <c r="Q659">
        <f>RTD("tos.rtd", , "RHO", "TAN")</f>
        <v>0</v>
      </c>
      <c r="R659" t="str">
        <f>RTD("tos.rtd", , "INTRINSIC", "TAN")</f>
        <v>N/A</v>
      </c>
      <c r="S659" t="str">
        <f>RTD("tos.rtd", , "EXTRINSIC", "TAN")</f>
        <v>N/A</v>
      </c>
      <c r="T659" t="str">
        <f>RTD("tos.rtd", , "PROB_OF_EXPIRING", "TAN")</f>
        <v>N/A</v>
      </c>
      <c r="U659" t="str">
        <f>RTD("tos.rtd", , "PROB_OTM", "TAN")</f>
        <v>N/A</v>
      </c>
      <c r="V659" t="str">
        <f>RTD("tos.rtd", , "PROB_OF_TOUCHING", "TAN")</f>
        <v>N/A</v>
      </c>
      <c r="W659" t="str">
        <f>RTD("tos.rtd", , "STRIKE", "TAN")</f>
        <v>N/A</v>
      </c>
    </row>
    <row r="660" spans="1:23" x14ac:dyDescent="0.45">
      <c r="A660" t="s">
        <v>681</v>
      </c>
      <c r="B660" t="str">
        <f>RTD("tos.rtd", , "DESCRIPTION", ".TAN201120C72.5")</f>
        <v>N/A</v>
      </c>
      <c r="C660" t="str">
        <f>RTD("tos.rtd", , "PUT_CALL_RATIO", ".TAN201120C72.5")</f>
        <v>N/A</v>
      </c>
      <c r="D660" t="str">
        <f>RTD("tos.rtd", , "IMPL_VOL", ".TAN201120C72.5")</f>
        <v>N/A</v>
      </c>
      <c r="E660">
        <f>RTD("tos.rtd", , "LAST", ".TAN201120C72.5")</f>
        <v>2.82</v>
      </c>
      <c r="F660">
        <f>RTD("tos.rtd", , "VOLUME", ".TAN201120C72.5")</f>
        <v>4</v>
      </c>
      <c r="G660">
        <f>RTD("tos.rtd", , "OPEN_INT", ".TAN201120C72.5")</f>
        <v>206</v>
      </c>
      <c r="H660">
        <f>RTD("tos.rtd", , "BID", ".TAN201120C72.5")</f>
        <v>2.6</v>
      </c>
      <c r="I660">
        <f>RTD("tos.rtd", , "ASK", ".TAN201120C72.5")</f>
        <v>3.1</v>
      </c>
      <c r="J660">
        <f>RTD("tos.rtd", , "HIGH", ".TAN201120C72.5")</f>
        <v>4.2</v>
      </c>
      <c r="K660">
        <f>RTD("tos.rtd", , "LOW", ".TAN201120C72.5")</f>
        <v>2.82</v>
      </c>
      <c r="L660">
        <f>RTD("tos.rtd", , "OPEN", ".TAN201120C72.5")</f>
        <v>4.2</v>
      </c>
      <c r="M660" t="str">
        <f>RTD("tos.rtd", , "DELTA", ".TAN201120C72.5")</f>
        <v>N/A</v>
      </c>
      <c r="N660" t="str">
        <f>RTD("tos.rtd", , "GAMMA", ".TAN201120C72.5")</f>
        <v>N/A</v>
      </c>
      <c r="O660" t="str">
        <f>RTD("tos.rtd", , "THETA", ".TAN201120C72.5")</f>
        <v>N/A</v>
      </c>
      <c r="P660" t="str">
        <f>RTD("tos.rtd", , "VEGA", ".TAN201120C72.5")</f>
        <v>N/A</v>
      </c>
      <c r="Q660" t="str">
        <f>RTD("tos.rtd", , "RHO", ".TAN201120C72.5")</f>
        <v>N/A</v>
      </c>
      <c r="R660" t="str">
        <f>RTD("tos.rtd", , "INTRINSIC", ".TAN201120C72.5")</f>
        <v>N/A</v>
      </c>
      <c r="S660" t="str">
        <f>RTD("tos.rtd", , "EXTRINSIC", ".TAN201120C72.5")</f>
        <v>N/A</v>
      </c>
      <c r="T660" t="str">
        <f>RTD("tos.rtd", , "PROB_OF_EXPIRING", ".TAN201120C72.5")</f>
        <v>N/A</v>
      </c>
      <c r="U660" t="str">
        <f>RTD("tos.rtd", , "PROB_OTM", ".TAN201120C72.5")</f>
        <v>N/A</v>
      </c>
      <c r="V660" t="str">
        <f>RTD("tos.rtd", , "PROB_OF_TOUCHING", ".TAN201120C72.5")</f>
        <v>N/A</v>
      </c>
      <c r="W660" t="str">
        <f>RTD("tos.rtd", , "STRIKE", ".TAN201120C72.5")</f>
        <v>N/A</v>
      </c>
    </row>
    <row r="661" spans="1:23" x14ac:dyDescent="0.45">
      <c r="A661" t="s">
        <v>682</v>
      </c>
      <c r="B661" t="str">
        <f>RTD("tos.rtd", , "DESCRIPTION", ".TAN201120P72.5")</f>
        <v>N/A</v>
      </c>
      <c r="C661" t="str">
        <f>RTD("tos.rtd", , "PUT_CALL_RATIO", ".TAN201120P72.5")</f>
        <v>N/A</v>
      </c>
      <c r="D661" t="str">
        <f>RTD("tos.rtd", , "IMPL_VOL", ".TAN201120P72.5")</f>
        <v>N/A</v>
      </c>
      <c r="E661" t="str">
        <f>RTD("tos.rtd", , "LAST", ".TAN201120P72.5")</f>
        <v>N/A</v>
      </c>
      <c r="F661" t="str">
        <f>RTD("tos.rtd", , "VOLUME", ".TAN201120P72.5")</f>
        <v>N/A</v>
      </c>
      <c r="G661" t="str">
        <f>RTD("tos.rtd", , "OPEN_INT", ".TAN201120P72.5")</f>
        <v>N/A</v>
      </c>
      <c r="H661" t="str">
        <f>RTD("tos.rtd", , "BID", ".TAN201120P72.5")</f>
        <v>N/A</v>
      </c>
      <c r="I661" t="str">
        <f>RTD("tos.rtd", , "ASK", ".TAN201120P72.5")</f>
        <v>N/A</v>
      </c>
      <c r="J661" t="str">
        <f>RTD("tos.rtd", , "HIGH", ".TAN201120P72.5")</f>
        <v>N/A</v>
      </c>
      <c r="K661" t="str">
        <f>RTD("tos.rtd", , "LOW", ".TAN201120P72.5")</f>
        <v>N/A</v>
      </c>
      <c r="L661" t="str">
        <f>RTD("tos.rtd", , "OPEN", ".TAN201120P72.5")</f>
        <v>N/A</v>
      </c>
      <c r="M661" t="str">
        <f>RTD("tos.rtd", , "DELTA", ".TAN201120P72.5")</f>
        <v>N/A</v>
      </c>
      <c r="N661" t="str">
        <f>RTD("tos.rtd", , "GAMMA", ".TAN201120P72.5")</f>
        <v>N/A</v>
      </c>
      <c r="O661" t="str">
        <f>RTD("tos.rtd", , "THETA", ".TAN201120P72.5")</f>
        <v>N/A</v>
      </c>
      <c r="P661" t="str">
        <f>RTD("tos.rtd", , "VEGA", ".TAN201120P72.5")</f>
        <v>N/A</v>
      </c>
      <c r="Q661" t="str">
        <f>RTD("tos.rtd", , "RHO", ".TAN201120P72.5")</f>
        <v>N/A</v>
      </c>
      <c r="R661" t="str">
        <f>RTD("tos.rtd", , "INTRINSIC", ".TAN201120P72.5")</f>
        <v>N/A</v>
      </c>
      <c r="S661" t="str">
        <f>RTD("tos.rtd", , "EXTRINSIC", ".TAN201120P72.5")</f>
        <v>N/A</v>
      </c>
      <c r="T661" t="str">
        <f>RTD("tos.rtd", , "PROB_OF_EXPIRING", ".TAN201120P72.5")</f>
        <v>N/A</v>
      </c>
      <c r="U661" t="str">
        <f>RTD("tos.rtd", , "PROB_OTM", ".TAN201120P72.5")</f>
        <v>N/A</v>
      </c>
      <c r="V661" t="str">
        <f>RTD("tos.rtd", , "PROB_OF_TOUCHING", ".TAN201120P72.5")</f>
        <v>N/A</v>
      </c>
      <c r="W661" t="str">
        <f>RTD("tos.rtd", , "STRIKE", ".TAN201120P72.5")</f>
        <v>N/A</v>
      </c>
    </row>
    <row r="662" spans="1:23" x14ac:dyDescent="0.45">
      <c r="A662" t="s">
        <v>683</v>
      </c>
      <c r="B662" t="str">
        <f>RTD("tos.rtd", , "DESCRIPTION", ".TAN201120C73")</f>
        <v>N/A</v>
      </c>
      <c r="C662" t="str">
        <f>RTD("tos.rtd", , "PUT_CALL_RATIO", ".TAN201120C73")</f>
        <v>N/A</v>
      </c>
      <c r="D662" t="str">
        <f>RTD("tos.rtd", , "IMPL_VOL", ".TAN201120C73")</f>
        <v>N/A</v>
      </c>
      <c r="E662" t="str">
        <f>RTD("tos.rtd", , "LAST", ".TAN201120C73")</f>
        <v>N/A</v>
      </c>
      <c r="F662" t="str">
        <f>RTD("tos.rtd", , "VOLUME", ".TAN201120C73")</f>
        <v>N/A</v>
      </c>
      <c r="G662" t="str">
        <f>RTD("tos.rtd", , "OPEN_INT", ".TAN201120C73")</f>
        <v>N/A</v>
      </c>
      <c r="H662" t="str">
        <f>RTD("tos.rtd", , "BID", ".TAN201120C73")</f>
        <v>N/A</v>
      </c>
      <c r="I662" t="str">
        <f>RTD("tos.rtd", , "ASK", ".TAN201120C73")</f>
        <v>N/A</v>
      </c>
      <c r="J662" t="str">
        <f>RTD("tos.rtd", , "HIGH", ".TAN201120C73")</f>
        <v>N/A</v>
      </c>
      <c r="K662" t="str">
        <f>RTD("tos.rtd", , "LOW", ".TAN201120C73")</f>
        <v>N/A</v>
      </c>
      <c r="L662" t="str">
        <f>RTD("tos.rtd", , "OPEN", ".TAN201120C73")</f>
        <v>N/A</v>
      </c>
      <c r="M662" t="str">
        <f>RTD("tos.rtd", , "DELTA", ".TAN201120C73")</f>
        <v>N/A</v>
      </c>
      <c r="N662" t="str">
        <f>RTD("tos.rtd", , "GAMMA", ".TAN201120C73")</f>
        <v>N/A</v>
      </c>
      <c r="O662" t="str">
        <f>RTD("tos.rtd", , "THETA", ".TAN201120C73")</f>
        <v>N/A</v>
      </c>
      <c r="P662" t="str">
        <f>RTD("tos.rtd", , "VEGA", ".TAN201120C73")</f>
        <v>N/A</v>
      </c>
      <c r="Q662" t="str">
        <f>RTD("tos.rtd", , "RHO", ".TAN201120C73")</f>
        <v>N/A</v>
      </c>
      <c r="R662" t="str">
        <f>RTD("tos.rtd", , "INTRINSIC", ".TAN201120C73")</f>
        <v>N/A</v>
      </c>
      <c r="S662" t="str">
        <f>RTD("tos.rtd", , "EXTRINSIC", ".TAN201120C73")</f>
        <v>N/A</v>
      </c>
      <c r="T662" t="str">
        <f>RTD("tos.rtd", , "PROB_OF_EXPIRING", ".TAN201120C73")</f>
        <v>N/A</v>
      </c>
      <c r="U662" t="str">
        <f>RTD("tos.rtd", , "PROB_OTM", ".TAN201120C73")</f>
        <v>N/A</v>
      </c>
      <c r="V662" t="str">
        <f>RTD("tos.rtd", , "PROB_OF_TOUCHING", ".TAN201120C73")</f>
        <v>N/A</v>
      </c>
      <c r="W662" t="str">
        <f>RTD("tos.rtd", , "STRIKE", ".TAN201120C73")</f>
        <v>N/A</v>
      </c>
    </row>
    <row r="663" spans="1:23" x14ac:dyDescent="0.45">
      <c r="A663" t="s">
        <v>684</v>
      </c>
      <c r="B663" t="str">
        <f>RTD("tos.rtd", , "DESCRIPTION", ".TAN201120P73")</f>
        <v>N/A</v>
      </c>
      <c r="C663" t="str">
        <f>RTD("tos.rtd", , "PUT_CALL_RATIO", ".TAN201120P73")</f>
        <v>N/A</v>
      </c>
      <c r="D663" t="str">
        <f>RTD("tos.rtd", , "IMPL_VOL", ".TAN201120P73")</f>
        <v>N/A</v>
      </c>
      <c r="E663">
        <f>RTD("tos.rtd", , "LAST", ".TAN201120P73")</f>
        <v>2.2599999999999998</v>
      </c>
      <c r="F663">
        <f>RTD("tos.rtd", , "VOLUME", ".TAN201120P73")</f>
        <v>1</v>
      </c>
      <c r="G663">
        <f>RTD("tos.rtd", , "OPEN_INT", ".TAN201120P73")</f>
        <v>52</v>
      </c>
      <c r="H663">
        <f>RTD("tos.rtd", , "BID", ".TAN201120P73")</f>
        <v>2</v>
      </c>
      <c r="I663">
        <f>RTD("tos.rtd", , "ASK", ".TAN201120P73")</f>
        <v>2.4</v>
      </c>
      <c r="J663">
        <f>RTD("tos.rtd", , "HIGH", ".TAN201120P73")</f>
        <v>2.2599999999999998</v>
      </c>
      <c r="K663">
        <f>RTD("tos.rtd", , "LOW", ".TAN201120P73")</f>
        <v>2.2599999999999998</v>
      </c>
      <c r="L663">
        <f>RTD("tos.rtd", , "OPEN", ".TAN201120P73")</f>
        <v>2.2599999999999998</v>
      </c>
      <c r="M663" t="str">
        <f>RTD("tos.rtd", , "DELTA", ".TAN201120P73")</f>
        <v>N/A</v>
      </c>
      <c r="N663" t="str">
        <f>RTD("tos.rtd", , "GAMMA", ".TAN201120P73")</f>
        <v>N/A</v>
      </c>
      <c r="O663" t="str">
        <f>RTD("tos.rtd", , "THETA", ".TAN201120P73")</f>
        <v>N/A</v>
      </c>
      <c r="P663" t="str">
        <f>RTD("tos.rtd", , "VEGA", ".TAN201120P73")</f>
        <v>N/A</v>
      </c>
      <c r="Q663" t="str">
        <f>RTD("tos.rtd", , "RHO", ".TAN201120P73")</f>
        <v>N/A</v>
      </c>
      <c r="R663" t="str">
        <f>RTD("tos.rtd", , "INTRINSIC", ".TAN201120P73")</f>
        <v>N/A</v>
      </c>
      <c r="S663" t="str">
        <f>RTD("tos.rtd", , "EXTRINSIC", ".TAN201120P73")</f>
        <v>N/A</v>
      </c>
      <c r="T663" t="str">
        <f>RTD("tos.rtd", , "PROB_OF_EXPIRING", ".TAN201120P73")</f>
        <v>N/A</v>
      </c>
      <c r="U663" t="str">
        <f>RTD("tos.rtd", , "PROB_OTM", ".TAN201120P73")</f>
        <v>N/A</v>
      </c>
      <c r="V663" t="str">
        <f>RTD("tos.rtd", , "PROB_OF_TOUCHING", ".TAN201120P73")</f>
        <v>N/A</v>
      </c>
      <c r="W663" t="str">
        <f>RTD("tos.rtd", , "STRIKE", ".TAN201120P73")</f>
        <v>N/A</v>
      </c>
    </row>
    <row r="664" spans="1:23" x14ac:dyDescent="0.45">
      <c r="A664" t="s">
        <v>685</v>
      </c>
      <c r="B664" t="str">
        <f>RTD("tos.rtd", , "DESCRIPTION", ".TAN201120C73.5")</f>
        <v>N/A</v>
      </c>
      <c r="C664" t="str">
        <f>RTD("tos.rtd", , "PUT_CALL_RATIO", ".TAN201120C73.5")</f>
        <v>N/A</v>
      </c>
      <c r="D664" t="str">
        <f>RTD("tos.rtd", , "IMPL_VOL", ".TAN201120C73.5")</f>
        <v>N/A</v>
      </c>
      <c r="E664" t="str">
        <f>RTD("tos.rtd", , "LAST", ".TAN201120C73.5")</f>
        <v>N/A</v>
      </c>
      <c r="F664" t="str">
        <f>RTD("tos.rtd", , "VOLUME", ".TAN201120C73.5")</f>
        <v>N/A</v>
      </c>
      <c r="G664" t="str">
        <f>RTD("tos.rtd", , "OPEN_INT", ".TAN201120C73.5")</f>
        <v>N/A</v>
      </c>
      <c r="H664" t="str">
        <f>RTD("tos.rtd", , "BID", ".TAN201120C73.5")</f>
        <v>N/A</v>
      </c>
      <c r="I664" t="str">
        <f>RTD("tos.rtd", , "ASK", ".TAN201120C73.5")</f>
        <v>N/A</v>
      </c>
      <c r="J664" t="str">
        <f>RTD("tos.rtd", , "HIGH", ".TAN201120C73.5")</f>
        <v>N/A</v>
      </c>
      <c r="K664" t="str">
        <f>RTD("tos.rtd", , "LOW", ".TAN201120C73.5")</f>
        <v>N/A</v>
      </c>
      <c r="L664" t="str">
        <f>RTD("tos.rtd", , "OPEN", ".TAN201120C73.5")</f>
        <v>N/A</v>
      </c>
      <c r="M664" t="str">
        <f>RTD("tos.rtd", , "DELTA", ".TAN201120C73.5")</f>
        <v>N/A</v>
      </c>
      <c r="N664" t="str">
        <f>RTD("tos.rtd", , "GAMMA", ".TAN201120C73.5")</f>
        <v>N/A</v>
      </c>
      <c r="O664" t="str">
        <f>RTD("tos.rtd", , "THETA", ".TAN201120C73.5")</f>
        <v>N/A</v>
      </c>
      <c r="P664" t="str">
        <f>RTD("tos.rtd", , "VEGA", ".TAN201120C73.5")</f>
        <v>N/A</v>
      </c>
      <c r="Q664" t="str">
        <f>RTD("tos.rtd", , "RHO", ".TAN201120C73.5")</f>
        <v>N/A</v>
      </c>
      <c r="R664" t="str">
        <f>RTD("tos.rtd", , "INTRINSIC", ".TAN201120C73.5")</f>
        <v>N/A</v>
      </c>
      <c r="S664" t="str">
        <f>RTD("tos.rtd", , "EXTRINSIC", ".TAN201120C73.5")</f>
        <v>N/A</v>
      </c>
      <c r="T664" t="str">
        <f>RTD("tos.rtd", , "PROB_OF_EXPIRING", ".TAN201120C73.5")</f>
        <v>N/A</v>
      </c>
      <c r="U664" t="str">
        <f>RTD("tos.rtd", , "PROB_OTM", ".TAN201120C73.5")</f>
        <v>N/A</v>
      </c>
      <c r="V664" t="str">
        <f>RTD("tos.rtd", , "PROB_OF_TOUCHING", ".TAN201120C73.5")</f>
        <v>N/A</v>
      </c>
      <c r="W664" t="str">
        <f>RTD("tos.rtd", , "STRIKE", ".TAN201120C73.5")</f>
        <v>N/A</v>
      </c>
    </row>
    <row r="665" spans="1:23" x14ac:dyDescent="0.45">
      <c r="A665" t="s">
        <v>686</v>
      </c>
      <c r="B665" t="str">
        <f>RTD("tos.rtd", , "DESCRIPTION", ".TAN201120P73.5")</f>
        <v>N/A</v>
      </c>
      <c r="C665" t="str">
        <f>RTD("tos.rtd", , "PUT_CALL_RATIO", ".TAN201120P73.5")</f>
        <v>N/A</v>
      </c>
      <c r="D665" t="str">
        <f>RTD("tos.rtd", , "IMPL_VOL", ".TAN201120P73.5")</f>
        <v>N/A</v>
      </c>
      <c r="E665" t="str">
        <f>RTD("tos.rtd", , "LAST", ".TAN201120P73.5")</f>
        <v>N/A</v>
      </c>
      <c r="F665" t="str">
        <f>RTD("tos.rtd", , "VOLUME", ".TAN201120P73.5")</f>
        <v>N/A</v>
      </c>
      <c r="G665" t="str">
        <f>RTD("tos.rtd", , "OPEN_INT", ".TAN201120P73.5")</f>
        <v>N/A</v>
      </c>
      <c r="H665" t="str">
        <f>RTD("tos.rtd", , "BID", ".TAN201120P73.5")</f>
        <v>N/A</v>
      </c>
      <c r="I665" t="str">
        <f>RTD("tos.rtd", , "ASK", ".TAN201120P73.5")</f>
        <v>N/A</v>
      </c>
      <c r="J665" t="str">
        <f>RTD("tos.rtd", , "HIGH", ".TAN201120P73.5")</f>
        <v>N/A</v>
      </c>
      <c r="K665" t="str">
        <f>RTD("tos.rtd", , "LOW", ".TAN201120P73.5")</f>
        <v>N/A</v>
      </c>
      <c r="L665" t="str">
        <f>RTD("tos.rtd", , "OPEN", ".TAN201120P73.5")</f>
        <v>N/A</v>
      </c>
      <c r="M665" t="str">
        <f>RTD("tos.rtd", , "DELTA", ".TAN201120P73.5")</f>
        <v>N/A</v>
      </c>
      <c r="N665" t="str">
        <f>RTD("tos.rtd", , "GAMMA", ".TAN201120P73.5")</f>
        <v>N/A</v>
      </c>
      <c r="O665" t="str">
        <f>RTD("tos.rtd", , "THETA", ".TAN201120P73.5")</f>
        <v>N/A</v>
      </c>
      <c r="P665" t="str">
        <f>RTD("tos.rtd", , "VEGA", ".TAN201120P73.5")</f>
        <v>N/A</v>
      </c>
      <c r="Q665" t="str">
        <f>RTD("tos.rtd", , "RHO", ".TAN201120P73.5")</f>
        <v>N/A</v>
      </c>
      <c r="R665" t="str">
        <f>RTD("tos.rtd", , "INTRINSIC", ".TAN201120P73.5")</f>
        <v>N/A</v>
      </c>
      <c r="S665" t="str">
        <f>RTD("tos.rtd", , "EXTRINSIC", ".TAN201120P73.5")</f>
        <v>N/A</v>
      </c>
      <c r="T665" t="str">
        <f>RTD("tos.rtd", , "PROB_OF_EXPIRING", ".TAN201120P73.5")</f>
        <v>N/A</v>
      </c>
      <c r="U665" t="str">
        <f>RTD("tos.rtd", , "PROB_OTM", ".TAN201120P73.5")</f>
        <v>N/A</v>
      </c>
      <c r="V665" t="str">
        <f>RTD("tos.rtd", , "PROB_OF_TOUCHING", ".TAN201120P73.5")</f>
        <v>N/A</v>
      </c>
      <c r="W665" t="str">
        <f>RTD("tos.rtd", , "STRIKE", ".TAN201120P73.5")</f>
        <v>N/A</v>
      </c>
    </row>
    <row r="666" spans="1:23" x14ac:dyDescent="0.45">
      <c r="A666" t="s">
        <v>687</v>
      </c>
      <c r="B666" t="str">
        <f>RTD("tos.rtd", , "DESCRIPTION", ".TAN201120C74")</f>
        <v>N/A</v>
      </c>
      <c r="C666" t="str">
        <f>RTD("tos.rtd", , "PUT_CALL_RATIO", ".TAN201120C74")</f>
        <v>N/A</v>
      </c>
      <c r="D666" t="str">
        <f>RTD("tos.rtd", , "IMPL_VOL", ".TAN201120C74")</f>
        <v>N/A</v>
      </c>
      <c r="E666">
        <f>RTD("tos.rtd", , "LAST", ".TAN201120C74")</f>
        <v>3.12</v>
      </c>
      <c r="F666">
        <f>RTD("tos.rtd", , "VOLUME", ".TAN201120C74")</f>
        <v>4</v>
      </c>
      <c r="G666">
        <f>RTD("tos.rtd", , "OPEN_INT", ".TAN201120C74")</f>
        <v>148</v>
      </c>
      <c r="H666">
        <f>RTD("tos.rtd", , "BID", ".TAN201120C74")</f>
        <v>1.85</v>
      </c>
      <c r="I666">
        <f>RTD("tos.rtd", , "ASK", ".TAN201120C74")</f>
        <v>2.25</v>
      </c>
      <c r="J666">
        <f>RTD("tos.rtd", , "HIGH", ".TAN201120C74")</f>
        <v>3.4</v>
      </c>
      <c r="K666">
        <f>RTD("tos.rtd", , "LOW", ".TAN201120C74")</f>
        <v>3.12</v>
      </c>
      <c r="L666">
        <f>RTD("tos.rtd", , "OPEN", ".TAN201120C74")</f>
        <v>3.4</v>
      </c>
      <c r="M666" t="str">
        <f>RTD("tos.rtd", , "DELTA", ".TAN201120C74")</f>
        <v>N/A</v>
      </c>
      <c r="N666" t="str">
        <f>RTD("tos.rtd", , "GAMMA", ".TAN201120C74")</f>
        <v>N/A</v>
      </c>
      <c r="O666" t="str">
        <f>RTD("tos.rtd", , "THETA", ".TAN201120C74")</f>
        <v>N/A</v>
      </c>
      <c r="P666" t="str">
        <f>RTD("tos.rtd", , "VEGA", ".TAN201120C74")</f>
        <v>N/A</v>
      </c>
      <c r="Q666" t="str">
        <f>RTD("tos.rtd", , "RHO", ".TAN201120C74")</f>
        <v>N/A</v>
      </c>
      <c r="R666" t="str">
        <f>RTD("tos.rtd", , "INTRINSIC", ".TAN201120C74")</f>
        <v>N/A</v>
      </c>
      <c r="S666" t="str">
        <f>RTD("tos.rtd", , "EXTRINSIC", ".TAN201120C74")</f>
        <v>N/A</v>
      </c>
      <c r="T666" t="str">
        <f>RTD("tos.rtd", , "PROB_OF_EXPIRING", ".TAN201120C74")</f>
        <v>N/A</v>
      </c>
      <c r="U666" t="str">
        <f>RTD("tos.rtd", , "PROB_OTM", ".TAN201120C74")</f>
        <v>N/A</v>
      </c>
      <c r="V666" t="str">
        <f>RTD("tos.rtd", , "PROB_OF_TOUCHING", ".TAN201120C74")</f>
        <v>N/A</v>
      </c>
      <c r="W666" t="str">
        <f>RTD("tos.rtd", , "STRIKE", ".TAN201120C74")</f>
        <v>N/A</v>
      </c>
    </row>
    <row r="667" spans="1:23" x14ac:dyDescent="0.45">
      <c r="A667" t="s">
        <v>688</v>
      </c>
      <c r="B667" t="str">
        <f>RTD("tos.rtd", , "DESCRIPTION", ".TAN201120P74")</f>
        <v>N/A</v>
      </c>
      <c r="C667" t="str">
        <f>RTD("tos.rtd", , "PUT_CALL_RATIO", ".TAN201120P74")</f>
        <v>N/A</v>
      </c>
      <c r="D667" t="str">
        <f>RTD("tos.rtd", , "IMPL_VOL", ".TAN201120P74")</f>
        <v>N/A</v>
      </c>
      <c r="E667">
        <f>RTD("tos.rtd", , "LAST", ".TAN201120P74")</f>
        <v>1.82</v>
      </c>
      <c r="F667">
        <f>RTD("tos.rtd", , "VOLUME", ".TAN201120P74")</f>
        <v>2</v>
      </c>
      <c r="G667">
        <f>RTD("tos.rtd", , "OPEN_INT", ".TAN201120P74")</f>
        <v>344</v>
      </c>
      <c r="H667">
        <f>RTD("tos.rtd", , "BID", ".TAN201120P74")</f>
        <v>2.5</v>
      </c>
      <c r="I667">
        <f>RTD("tos.rtd", , "ASK", ".TAN201120P74")</f>
        <v>2.85</v>
      </c>
      <c r="J667">
        <f>RTD("tos.rtd", , "HIGH", ".TAN201120P74")</f>
        <v>1.82</v>
      </c>
      <c r="K667">
        <f>RTD("tos.rtd", , "LOW", ".TAN201120P74")</f>
        <v>1.82</v>
      </c>
      <c r="L667">
        <f>RTD("tos.rtd", , "OPEN", ".TAN201120P74")</f>
        <v>1.82</v>
      </c>
      <c r="M667" t="str">
        <f>RTD("tos.rtd", , "DELTA", ".TAN201120P74")</f>
        <v>N/A</v>
      </c>
      <c r="N667" t="str">
        <f>RTD("tos.rtd", , "GAMMA", ".TAN201120P74")</f>
        <v>N/A</v>
      </c>
      <c r="O667" t="str">
        <f>RTD("tos.rtd", , "THETA", ".TAN201120P74")</f>
        <v>N/A</v>
      </c>
      <c r="P667" t="str">
        <f>RTD("tos.rtd", , "VEGA", ".TAN201120P74")</f>
        <v>N/A</v>
      </c>
      <c r="Q667" t="str">
        <f>RTD("tos.rtd", , "RHO", ".TAN201120P74")</f>
        <v>N/A</v>
      </c>
      <c r="R667" t="str">
        <f>RTD("tos.rtd", , "INTRINSIC", ".TAN201120P74")</f>
        <v>N/A</v>
      </c>
      <c r="S667" t="str">
        <f>RTD("tos.rtd", , "EXTRINSIC", ".TAN201120P74")</f>
        <v>N/A</v>
      </c>
      <c r="T667" t="str">
        <f>RTD("tos.rtd", , "PROB_OF_EXPIRING", ".TAN201120P74")</f>
        <v>N/A</v>
      </c>
      <c r="U667" t="str">
        <f>RTD("tos.rtd", , "PROB_OTM", ".TAN201120P74")</f>
        <v>N/A</v>
      </c>
      <c r="V667" t="str">
        <f>RTD("tos.rtd", , "PROB_OF_TOUCHING", ".TAN201120P74")</f>
        <v>N/A</v>
      </c>
      <c r="W667" t="str">
        <f>RTD("tos.rtd", , "STRIKE", ".TAN201120P74")</f>
        <v>N/A</v>
      </c>
    </row>
    <row r="668" spans="1:23" x14ac:dyDescent="0.45">
      <c r="A668" t="s">
        <v>689</v>
      </c>
      <c r="B668" t="str">
        <f>RTD("tos.rtd", , "DESCRIPTION", ".TAN201120C74.5")</f>
        <v>N/A</v>
      </c>
      <c r="C668" t="str">
        <f>RTD("tos.rtd", , "PUT_CALL_RATIO", ".TAN201120C74.5")</f>
        <v>N/A</v>
      </c>
      <c r="D668" t="str">
        <f>RTD("tos.rtd", , "IMPL_VOL", ".TAN201120C74.5")</f>
        <v>N/A</v>
      </c>
      <c r="E668" t="str">
        <f>RTD("tos.rtd", , "LAST", ".TAN201120C74.5")</f>
        <v>N/A</v>
      </c>
      <c r="F668" t="str">
        <f>RTD("tos.rtd", , "VOLUME", ".TAN201120C74.5")</f>
        <v>N/A</v>
      </c>
      <c r="G668" t="str">
        <f>RTD("tos.rtd", , "OPEN_INT", ".TAN201120C74.5")</f>
        <v>N/A</v>
      </c>
      <c r="H668" t="str">
        <f>RTD("tos.rtd", , "BID", ".TAN201120C74.5")</f>
        <v>N/A</v>
      </c>
      <c r="I668" t="str">
        <f>RTD("tos.rtd", , "ASK", ".TAN201120C74.5")</f>
        <v>N/A</v>
      </c>
      <c r="J668" t="str">
        <f>RTD("tos.rtd", , "HIGH", ".TAN201120C74.5")</f>
        <v>N/A</v>
      </c>
      <c r="K668" t="str">
        <f>RTD("tos.rtd", , "LOW", ".TAN201120C74.5")</f>
        <v>N/A</v>
      </c>
      <c r="L668" t="str">
        <f>RTD("tos.rtd", , "OPEN", ".TAN201120C74.5")</f>
        <v>N/A</v>
      </c>
      <c r="M668" t="str">
        <f>RTD("tos.rtd", , "DELTA", ".TAN201120C74.5")</f>
        <v>N/A</v>
      </c>
      <c r="N668" t="str">
        <f>RTD("tos.rtd", , "GAMMA", ".TAN201120C74.5")</f>
        <v>N/A</v>
      </c>
      <c r="O668" t="str">
        <f>RTD("tos.rtd", , "THETA", ".TAN201120C74.5")</f>
        <v>N/A</v>
      </c>
      <c r="P668" t="str">
        <f>RTD("tos.rtd", , "VEGA", ".TAN201120C74.5")</f>
        <v>N/A</v>
      </c>
      <c r="Q668" t="str">
        <f>RTD("tos.rtd", , "RHO", ".TAN201120C74.5")</f>
        <v>N/A</v>
      </c>
      <c r="R668" t="str">
        <f>RTD("tos.rtd", , "INTRINSIC", ".TAN201120C74.5")</f>
        <v>N/A</v>
      </c>
      <c r="S668" t="str">
        <f>RTD("tos.rtd", , "EXTRINSIC", ".TAN201120C74.5")</f>
        <v>N/A</v>
      </c>
      <c r="T668" t="str">
        <f>RTD("tos.rtd", , "PROB_OF_EXPIRING", ".TAN201120C74.5")</f>
        <v>N/A</v>
      </c>
      <c r="U668" t="str">
        <f>RTD("tos.rtd", , "PROB_OTM", ".TAN201120C74.5")</f>
        <v>N/A</v>
      </c>
      <c r="V668" t="str">
        <f>RTD("tos.rtd", , "PROB_OF_TOUCHING", ".TAN201120C74.5")</f>
        <v>N/A</v>
      </c>
      <c r="W668" t="str">
        <f>RTD("tos.rtd", , "STRIKE", ".TAN201120C74.5")</f>
        <v>N/A</v>
      </c>
    </row>
    <row r="669" spans="1:23" x14ac:dyDescent="0.45">
      <c r="A669" t="s">
        <v>690</v>
      </c>
      <c r="B669" t="str">
        <f>RTD("tos.rtd", , "DESCRIPTION", ".TAN201120P74.5")</f>
        <v>N/A</v>
      </c>
      <c r="C669" t="str">
        <f>RTD("tos.rtd", , "PUT_CALL_RATIO", ".TAN201120P74.5")</f>
        <v>N/A</v>
      </c>
      <c r="D669" t="str">
        <f>RTD("tos.rtd", , "IMPL_VOL", ".TAN201120P74.5")</f>
        <v>N/A</v>
      </c>
      <c r="E669" t="str">
        <f>RTD("tos.rtd", , "LAST", ".TAN201120P74.5")</f>
        <v>N/A</v>
      </c>
      <c r="F669" t="str">
        <f>RTD("tos.rtd", , "VOLUME", ".TAN201120P74.5")</f>
        <v>N/A</v>
      </c>
      <c r="G669" t="str">
        <f>RTD("tos.rtd", , "OPEN_INT", ".TAN201120P74.5")</f>
        <v>N/A</v>
      </c>
      <c r="H669" t="str">
        <f>RTD("tos.rtd", , "BID", ".TAN201120P74.5")</f>
        <v>N/A</v>
      </c>
      <c r="I669" t="str">
        <f>RTD("tos.rtd", , "ASK", ".TAN201120P74.5")</f>
        <v>N/A</v>
      </c>
      <c r="J669" t="str">
        <f>RTD("tos.rtd", , "HIGH", ".TAN201120P74.5")</f>
        <v>N/A</v>
      </c>
      <c r="K669" t="str">
        <f>RTD("tos.rtd", , "LOW", ".TAN201120P74.5")</f>
        <v>N/A</v>
      </c>
      <c r="L669" t="str">
        <f>RTD("tos.rtd", , "OPEN", ".TAN201120P74.5")</f>
        <v>N/A</v>
      </c>
      <c r="M669" t="str">
        <f>RTD("tos.rtd", , "DELTA", ".TAN201120P74.5")</f>
        <v>N/A</v>
      </c>
      <c r="N669" t="str">
        <f>RTD("tos.rtd", , "GAMMA", ".TAN201120P74.5")</f>
        <v>N/A</v>
      </c>
      <c r="O669" t="str">
        <f>RTD("tos.rtd", , "THETA", ".TAN201120P74.5")</f>
        <v>N/A</v>
      </c>
      <c r="P669" t="str">
        <f>RTD("tos.rtd", , "VEGA", ".TAN201120P74.5")</f>
        <v>N/A</v>
      </c>
      <c r="Q669" t="str">
        <f>RTD("tos.rtd", , "RHO", ".TAN201120P74.5")</f>
        <v>N/A</v>
      </c>
      <c r="R669" t="str">
        <f>RTD("tos.rtd", , "INTRINSIC", ".TAN201120P74.5")</f>
        <v>N/A</v>
      </c>
      <c r="S669" t="str">
        <f>RTD("tos.rtd", , "EXTRINSIC", ".TAN201120P74.5")</f>
        <v>N/A</v>
      </c>
      <c r="T669" t="str">
        <f>RTD("tos.rtd", , "PROB_OF_EXPIRING", ".TAN201120P74.5")</f>
        <v>N/A</v>
      </c>
      <c r="U669" t="str">
        <f>RTD("tos.rtd", , "PROB_OTM", ".TAN201120P74.5")</f>
        <v>N/A</v>
      </c>
      <c r="V669" t="str">
        <f>RTD("tos.rtd", , "PROB_OF_TOUCHING", ".TAN201120P74.5")</f>
        <v>N/A</v>
      </c>
      <c r="W669" t="str">
        <f>RTD("tos.rtd", , "STRIKE", ".TAN201120P74.5")</f>
        <v>N/A</v>
      </c>
    </row>
    <row r="670" spans="1:23" x14ac:dyDescent="0.45">
      <c r="A670" t="s">
        <v>691</v>
      </c>
      <c r="B670" t="str">
        <f>RTD("tos.rtd", , "DESCRIPTION", ".TAN201120C75")</f>
        <v>N/A</v>
      </c>
      <c r="C670" t="str">
        <f>RTD("tos.rtd", , "PUT_CALL_RATIO", ".TAN201120C75")</f>
        <v>N/A</v>
      </c>
      <c r="D670" t="str">
        <f>RTD("tos.rtd", , "IMPL_VOL", ".TAN201120C75")</f>
        <v>N/A</v>
      </c>
      <c r="E670">
        <f>RTD("tos.rtd", , "LAST", ".TAN201120C75")</f>
        <v>1.75</v>
      </c>
      <c r="F670">
        <f>RTD("tos.rtd", , "VOLUME", ".TAN201120C75")</f>
        <v>117</v>
      </c>
      <c r="G670">
        <f>RTD("tos.rtd", , "OPEN_INT", ".TAN201120C75")</f>
        <v>735</v>
      </c>
      <c r="H670">
        <f>RTD("tos.rtd", , "BID", ".TAN201120C75")</f>
        <v>1.55</v>
      </c>
      <c r="I670">
        <f>RTD("tos.rtd", , "ASK", ".TAN201120C75")</f>
        <v>1.85</v>
      </c>
      <c r="J670">
        <f>RTD("tos.rtd", , "HIGH", ".TAN201120C75")</f>
        <v>3.13</v>
      </c>
      <c r="K670">
        <f>RTD("tos.rtd", , "LOW", ".TAN201120C75")</f>
        <v>1.75</v>
      </c>
      <c r="L670">
        <f>RTD("tos.rtd", , "OPEN", ".TAN201120C75")</f>
        <v>2.95</v>
      </c>
      <c r="M670" t="str">
        <f>RTD("tos.rtd", , "DELTA", ".TAN201120C75")</f>
        <v>N/A</v>
      </c>
      <c r="N670" t="str">
        <f>RTD("tos.rtd", , "GAMMA", ".TAN201120C75")</f>
        <v>N/A</v>
      </c>
      <c r="O670" t="str">
        <f>RTD("tos.rtd", , "THETA", ".TAN201120C75")</f>
        <v>N/A</v>
      </c>
      <c r="P670" t="str">
        <f>RTD("tos.rtd", , "VEGA", ".TAN201120C75")</f>
        <v>N/A</v>
      </c>
      <c r="Q670" t="str">
        <f>RTD("tos.rtd", , "RHO", ".TAN201120C75")</f>
        <v>N/A</v>
      </c>
      <c r="R670" t="str">
        <f>RTD("tos.rtd", , "INTRINSIC", ".TAN201120C75")</f>
        <v>N/A</v>
      </c>
      <c r="S670" t="str">
        <f>RTD("tos.rtd", , "EXTRINSIC", ".TAN201120C75")</f>
        <v>N/A</v>
      </c>
      <c r="T670" t="str">
        <f>RTD("tos.rtd", , "PROB_OF_EXPIRING", ".TAN201120C75")</f>
        <v>N/A</v>
      </c>
      <c r="U670" t="str">
        <f>RTD("tos.rtd", , "PROB_OTM", ".TAN201120C75")</f>
        <v>N/A</v>
      </c>
      <c r="V670" t="str">
        <f>RTD("tos.rtd", , "PROB_OF_TOUCHING", ".TAN201120C75")</f>
        <v>N/A</v>
      </c>
      <c r="W670" t="str">
        <f>RTD("tos.rtd", , "STRIKE", ".TAN201120C75")</f>
        <v>N/A</v>
      </c>
    </row>
    <row r="671" spans="1:23" x14ac:dyDescent="0.45">
      <c r="A671" t="s">
        <v>692</v>
      </c>
      <c r="B671" t="str">
        <f>RTD("tos.rtd", , "DESCRIPTION", ".TAN201120P75")</f>
        <v>N/A</v>
      </c>
      <c r="C671" t="str">
        <f>RTD("tos.rtd", , "PUT_CALL_RATIO", ".TAN201120P75")</f>
        <v>N/A</v>
      </c>
      <c r="D671" t="str">
        <f>RTD("tos.rtd", , "IMPL_VOL", ".TAN201120P75")</f>
        <v>N/A</v>
      </c>
      <c r="E671">
        <f>RTD("tos.rtd", , "LAST", ".TAN201120P75")</f>
        <v>3.4</v>
      </c>
      <c r="F671">
        <f>RTD("tos.rtd", , "VOLUME", ".TAN201120P75")</f>
        <v>4</v>
      </c>
      <c r="G671">
        <f>RTD("tos.rtd", , "OPEN_INT", ".TAN201120P75")</f>
        <v>137</v>
      </c>
      <c r="H671">
        <f>RTD("tos.rtd", , "BID", ".TAN201120P75")</f>
        <v>3.1</v>
      </c>
      <c r="I671">
        <f>RTD("tos.rtd", , "ASK", ".TAN201120P75")</f>
        <v>3.5</v>
      </c>
      <c r="J671">
        <f>RTD("tos.rtd", , "HIGH", ".TAN201120P75")</f>
        <v>3.4</v>
      </c>
      <c r="K671">
        <f>RTD("tos.rtd", , "LOW", ".TAN201120P75")</f>
        <v>2.5</v>
      </c>
      <c r="L671">
        <f>RTD("tos.rtd", , "OPEN", ".TAN201120P75")</f>
        <v>2.5</v>
      </c>
      <c r="M671" t="str">
        <f>RTD("tos.rtd", , "DELTA", ".TAN201120P75")</f>
        <v>N/A</v>
      </c>
      <c r="N671" t="str">
        <f>RTD("tos.rtd", , "GAMMA", ".TAN201120P75")</f>
        <v>N/A</v>
      </c>
      <c r="O671" t="str">
        <f>RTD("tos.rtd", , "THETA", ".TAN201120P75")</f>
        <v>N/A</v>
      </c>
      <c r="P671" t="str">
        <f>RTD("tos.rtd", , "VEGA", ".TAN201120P75")</f>
        <v>N/A</v>
      </c>
      <c r="Q671" t="str">
        <f>RTD("tos.rtd", , "RHO", ".TAN201120P75")</f>
        <v>N/A</v>
      </c>
      <c r="R671" t="str">
        <f>RTD("tos.rtd", , "INTRINSIC", ".TAN201120P75")</f>
        <v>N/A</v>
      </c>
      <c r="S671" t="str">
        <f>RTD("tos.rtd", , "EXTRINSIC", ".TAN201120P75")</f>
        <v>N/A</v>
      </c>
      <c r="T671" t="str">
        <f>RTD("tos.rtd", , "PROB_OF_EXPIRING", ".TAN201120P75")</f>
        <v>N/A</v>
      </c>
      <c r="U671" t="str">
        <f>RTD("tos.rtd", , "PROB_OTM", ".TAN201120P75")</f>
        <v>N/A</v>
      </c>
      <c r="V671" t="str">
        <f>RTD("tos.rtd", , "PROB_OF_TOUCHING", ".TAN201120P75")</f>
        <v>N/A</v>
      </c>
      <c r="W671" t="str">
        <f>RTD("tos.rtd", , "STRIKE", ".TAN201120P75")</f>
        <v>N/A</v>
      </c>
    </row>
    <row r="672" spans="1:23" x14ac:dyDescent="0.45">
      <c r="A672" t="s">
        <v>693</v>
      </c>
      <c r="B672" t="str">
        <f>RTD("tos.rtd", , "DESCRIPTION", ".TAN201120C75.5")</f>
        <v>N/A</v>
      </c>
      <c r="C672" t="str">
        <f>RTD("tos.rtd", , "PUT_CALL_RATIO", ".TAN201120C75.5")</f>
        <v>N/A</v>
      </c>
      <c r="D672" t="str">
        <f>RTD("tos.rtd", , "IMPL_VOL", ".TAN201120C75.5")</f>
        <v>N/A</v>
      </c>
      <c r="E672" t="str">
        <f>RTD("tos.rtd", , "LAST", ".TAN201120C75.5")</f>
        <v>N/A</v>
      </c>
      <c r="F672" t="str">
        <f>RTD("tos.rtd", , "VOLUME", ".TAN201120C75.5")</f>
        <v>N/A</v>
      </c>
      <c r="G672" t="str">
        <f>RTD("tos.rtd", , "OPEN_INT", ".TAN201120C75.5")</f>
        <v>N/A</v>
      </c>
      <c r="H672" t="str">
        <f>RTD("tos.rtd", , "BID", ".TAN201120C75.5")</f>
        <v>N/A</v>
      </c>
      <c r="I672" t="str">
        <f>RTD("tos.rtd", , "ASK", ".TAN201120C75.5")</f>
        <v>N/A</v>
      </c>
      <c r="J672" t="str">
        <f>RTD("tos.rtd", , "HIGH", ".TAN201120C75.5")</f>
        <v>N/A</v>
      </c>
      <c r="K672" t="str">
        <f>RTD("tos.rtd", , "LOW", ".TAN201120C75.5")</f>
        <v>N/A</v>
      </c>
      <c r="L672" t="str">
        <f>RTD("tos.rtd", , "OPEN", ".TAN201120C75.5")</f>
        <v>N/A</v>
      </c>
      <c r="M672" t="str">
        <f>RTD("tos.rtd", , "DELTA", ".TAN201120C75.5")</f>
        <v>N/A</v>
      </c>
      <c r="N672" t="str">
        <f>RTD("tos.rtd", , "GAMMA", ".TAN201120C75.5")</f>
        <v>N/A</v>
      </c>
      <c r="O672" t="str">
        <f>RTD("tos.rtd", , "THETA", ".TAN201120C75.5")</f>
        <v>N/A</v>
      </c>
      <c r="P672" t="str">
        <f>RTD("tos.rtd", , "VEGA", ".TAN201120C75.5")</f>
        <v>N/A</v>
      </c>
      <c r="Q672" t="str">
        <f>RTD("tos.rtd", , "RHO", ".TAN201120C75.5")</f>
        <v>N/A</v>
      </c>
      <c r="R672" t="str">
        <f>RTD("tos.rtd", , "INTRINSIC", ".TAN201120C75.5")</f>
        <v>N/A</v>
      </c>
      <c r="S672" t="str">
        <f>RTD("tos.rtd", , "EXTRINSIC", ".TAN201120C75.5")</f>
        <v>N/A</v>
      </c>
      <c r="T672" t="str">
        <f>RTD("tos.rtd", , "PROB_OF_EXPIRING", ".TAN201120C75.5")</f>
        <v>N/A</v>
      </c>
      <c r="U672" t="str">
        <f>RTD("tos.rtd", , "PROB_OTM", ".TAN201120C75.5")</f>
        <v>N/A</v>
      </c>
      <c r="V672" t="str">
        <f>RTD("tos.rtd", , "PROB_OF_TOUCHING", ".TAN201120C75.5")</f>
        <v>N/A</v>
      </c>
      <c r="W672" t="str">
        <f>RTD("tos.rtd", , "STRIKE", ".TAN201120C75.5")</f>
        <v>N/A</v>
      </c>
    </row>
    <row r="673" spans="1:23" x14ac:dyDescent="0.45">
      <c r="A673" t="s">
        <v>694</v>
      </c>
      <c r="B673" t="str">
        <f>RTD("tos.rtd", , "DESCRIPTION", ".TAN201120P75.5")</f>
        <v>N/A</v>
      </c>
      <c r="C673" t="str">
        <f>RTD("tos.rtd", , "PUT_CALL_RATIO", ".TAN201120P75.5")</f>
        <v>N/A</v>
      </c>
      <c r="D673" t="str">
        <f>RTD("tos.rtd", , "IMPL_VOL", ".TAN201120P75.5")</f>
        <v>N/A</v>
      </c>
      <c r="E673" t="str">
        <f>RTD("tos.rtd", , "LAST", ".TAN201120P75.5")</f>
        <v>N/A</v>
      </c>
      <c r="F673" t="str">
        <f>RTD("tos.rtd", , "VOLUME", ".TAN201120P75.5")</f>
        <v>N/A</v>
      </c>
      <c r="G673" t="str">
        <f>RTD("tos.rtd", , "OPEN_INT", ".TAN201120P75.5")</f>
        <v>N/A</v>
      </c>
      <c r="H673" t="str">
        <f>RTD("tos.rtd", , "BID", ".TAN201120P75.5")</f>
        <v>N/A</v>
      </c>
      <c r="I673" t="str">
        <f>RTD("tos.rtd", , "ASK", ".TAN201120P75.5")</f>
        <v>N/A</v>
      </c>
      <c r="J673" t="str">
        <f>RTD("tos.rtd", , "HIGH", ".TAN201120P75.5")</f>
        <v>N/A</v>
      </c>
      <c r="K673" t="str">
        <f>RTD("tos.rtd", , "LOW", ".TAN201120P75.5")</f>
        <v>N/A</v>
      </c>
      <c r="L673" t="str">
        <f>RTD("tos.rtd", , "OPEN", ".TAN201120P75.5")</f>
        <v>N/A</v>
      </c>
      <c r="M673" t="str">
        <f>RTD("tos.rtd", , "DELTA", ".TAN201120P75.5")</f>
        <v>N/A</v>
      </c>
      <c r="N673" t="str">
        <f>RTD("tos.rtd", , "GAMMA", ".TAN201120P75.5")</f>
        <v>N/A</v>
      </c>
      <c r="O673" t="str">
        <f>RTD("tos.rtd", , "THETA", ".TAN201120P75.5")</f>
        <v>N/A</v>
      </c>
      <c r="P673" t="str">
        <f>RTD("tos.rtd", , "VEGA", ".TAN201120P75.5")</f>
        <v>N/A</v>
      </c>
      <c r="Q673" t="str">
        <f>RTD("tos.rtd", , "RHO", ".TAN201120P75.5")</f>
        <v>N/A</v>
      </c>
      <c r="R673" t="str">
        <f>RTD("tos.rtd", , "INTRINSIC", ".TAN201120P75.5")</f>
        <v>N/A</v>
      </c>
      <c r="S673" t="str">
        <f>RTD("tos.rtd", , "EXTRINSIC", ".TAN201120P75.5")</f>
        <v>N/A</v>
      </c>
      <c r="T673" t="str">
        <f>RTD("tos.rtd", , "PROB_OF_EXPIRING", ".TAN201120P75.5")</f>
        <v>N/A</v>
      </c>
      <c r="U673" t="str">
        <f>RTD("tos.rtd", , "PROB_OTM", ".TAN201120P75.5")</f>
        <v>N/A</v>
      </c>
      <c r="V673" t="str">
        <f>RTD("tos.rtd", , "PROB_OF_TOUCHING", ".TAN201120P75.5")</f>
        <v>N/A</v>
      </c>
      <c r="W673" t="str">
        <f>RTD("tos.rtd", , "STRIKE", ".TAN201120P75.5")</f>
        <v>N/A</v>
      </c>
    </row>
    <row r="674" spans="1:23" x14ac:dyDescent="0.45">
      <c r="A674" t="s">
        <v>695</v>
      </c>
      <c r="B674" t="str">
        <f>RTD("tos.rtd", , "DESCRIPTION", ".TAN201120C76")</f>
        <v>N/A</v>
      </c>
      <c r="C674" t="str">
        <f>RTD("tos.rtd", , "PUT_CALL_RATIO", ".TAN201120C76")</f>
        <v>N/A</v>
      </c>
      <c r="D674" t="str">
        <f>RTD("tos.rtd", , "IMPL_VOL", ".TAN201120C76")</f>
        <v>N/A</v>
      </c>
      <c r="E674" t="str">
        <f>RTD("tos.rtd", , "LAST", ".TAN201120C76")</f>
        <v>N/A</v>
      </c>
      <c r="F674" t="str">
        <f>RTD("tos.rtd", , "VOLUME", ".TAN201120C76")</f>
        <v>N/A</v>
      </c>
      <c r="G674" t="str">
        <f>RTD("tos.rtd", , "OPEN_INT", ".TAN201120C76")</f>
        <v>N/A</v>
      </c>
      <c r="H674" t="str">
        <f>RTD("tos.rtd", , "BID", ".TAN201120C76")</f>
        <v>N/A</v>
      </c>
      <c r="I674" t="str">
        <f>RTD("tos.rtd", , "ASK", ".TAN201120C76")</f>
        <v>N/A</v>
      </c>
      <c r="J674" t="str">
        <f>RTD("tos.rtd", , "HIGH", ".TAN201120C76")</f>
        <v>N/A</v>
      </c>
      <c r="K674" t="str">
        <f>RTD("tos.rtd", , "LOW", ".TAN201120C76")</f>
        <v>N/A</v>
      </c>
      <c r="L674" t="str">
        <f>RTD("tos.rtd", , "OPEN", ".TAN201120C76")</f>
        <v>N/A</v>
      </c>
      <c r="M674" t="str">
        <f>RTD("tos.rtd", , "DELTA", ".TAN201120C76")</f>
        <v>N/A</v>
      </c>
      <c r="N674" t="str">
        <f>RTD("tos.rtd", , "GAMMA", ".TAN201120C76")</f>
        <v>N/A</v>
      </c>
      <c r="O674" t="str">
        <f>RTD("tos.rtd", , "THETA", ".TAN201120C76")</f>
        <v>N/A</v>
      </c>
      <c r="P674" t="str">
        <f>RTD("tos.rtd", , "VEGA", ".TAN201120C76")</f>
        <v>N/A</v>
      </c>
      <c r="Q674" t="str">
        <f>RTD("tos.rtd", , "RHO", ".TAN201120C76")</f>
        <v>N/A</v>
      </c>
      <c r="R674" t="str">
        <f>RTD("tos.rtd", , "INTRINSIC", ".TAN201120C76")</f>
        <v>N/A</v>
      </c>
      <c r="S674" t="str">
        <f>RTD("tos.rtd", , "EXTRINSIC", ".TAN201120C76")</f>
        <v>N/A</v>
      </c>
      <c r="T674" t="str">
        <f>RTD("tos.rtd", , "PROB_OF_EXPIRING", ".TAN201120C76")</f>
        <v>N/A</v>
      </c>
      <c r="U674" t="str">
        <f>RTD("tos.rtd", , "PROB_OTM", ".TAN201120C76")</f>
        <v>N/A</v>
      </c>
      <c r="V674" t="str">
        <f>RTD("tos.rtd", , "PROB_OF_TOUCHING", ".TAN201120C76")</f>
        <v>N/A</v>
      </c>
      <c r="W674" t="str">
        <f>RTD("tos.rtd", , "STRIKE", ".TAN201120C76")</f>
        <v>N/A</v>
      </c>
    </row>
    <row r="675" spans="1:23" x14ac:dyDescent="0.45">
      <c r="A675" t="s">
        <v>696</v>
      </c>
      <c r="B675" t="str">
        <f>RTD("tos.rtd", , "DESCRIPTION", ".TAN201120P76")</f>
        <v>N/A</v>
      </c>
      <c r="C675" t="str">
        <f>RTD("tos.rtd", , "PUT_CALL_RATIO", ".TAN201120P76")</f>
        <v>N/A</v>
      </c>
      <c r="D675" t="str">
        <f>RTD("tos.rtd", , "IMPL_VOL", ".TAN201120P76")</f>
        <v>N/A</v>
      </c>
      <c r="E675">
        <f>RTD("tos.rtd", , "LAST", ".TAN201120P76")</f>
        <v>3.2</v>
      </c>
      <c r="F675">
        <f>RTD("tos.rtd", , "VOLUME", ".TAN201120P76")</f>
        <v>0</v>
      </c>
      <c r="G675">
        <f>RTD("tos.rtd", , "OPEN_INT", ".TAN201120P76")</f>
        <v>10</v>
      </c>
      <c r="H675">
        <f>RTD("tos.rtd", , "BID", ".TAN201120P76")</f>
        <v>3.6</v>
      </c>
      <c r="I675">
        <f>RTD("tos.rtd", , "ASK", ".TAN201120P76")</f>
        <v>4.3</v>
      </c>
      <c r="J675">
        <f>RTD("tos.rtd", , "HIGH", ".TAN201120P76")</f>
        <v>0</v>
      </c>
      <c r="K675">
        <f>RTD("tos.rtd", , "LOW", ".TAN201120P76")</f>
        <v>0</v>
      </c>
      <c r="L675">
        <f>RTD("tos.rtd", , "OPEN", ".TAN201120P76")</f>
        <v>0</v>
      </c>
      <c r="M675" t="str">
        <f>RTD("tos.rtd", , "DELTA", ".TAN201120P76")</f>
        <v>N/A</v>
      </c>
      <c r="N675" t="str">
        <f>RTD("tos.rtd", , "GAMMA", ".TAN201120P76")</f>
        <v>N/A</v>
      </c>
      <c r="O675" t="str">
        <f>RTD("tos.rtd", , "THETA", ".TAN201120P76")</f>
        <v>N/A</v>
      </c>
      <c r="P675" t="str">
        <f>RTD("tos.rtd", , "VEGA", ".TAN201120P76")</f>
        <v>N/A</v>
      </c>
      <c r="Q675" t="str">
        <f>RTD("tos.rtd", , "RHO", ".TAN201120P76")</f>
        <v>N/A</v>
      </c>
      <c r="R675" t="str">
        <f>RTD("tos.rtd", , "INTRINSIC", ".TAN201120P76")</f>
        <v>N/A</v>
      </c>
      <c r="S675" t="str">
        <f>RTD("tos.rtd", , "EXTRINSIC", ".TAN201120P76")</f>
        <v>N/A</v>
      </c>
      <c r="T675" t="str">
        <f>RTD("tos.rtd", , "PROB_OF_EXPIRING", ".TAN201120P76")</f>
        <v>N/A</v>
      </c>
      <c r="U675" t="str">
        <f>RTD("tos.rtd", , "PROB_OTM", ".TAN201120P76")</f>
        <v>N/A</v>
      </c>
      <c r="V675" t="str">
        <f>RTD("tos.rtd", , "PROB_OF_TOUCHING", ".TAN201120P76")</f>
        <v>N/A</v>
      </c>
      <c r="W675" t="str">
        <f>RTD("tos.rtd", , "STRIKE", ".TAN201120P76")</f>
        <v>N/A</v>
      </c>
    </row>
    <row r="676" spans="1:23" x14ac:dyDescent="0.45">
      <c r="A676" t="s">
        <v>697</v>
      </c>
      <c r="B676" t="str">
        <f>RTD("tos.rtd", , "DESCRIPTION", ".TAN201120C76.5")</f>
        <v>N/A</v>
      </c>
      <c r="C676" t="str">
        <f>RTD("tos.rtd", , "PUT_CALL_RATIO", ".TAN201120C76.5")</f>
        <v>N/A</v>
      </c>
      <c r="D676" t="str">
        <f>RTD("tos.rtd", , "IMPL_VOL", ".TAN201120C76.5")</f>
        <v>N/A</v>
      </c>
      <c r="E676" t="str">
        <f>RTD("tos.rtd", , "LAST", ".TAN201120C76.5")</f>
        <v>N/A</v>
      </c>
      <c r="F676" t="str">
        <f>RTD("tos.rtd", , "VOLUME", ".TAN201120C76.5")</f>
        <v>N/A</v>
      </c>
      <c r="G676" t="str">
        <f>RTD("tos.rtd", , "OPEN_INT", ".TAN201120C76.5")</f>
        <v>N/A</v>
      </c>
      <c r="H676" t="str">
        <f>RTD("tos.rtd", , "BID", ".TAN201120C76.5")</f>
        <v>N/A</v>
      </c>
      <c r="I676" t="str">
        <f>RTD("tos.rtd", , "ASK", ".TAN201120C76.5")</f>
        <v>N/A</v>
      </c>
      <c r="J676" t="str">
        <f>RTD("tos.rtd", , "HIGH", ".TAN201120C76.5")</f>
        <v>N/A</v>
      </c>
      <c r="K676" t="str">
        <f>RTD("tos.rtd", , "LOW", ".TAN201120C76.5")</f>
        <v>N/A</v>
      </c>
      <c r="L676" t="str">
        <f>RTD("tos.rtd", , "OPEN", ".TAN201120C76.5")</f>
        <v>N/A</v>
      </c>
      <c r="M676" t="str">
        <f>RTD("tos.rtd", , "DELTA", ".TAN201120C76.5")</f>
        <v>N/A</v>
      </c>
      <c r="N676" t="str">
        <f>RTD("tos.rtd", , "GAMMA", ".TAN201120C76.5")</f>
        <v>N/A</v>
      </c>
      <c r="O676" t="str">
        <f>RTD("tos.rtd", , "THETA", ".TAN201120C76.5")</f>
        <v>N/A</v>
      </c>
      <c r="P676" t="str">
        <f>RTD("tos.rtd", , "VEGA", ".TAN201120C76.5")</f>
        <v>N/A</v>
      </c>
      <c r="Q676" t="str">
        <f>RTD("tos.rtd", , "RHO", ".TAN201120C76.5")</f>
        <v>N/A</v>
      </c>
      <c r="R676" t="str">
        <f>RTD("tos.rtd", , "INTRINSIC", ".TAN201120C76.5")</f>
        <v>N/A</v>
      </c>
      <c r="S676" t="str">
        <f>RTD("tos.rtd", , "EXTRINSIC", ".TAN201120C76.5")</f>
        <v>N/A</v>
      </c>
      <c r="T676" t="str">
        <f>RTD("tos.rtd", , "PROB_OF_EXPIRING", ".TAN201120C76.5")</f>
        <v>N/A</v>
      </c>
      <c r="U676" t="str">
        <f>RTD("tos.rtd", , "PROB_OTM", ".TAN201120C76.5")</f>
        <v>N/A</v>
      </c>
      <c r="V676" t="str">
        <f>RTD("tos.rtd", , "PROB_OF_TOUCHING", ".TAN201120C76.5")</f>
        <v>N/A</v>
      </c>
      <c r="W676" t="str">
        <f>RTD("tos.rtd", , "STRIKE", ".TAN201120C76.5")</f>
        <v>N/A</v>
      </c>
    </row>
    <row r="677" spans="1:23" x14ac:dyDescent="0.45">
      <c r="A677" t="s">
        <v>698</v>
      </c>
      <c r="B677" t="str">
        <f>RTD("tos.rtd", , "DESCRIPTION", ".TAN201120P76.5")</f>
        <v>N/A</v>
      </c>
      <c r="C677" t="str">
        <f>RTD("tos.rtd", , "PUT_CALL_RATIO", ".TAN201120P76.5")</f>
        <v>N/A</v>
      </c>
      <c r="D677" t="str">
        <f>RTD("tos.rtd", , "IMPL_VOL", ".TAN201120P76.5")</f>
        <v>N/A</v>
      </c>
      <c r="E677" t="str">
        <f>RTD("tos.rtd", , "LAST", ".TAN201120P76.5")</f>
        <v>N/A</v>
      </c>
      <c r="F677" t="str">
        <f>RTD("tos.rtd", , "VOLUME", ".TAN201120P76.5")</f>
        <v>N/A</v>
      </c>
      <c r="G677" t="str">
        <f>RTD("tos.rtd", , "OPEN_INT", ".TAN201120P76.5")</f>
        <v>N/A</v>
      </c>
      <c r="H677" t="str">
        <f>RTD("tos.rtd", , "BID", ".TAN201120P76.5")</f>
        <v>N/A</v>
      </c>
      <c r="I677" t="str">
        <f>RTD("tos.rtd", , "ASK", ".TAN201120P76.5")</f>
        <v>N/A</v>
      </c>
      <c r="J677" t="str">
        <f>RTD("tos.rtd", , "HIGH", ".TAN201120P76.5")</f>
        <v>N/A</v>
      </c>
      <c r="K677" t="str">
        <f>RTD("tos.rtd", , "LOW", ".TAN201120P76.5")</f>
        <v>N/A</v>
      </c>
      <c r="L677" t="str">
        <f>RTD("tos.rtd", , "OPEN", ".TAN201120P76.5")</f>
        <v>N/A</v>
      </c>
      <c r="M677" t="str">
        <f>RTD("tos.rtd", , "DELTA", ".TAN201120P76.5")</f>
        <v>N/A</v>
      </c>
      <c r="N677" t="str">
        <f>RTD("tos.rtd", , "GAMMA", ".TAN201120P76.5")</f>
        <v>N/A</v>
      </c>
      <c r="O677" t="str">
        <f>RTD("tos.rtd", , "THETA", ".TAN201120P76.5")</f>
        <v>N/A</v>
      </c>
      <c r="P677" t="str">
        <f>RTD("tos.rtd", , "VEGA", ".TAN201120P76.5")</f>
        <v>N/A</v>
      </c>
      <c r="Q677" t="str">
        <f>RTD("tos.rtd", , "RHO", ".TAN201120P76.5")</f>
        <v>N/A</v>
      </c>
      <c r="R677" t="str">
        <f>RTD("tos.rtd", , "INTRINSIC", ".TAN201120P76.5")</f>
        <v>N/A</v>
      </c>
      <c r="S677" t="str">
        <f>RTD("tos.rtd", , "EXTRINSIC", ".TAN201120P76.5")</f>
        <v>N/A</v>
      </c>
      <c r="T677" t="str">
        <f>RTD("tos.rtd", , "PROB_OF_EXPIRING", ".TAN201120P76.5")</f>
        <v>N/A</v>
      </c>
      <c r="U677" t="str">
        <f>RTD("tos.rtd", , "PROB_OTM", ".TAN201120P76.5")</f>
        <v>N/A</v>
      </c>
      <c r="V677" t="str">
        <f>RTD("tos.rtd", , "PROB_OF_TOUCHING", ".TAN201120P76.5")</f>
        <v>N/A</v>
      </c>
      <c r="W677" t="str">
        <f>RTD("tos.rtd", , "STRIKE", ".TAN201120P76.5")</f>
        <v>N/A</v>
      </c>
    </row>
    <row r="678" spans="1:23" x14ac:dyDescent="0.45">
      <c r="A678" t="s">
        <v>699</v>
      </c>
      <c r="B678" t="str">
        <f>RTD("tos.rtd", , "DESCRIPTION", ".TAN201120C77")</f>
        <v>N/A</v>
      </c>
      <c r="C678" t="str">
        <f>RTD("tos.rtd", , "PUT_CALL_RATIO", ".TAN201120C77")</f>
        <v>N/A</v>
      </c>
      <c r="D678" t="str">
        <f>RTD("tos.rtd", , "IMPL_VOL", ".TAN201120C77")</f>
        <v>N/A</v>
      </c>
      <c r="E678">
        <f>RTD("tos.rtd", , "LAST", ".TAN201120C77")</f>
        <v>1.1000000000000001</v>
      </c>
      <c r="F678">
        <f>RTD("tos.rtd", , "VOLUME", ".TAN201120C77")</f>
        <v>12</v>
      </c>
      <c r="G678">
        <f>RTD("tos.rtd", , "OPEN_INT", ".TAN201120C77")</f>
        <v>970</v>
      </c>
      <c r="H678">
        <f>RTD("tos.rtd", , "BID", ".TAN201120C77")</f>
        <v>0.9</v>
      </c>
      <c r="I678">
        <f>RTD("tos.rtd", , "ASK", ".TAN201120C77")</f>
        <v>1.2</v>
      </c>
      <c r="J678">
        <f>RTD("tos.rtd", , "HIGH", ".TAN201120C77")</f>
        <v>2.0499999999999998</v>
      </c>
      <c r="K678">
        <f>RTD("tos.rtd", , "LOW", ".TAN201120C77")</f>
        <v>1.1000000000000001</v>
      </c>
      <c r="L678">
        <f>RTD("tos.rtd", , "OPEN", ".TAN201120C77")</f>
        <v>1.92</v>
      </c>
      <c r="M678" t="str">
        <f>RTD("tos.rtd", , "DELTA", ".TAN201120C77")</f>
        <v>N/A</v>
      </c>
      <c r="N678" t="str">
        <f>RTD("tos.rtd", , "GAMMA", ".TAN201120C77")</f>
        <v>N/A</v>
      </c>
      <c r="O678" t="str">
        <f>RTD("tos.rtd", , "THETA", ".TAN201120C77")</f>
        <v>N/A</v>
      </c>
      <c r="P678" t="str">
        <f>RTD("tos.rtd", , "VEGA", ".TAN201120C77")</f>
        <v>N/A</v>
      </c>
      <c r="Q678" t="str">
        <f>RTD("tos.rtd", , "RHO", ".TAN201120C77")</f>
        <v>N/A</v>
      </c>
      <c r="R678" t="str">
        <f>RTD("tos.rtd", , "INTRINSIC", ".TAN201120C77")</f>
        <v>N/A</v>
      </c>
      <c r="S678" t="str">
        <f>RTD("tos.rtd", , "EXTRINSIC", ".TAN201120C77")</f>
        <v>N/A</v>
      </c>
      <c r="T678" t="str">
        <f>RTD("tos.rtd", , "PROB_OF_EXPIRING", ".TAN201120C77")</f>
        <v>N/A</v>
      </c>
      <c r="U678" t="str">
        <f>RTD("tos.rtd", , "PROB_OTM", ".TAN201120C77")</f>
        <v>N/A</v>
      </c>
      <c r="V678" t="str">
        <f>RTD("tos.rtd", , "PROB_OF_TOUCHING", ".TAN201120C77")</f>
        <v>N/A</v>
      </c>
      <c r="W678" t="str">
        <f>RTD("tos.rtd", , "STRIKE", ".TAN201120C77")</f>
        <v>N/A</v>
      </c>
    </row>
    <row r="679" spans="1:23" x14ac:dyDescent="0.45">
      <c r="A679" t="s">
        <v>700</v>
      </c>
      <c r="B679" t="str">
        <f>RTD("tos.rtd", , "DESCRIPTION", ".TAN201120P77")</f>
        <v>N/A</v>
      </c>
      <c r="C679" t="str">
        <f>RTD("tos.rtd", , "PUT_CALL_RATIO", ".TAN201120P77")</f>
        <v>N/A</v>
      </c>
      <c r="D679" t="str">
        <f>RTD("tos.rtd", , "IMPL_VOL", ".TAN201120P77")</f>
        <v>N/A</v>
      </c>
      <c r="E679">
        <f>RTD("tos.rtd", , "LAST", ".TAN201120P77")</f>
        <v>3.5</v>
      </c>
      <c r="F679">
        <f>RTD("tos.rtd", , "VOLUME", ".TAN201120P77")</f>
        <v>4</v>
      </c>
      <c r="G679">
        <f>RTD("tos.rtd", , "OPEN_INT", ".TAN201120P77")</f>
        <v>77</v>
      </c>
      <c r="H679">
        <f>RTD("tos.rtd", , "BID", ".TAN201120P77")</f>
        <v>4.3</v>
      </c>
      <c r="I679">
        <f>RTD("tos.rtd", , "ASK", ".TAN201120P77")</f>
        <v>5</v>
      </c>
      <c r="J679">
        <f>RTD("tos.rtd", , "HIGH", ".TAN201120P77")</f>
        <v>3.6</v>
      </c>
      <c r="K679">
        <f>RTD("tos.rtd", , "LOW", ".TAN201120P77")</f>
        <v>3.05</v>
      </c>
      <c r="L679">
        <f>RTD("tos.rtd", , "OPEN", ".TAN201120P77")</f>
        <v>3.05</v>
      </c>
      <c r="M679" t="str">
        <f>RTD("tos.rtd", , "DELTA", ".TAN201120P77")</f>
        <v>N/A</v>
      </c>
      <c r="N679" t="str">
        <f>RTD("tos.rtd", , "GAMMA", ".TAN201120P77")</f>
        <v>N/A</v>
      </c>
      <c r="O679" t="str">
        <f>RTD("tos.rtd", , "THETA", ".TAN201120P77")</f>
        <v>N/A</v>
      </c>
      <c r="P679" t="str">
        <f>RTD("tos.rtd", , "VEGA", ".TAN201120P77")</f>
        <v>N/A</v>
      </c>
      <c r="Q679" t="str">
        <f>RTD("tos.rtd", , "RHO", ".TAN201120P77")</f>
        <v>N/A</v>
      </c>
      <c r="R679" t="str">
        <f>RTD("tos.rtd", , "INTRINSIC", ".TAN201120P77")</f>
        <v>N/A</v>
      </c>
      <c r="S679" t="str">
        <f>RTD("tos.rtd", , "EXTRINSIC", ".TAN201120P77")</f>
        <v>N/A</v>
      </c>
      <c r="T679" t="str">
        <f>RTD("tos.rtd", , "PROB_OF_EXPIRING", ".TAN201120P77")</f>
        <v>N/A</v>
      </c>
      <c r="U679" t="str">
        <f>RTD("tos.rtd", , "PROB_OTM", ".TAN201120P77")</f>
        <v>N/A</v>
      </c>
      <c r="V679" t="str">
        <f>RTD("tos.rtd", , "PROB_OF_TOUCHING", ".TAN201120P77")</f>
        <v>N/A</v>
      </c>
      <c r="W679" t="str">
        <f>RTD("tos.rtd", , "STRIKE", ".TAN201120P77")</f>
        <v>N/A</v>
      </c>
    </row>
    <row r="680" spans="1:23" x14ac:dyDescent="0.45">
      <c r="A680" t="s">
        <v>701</v>
      </c>
      <c r="B680" t="str">
        <f>RTD("tos.rtd", , "DESCRIPTION", "TBF")</f>
        <v>N/A</v>
      </c>
      <c r="C680">
        <f>RTD("tos.rtd", , "PUT_CALL_RATIO", "TBF")</f>
        <v>0.46899999999999997</v>
      </c>
      <c r="D680" t="str">
        <f>RTD("tos.rtd", , "IMPL_VOL", "TBF")</f>
        <v>13.09%</v>
      </c>
      <c r="E680">
        <f>RTD("tos.rtd", , "LAST", "TBF")</f>
        <v>15.75</v>
      </c>
      <c r="F680">
        <f>RTD("tos.rtd", , "VOLUME", "TBF")</f>
        <v>1662767</v>
      </c>
      <c r="G680">
        <f>RTD("tos.rtd", , "OPEN_INT", "TBF")</f>
        <v>0</v>
      </c>
      <c r="H680">
        <f>RTD("tos.rtd", , "BID", "TBF")</f>
        <v>14.55</v>
      </c>
      <c r="I680">
        <f>RTD("tos.rtd", , "ASK", "TBF")</f>
        <v>15.97</v>
      </c>
      <c r="J680">
        <f>RTD("tos.rtd", , "HIGH", "TBF")</f>
        <v>15.92</v>
      </c>
      <c r="K680">
        <f>RTD("tos.rtd", , "LOW", "TBF")</f>
        <v>15.75</v>
      </c>
      <c r="L680">
        <f>RTD("tos.rtd", , "OPEN", "TBF")</f>
        <v>15.89</v>
      </c>
      <c r="M680">
        <f>RTD("tos.rtd", , "DELTA", "TBF")</f>
        <v>1</v>
      </c>
      <c r="N680">
        <f>RTD("tos.rtd", , "GAMMA", "TBF")</f>
        <v>0</v>
      </c>
      <c r="O680">
        <f>RTD("tos.rtd", , "THETA", "TBF")</f>
        <v>0</v>
      </c>
      <c r="P680">
        <f>RTD("tos.rtd", , "VEGA", "TBF")</f>
        <v>0</v>
      </c>
      <c r="Q680">
        <f>RTD("tos.rtd", , "RHO", "TBF")</f>
        <v>0</v>
      </c>
      <c r="R680" t="str">
        <f>RTD("tos.rtd", , "INTRINSIC", "TBF")</f>
        <v>N/A</v>
      </c>
      <c r="S680" t="str">
        <f>RTD("tos.rtd", , "EXTRINSIC", "TBF")</f>
        <v>N/A</v>
      </c>
      <c r="T680" t="str">
        <f>RTD("tos.rtd", , "PROB_OF_EXPIRING", "TBF")</f>
        <v>N/A</v>
      </c>
      <c r="U680" t="str">
        <f>RTD("tos.rtd", , "PROB_OTM", "TBF")</f>
        <v>N/A</v>
      </c>
      <c r="V680" t="str">
        <f>RTD("tos.rtd", , "PROB_OF_TOUCHING", "TBF")</f>
        <v>N/A</v>
      </c>
      <c r="W680" t="str">
        <f>RTD("tos.rtd", , "STRIKE", "TBF")</f>
        <v>N/A</v>
      </c>
    </row>
    <row r="681" spans="1:23" x14ac:dyDescent="0.45">
      <c r="A681" t="s">
        <v>702</v>
      </c>
      <c r="B681" t="str">
        <f>RTD("tos.rtd", , "DESCRIPTION", ".TBF201120C16")</f>
        <v>N/A</v>
      </c>
      <c r="C681" t="str">
        <f>RTD("tos.rtd", , "PUT_CALL_RATIO", ".TBF201120C16")</f>
        <v>N/A</v>
      </c>
      <c r="D681" t="str">
        <f>RTD("tos.rtd", , "IMPL_VOL", ".TBF201120C16")</f>
        <v>N/A</v>
      </c>
      <c r="E681" t="str">
        <f>RTD("tos.rtd", , "LAST", ".TBF201120C16")</f>
        <v>N/A</v>
      </c>
      <c r="F681" t="str">
        <f>RTD("tos.rtd", , "VOLUME", ".TBF201120C16")</f>
        <v>N/A</v>
      </c>
      <c r="G681" t="str">
        <f>RTD("tos.rtd", , "OPEN_INT", ".TBF201120C16")</f>
        <v>N/A</v>
      </c>
      <c r="H681" t="str">
        <f>RTD("tos.rtd", , "BID", ".TBF201120C16")</f>
        <v>N/A</v>
      </c>
      <c r="I681" t="str">
        <f>RTD("tos.rtd", , "ASK", ".TBF201120C16")</f>
        <v>N/A</v>
      </c>
      <c r="J681" t="str">
        <f>RTD("tos.rtd", , "HIGH", ".TBF201120C16")</f>
        <v>N/A</v>
      </c>
      <c r="K681" t="str">
        <f>RTD("tos.rtd", , "LOW", ".TBF201120C16")</f>
        <v>N/A</v>
      </c>
      <c r="L681" t="str">
        <f>RTD("tos.rtd", , "OPEN", ".TBF201120C16")</f>
        <v>N/A</v>
      </c>
      <c r="M681" t="str">
        <f>RTD("tos.rtd", , "DELTA", ".TBF201120C16")</f>
        <v>N/A</v>
      </c>
      <c r="N681" t="str">
        <f>RTD("tos.rtd", , "GAMMA", ".TBF201120C16")</f>
        <v>N/A</v>
      </c>
      <c r="O681" t="str">
        <f>RTD("tos.rtd", , "THETA", ".TBF201120C16")</f>
        <v>N/A</v>
      </c>
      <c r="P681" t="str">
        <f>RTD("tos.rtd", , "VEGA", ".TBF201120C16")</f>
        <v>N/A</v>
      </c>
      <c r="Q681" t="str">
        <f>RTD("tos.rtd", , "RHO", ".TBF201120C16")</f>
        <v>N/A</v>
      </c>
      <c r="R681" t="str">
        <f>RTD("tos.rtd", , "INTRINSIC", ".TBF201120C16")</f>
        <v>N/A</v>
      </c>
      <c r="S681" t="str">
        <f>RTD("tos.rtd", , "EXTRINSIC", ".TBF201120C16")</f>
        <v>N/A</v>
      </c>
      <c r="T681" t="str">
        <f>RTD("tos.rtd", , "PROB_OF_EXPIRING", ".TBF201120C16")</f>
        <v>N/A</v>
      </c>
      <c r="U681" t="str">
        <f>RTD("tos.rtd", , "PROB_OTM", ".TBF201120C16")</f>
        <v>N/A</v>
      </c>
      <c r="V681" t="str">
        <f>RTD("tos.rtd", , "PROB_OF_TOUCHING", ".TBF201120C16")</f>
        <v>N/A</v>
      </c>
      <c r="W681" t="str">
        <f>RTD("tos.rtd", , "STRIKE", ".TBF201120C16")</f>
        <v>N/A</v>
      </c>
    </row>
    <row r="682" spans="1:23" x14ac:dyDescent="0.45">
      <c r="A682" t="s">
        <v>703</v>
      </c>
      <c r="B682" t="str">
        <f>RTD("tos.rtd", , "DESCRIPTION", ".TBF201120P16")</f>
        <v>N/A</v>
      </c>
      <c r="C682" t="str">
        <f>RTD("tos.rtd", , "PUT_CALL_RATIO", ".TBF201120P16")</f>
        <v>N/A</v>
      </c>
      <c r="D682" t="str">
        <f>RTD("tos.rtd", , "IMPL_VOL", ".TBF201120P16")</f>
        <v>N/A</v>
      </c>
      <c r="E682">
        <f>RTD("tos.rtd", , "LAST", ".TBF201120P16")</f>
        <v>0.55000000000000004</v>
      </c>
      <c r="F682">
        <f>RTD("tos.rtd", , "VOLUME", ".TBF201120P16")</f>
        <v>0</v>
      </c>
      <c r="G682">
        <f>RTD("tos.rtd", , "OPEN_INT", ".TBF201120P16")</f>
        <v>2</v>
      </c>
      <c r="H682">
        <f>RTD("tos.rtd", , "BID", ".TBF201120P16")</f>
        <v>0.25</v>
      </c>
      <c r="I682">
        <f>RTD("tos.rtd", , "ASK", ".TBF201120P16")</f>
        <v>0.35</v>
      </c>
      <c r="J682">
        <f>RTD("tos.rtd", , "HIGH", ".TBF201120P16")</f>
        <v>0</v>
      </c>
      <c r="K682">
        <f>RTD("tos.rtd", , "LOW", ".TBF201120P16")</f>
        <v>0</v>
      </c>
      <c r="L682">
        <f>RTD("tos.rtd", , "OPEN", ".TBF201120P16")</f>
        <v>0</v>
      </c>
      <c r="M682" t="str">
        <f>RTD("tos.rtd", , "DELTA", ".TBF201120P16")</f>
        <v>N/A</v>
      </c>
      <c r="N682" t="str">
        <f>RTD("tos.rtd", , "GAMMA", ".TBF201120P16")</f>
        <v>N/A</v>
      </c>
      <c r="O682" t="str">
        <f>RTD("tos.rtd", , "THETA", ".TBF201120P16")</f>
        <v>N/A</v>
      </c>
      <c r="P682" t="str">
        <f>RTD("tos.rtd", , "VEGA", ".TBF201120P16")</f>
        <v>N/A</v>
      </c>
      <c r="Q682" t="str">
        <f>RTD("tos.rtd", , "RHO", ".TBF201120P16")</f>
        <v>N/A</v>
      </c>
      <c r="R682" t="str">
        <f>RTD("tos.rtd", , "INTRINSIC", ".TBF201120P16")</f>
        <v>N/A</v>
      </c>
      <c r="S682" t="str">
        <f>RTD("tos.rtd", , "EXTRINSIC", ".TBF201120P16")</f>
        <v>N/A</v>
      </c>
      <c r="T682" t="str">
        <f>RTD("tos.rtd", , "PROB_OF_EXPIRING", ".TBF201120P16")</f>
        <v>N/A</v>
      </c>
      <c r="U682" t="str">
        <f>RTD("tos.rtd", , "PROB_OTM", ".TBF201120P16")</f>
        <v>N/A</v>
      </c>
      <c r="V682" t="str">
        <f>RTD("tos.rtd", , "PROB_OF_TOUCHING", ".TBF201120P16")</f>
        <v>N/A</v>
      </c>
      <c r="W682" t="str">
        <f>RTD("tos.rtd", , "STRIKE", ".TBF201120P16")</f>
        <v>N/A</v>
      </c>
    </row>
    <row r="683" spans="1:23" x14ac:dyDescent="0.45">
      <c r="A683" t="s">
        <v>704</v>
      </c>
      <c r="B683" t="str">
        <f>RTD("tos.rtd", , "DESCRIPTION", "TBT")</f>
        <v>N/A</v>
      </c>
      <c r="C683">
        <f>RTD("tos.rtd", , "PUT_CALL_RATIO", "TBT")</f>
        <v>0.26300000000000001</v>
      </c>
      <c r="D683" t="str">
        <f>RTD("tos.rtd", , "IMPL_VOL", "TBT")</f>
        <v>31.79%</v>
      </c>
      <c r="E683">
        <f>RTD("tos.rtd", , "LAST", "TBT")</f>
        <v>16.46</v>
      </c>
      <c r="F683">
        <f>RTD("tos.rtd", , "VOLUME", "TBT")</f>
        <v>2965894</v>
      </c>
      <c r="G683">
        <f>RTD("tos.rtd", , "OPEN_INT", "TBT")</f>
        <v>0</v>
      </c>
      <c r="H683">
        <f>RTD("tos.rtd", , "BID", "TBT")</f>
        <v>16.440000000000001</v>
      </c>
      <c r="I683">
        <f>RTD("tos.rtd", , "ASK", "TBT")</f>
        <v>16.5</v>
      </c>
      <c r="J683">
        <f>RTD("tos.rtd", , "HIGH", "TBT")</f>
        <v>16.82</v>
      </c>
      <c r="K683">
        <f>RTD("tos.rtd", , "LOW", "TBT")</f>
        <v>16.45</v>
      </c>
      <c r="L683">
        <f>RTD("tos.rtd", , "OPEN", "TBT")</f>
        <v>16.760000000000002</v>
      </c>
      <c r="M683">
        <f>RTD("tos.rtd", , "DELTA", "TBT")</f>
        <v>1</v>
      </c>
      <c r="N683">
        <f>RTD("tos.rtd", , "GAMMA", "TBT")</f>
        <v>0</v>
      </c>
      <c r="O683">
        <f>RTD("tos.rtd", , "THETA", "TBT")</f>
        <v>0</v>
      </c>
      <c r="P683">
        <f>RTD("tos.rtd", , "VEGA", "TBT")</f>
        <v>0</v>
      </c>
      <c r="Q683">
        <f>RTD("tos.rtd", , "RHO", "TBT")</f>
        <v>0</v>
      </c>
      <c r="R683" t="str">
        <f>RTD("tos.rtd", , "INTRINSIC", "TBT")</f>
        <v>N/A</v>
      </c>
      <c r="S683" t="str">
        <f>RTD("tos.rtd", , "EXTRINSIC", "TBT")</f>
        <v>N/A</v>
      </c>
      <c r="T683" t="str">
        <f>RTD("tos.rtd", , "PROB_OF_EXPIRING", "TBT")</f>
        <v>N/A</v>
      </c>
      <c r="U683" t="str">
        <f>RTD("tos.rtd", , "PROB_OTM", "TBT")</f>
        <v>N/A</v>
      </c>
      <c r="V683" t="str">
        <f>RTD("tos.rtd", , "PROB_OF_TOUCHING", "TBT")</f>
        <v>N/A</v>
      </c>
      <c r="W683" t="str">
        <f>RTD("tos.rtd", , "STRIKE", "TBT")</f>
        <v>N/A</v>
      </c>
    </row>
    <row r="684" spans="1:23" x14ac:dyDescent="0.45">
      <c r="A684" t="s">
        <v>705</v>
      </c>
      <c r="B684" t="str">
        <f>RTD("tos.rtd", , "DESCRIPTION", ".TBT201120C17")</f>
        <v>N/A</v>
      </c>
      <c r="C684" t="str">
        <f>RTD("tos.rtd", , "PUT_CALL_RATIO", ".TBT201120C17")</f>
        <v>N/A</v>
      </c>
      <c r="D684" t="str">
        <f>RTD("tos.rtd", , "IMPL_VOL", ".TBT201120C17")</f>
        <v>N/A</v>
      </c>
      <c r="E684" t="str">
        <f>RTD("tos.rtd", , "LAST", ".TBT201120C17")</f>
        <v>N/A</v>
      </c>
      <c r="F684" t="str">
        <f>RTD("tos.rtd", , "VOLUME", ".TBT201120C17")</f>
        <v>N/A</v>
      </c>
      <c r="G684" t="str">
        <f>RTD("tos.rtd", , "OPEN_INT", ".TBT201120C17")</f>
        <v>N/A</v>
      </c>
      <c r="H684" t="str">
        <f>RTD("tos.rtd", , "BID", ".TBT201120C17")</f>
        <v>N/A</v>
      </c>
      <c r="I684" t="str">
        <f>RTD("tos.rtd", , "ASK", ".TBT201120C17")</f>
        <v>N/A</v>
      </c>
      <c r="J684" t="str">
        <f>RTD("tos.rtd", , "HIGH", ".TBT201120C17")</f>
        <v>N/A</v>
      </c>
      <c r="K684" t="str">
        <f>RTD("tos.rtd", , "LOW", ".TBT201120C17")</f>
        <v>N/A</v>
      </c>
      <c r="L684" t="str">
        <f>RTD("tos.rtd", , "OPEN", ".TBT201120C17")</f>
        <v>N/A</v>
      </c>
      <c r="M684" t="str">
        <f>RTD("tos.rtd", , "DELTA", ".TBT201120C17")</f>
        <v>N/A</v>
      </c>
      <c r="N684" t="str">
        <f>RTD("tos.rtd", , "GAMMA", ".TBT201120C17")</f>
        <v>N/A</v>
      </c>
      <c r="O684" t="str">
        <f>RTD("tos.rtd", , "THETA", ".TBT201120C17")</f>
        <v>N/A</v>
      </c>
      <c r="P684" t="str">
        <f>RTD("tos.rtd", , "VEGA", ".TBT201120C17")</f>
        <v>N/A</v>
      </c>
      <c r="Q684" t="str">
        <f>RTD("tos.rtd", , "RHO", ".TBT201120C17")</f>
        <v>N/A</v>
      </c>
      <c r="R684" t="str">
        <f>RTD("tos.rtd", , "INTRINSIC", ".TBT201120C17")</f>
        <v>N/A</v>
      </c>
      <c r="S684" t="str">
        <f>RTD("tos.rtd", , "EXTRINSIC", ".TBT201120C17")</f>
        <v>N/A</v>
      </c>
      <c r="T684" t="str">
        <f>RTD("tos.rtd", , "PROB_OF_EXPIRING", ".TBT201120C17")</f>
        <v>N/A</v>
      </c>
      <c r="U684" t="str">
        <f>RTD("tos.rtd", , "PROB_OTM", ".TBT201120C17")</f>
        <v>N/A</v>
      </c>
      <c r="V684" t="str">
        <f>RTD("tos.rtd", , "PROB_OF_TOUCHING", ".TBT201120C17")</f>
        <v>N/A</v>
      </c>
      <c r="W684" t="str">
        <f>RTD("tos.rtd", , "STRIKE", ".TBT201120C17")</f>
        <v>N/A</v>
      </c>
    </row>
    <row r="685" spans="1:23" x14ac:dyDescent="0.45">
      <c r="A685" t="s">
        <v>706</v>
      </c>
      <c r="B685" t="str">
        <f>RTD("tos.rtd", , "DESCRIPTION", ".TBT201120P17")</f>
        <v>N/A</v>
      </c>
      <c r="C685" t="str">
        <f>RTD("tos.rtd", , "PUT_CALL_RATIO", ".TBT201120P17")</f>
        <v>N/A</v>
      </c>
      <c r="D685" t="str">
        <f>RTD("tos.rtd", , "IMPL_VOL", ".TBT201120P17")</f>
        <v>N/A</v>
      </c>
      <c r="E685" t="str">
        <f>RTD("tos.rtd", , "LAST", ".TBT201120P17")</f>
        <v>N/A</v>
      </c>
      <c r="F685" t="str">
        <f>RTD("tos.rtd", , "VOLUME", ".TBT201120P17")</f>
        <v>N/A</v>
      </c>
      <c r="G685" t="str">
        <f>RTD("tos.rtd", , "OPEN_INT", ".TBT201120P17")</f>
        <v>N/A</v>
      </c>
      <c r="H685" t="str">
        <f>RTD("tos.rtd", , "BID", ".TBT201120P17")</f>
        <v>N/A</v>
      </c>
      <c r="I685" t="str">
        <f>RTD("tos.rtd", , "ASK", ".TBT201120P17")</f>
        <v>N/A</v>
      </c>
      <c r="J685" t="str">
        <f>RTD("tos.rtd", , "HIGH", ".TBT201120P17")</f>
        <v>N/A</v>
      </c>
      <c r="K685" t="str">
        <f>RTD("tos.rtd", , "LOW", ".TBT201120P17")</f>
        <v>N/A</v>
      </c>
      <c r="L685" t="str">
        <f>RTD("tos.rtd", , "OPEN", ".TBT201120P17")</f>
        <v>N/A</v>
      </c>
      <c r="M685" t="str">
        <f>RTD("tos.rtd", , "DELTA", ".TBT201120P17")</f>
        <v>N/A</v>
      </c>
      <c r="N685" t="str">
        <f>RTD("tos.rtd", , "GAMMA", ".TBT201120P17")</f>
        <v>N/A</v>
      </c>
      <c r="O685" t="str">
        <f>RTD("tos.rtd", , "THETA", ".TBT201120P17")</f>
        <v>N/A</v>
      </c>
      <c r="P685" t="str">
        <f>RTD("tos.rtd", , "VEGA", ".TBT201120P17")</f>
        <v>N/A</v>
      </c>
      <c r="Q685" t="str">
        <f>RTD("tos.rtd", , "RHO", ".TBT201120P17")</f>
        <v>N/A</v>
      </c>
      <c r="R685" t="str">
        <f>RTD("tos.rtd", , "INTRINSIC", ".TBT201120P17")</f>
        <v>N/A</v>
      </c>
      <c r="S685" t="str">
        <f>RTD("tos.rtd", , "EXTRINSIC", ".TBT201120P17")</f>
        <v>N/A</v>
      </c>
      <c r="T685" t="str">
        <f>RTD("tos.rtd", , "PROB_OF_EXPIRING", ".TBT201120P17")</f>
        <v>N/A</v>
      </c>
      <c r="U685" t="str">
        <f>RTD("tos.rtd", , "PROB_OTM", ".TBT201120P17")</f>
        <v>N/A</v>
      </c>
      <c r="V685" t="str">
        <f>RTD("tos.rtd", , "PROB_OF_TOUCHING", ".TBT201120P17")</f>
        <v>N/A</v>
      </c>
      <c r="W685" t="str">
        <f>RTD("tos.rtd", , "STRIKE", ".TBT201120P17")</f>
        <v>N/A</v>
      </c>
    </row>
    <row r="686" spans="1:23" x14ac:dyDescent="0.45">
      <c r="A686" t="s">
        <v>707</v>
      </c>
      <c r="B686" t="str">
        <f>RTD("tos.rtd", , "DESCRIPTION", "TIP")</f>
        <v>N/A</v>
      </c>
      <c r="C686">
        <f>RTD("tos.rtd", , "PUT_CALL_RATIO", "TIP")</f>
        <v>0.95</v>
      </c>
      <c r="D686" t="str">
        <f>RTD("tos.rtd", , "IMPL_VOL", "TIP")</f>
        <v>4.63%</v>
      </c>
      <c r="E686">
        <f>RTD("tos.rtd", , "LAST", "TIP")</f>
        <v>125.34</v>
      </c>
      <c r="F686">
        <f>RTD("tos.rtd", , "VOLUME", "TIP")</f>
        <v>1726606</v>
      </c>
      <c r="G686">
        <f>RTD("tos.rtd", , "OPEN_INT", "TIP")</f>
        <v>0</v>
      </c>
      <c r="H686">
        <f>RTD("tos.rtd", , "BID", "TIP")</f>
        <v>124.6</v>
      </c>
      <c r="I686">
        <f>RTD("tos.rtd", , "ASK", "TIP")</f>
        <v>125.99</v>
      </c>
      <c r="J686">
        <f>RTD("tos.rtd", , "HIGH", "TIP")</f>
        <v>125.35</v>
      </c>
      <c r="K686">
        <f>RTD("tos.rtd", , "LOW", "TIP")</f>
        <v>125.12</v>
      </c>
      <c r="L686">
        <f>RTD("tos.rtd", , "OPEN", "TIP")</f>
        <v>125.2</v>
      </c>
      <c r="M686">
        <f>RTD("tos.rtd", , "DELTA", "TIP")</f>
        <v>1</v>
      </c>
      <c r="N686">
        <f>RTD("tos.rtd", , "GAMMA", "TIP")</f>
        <v>0</v>
      </c>
      <c r="O686">
        <f>RTD("tos.rtd", , "THETA", "TIP")</f>
        <v>0</v>
      </c>
      <c r="P686">
        <f>RTD("tos.rtd", , "VEGA", "TIP")</f>
        <v>0</v>
      </c>
      <c r="Q686">
        <f>RTD("tos.rtd", , "RHO", "TIP")</f>
        <v>0</v>
      </c>
      <c r="R686" t="str">
        <f>RTD("tos.rtd", , "INTRINSIC", "TIP")</f>
        <v>N/A</v>
      </c>
      <c r="S686" t="str">
        <f>RTD("tos.rtd", , "EXTRINSIC", "TIP")</f>
        <v>N/A</v>
      </c>
      <c r="T686" t="str">
        <f>RTD("tos.rtd", , "PROB_OF_EXPIRING", "TIP")</f>
        <v>N/A</v>
      </c>
      <c r="U686" t="str">
        <f>RTD("tos.rtd", , "PROB_OTM", "TIP")</f>
        <v>N/A</v>
      </c>
      <c r="V686" t="str">
        <f>RTD("tos.rtd", , "PROB_OF_TOUCHING", "TIP")</f>
        <v>N/A</v>
      </c>
      <c r="W686" t="str">
        <f>RTD("tos.rtd", , "STRIKE", "TIP")</f>
        <v>N/A</v>
      </c>
    </row>
    <row r="687" spans="1:23" x14ac:dyDescent="0.45">
      <c r="A687" t="s">
        <v>708</v>
      </c>
      <c r="B687" t="str">
        <f>RTD("tos.rtd", , "DESCRIPTION", ".TIP201120C125")</f>
        <v>N/A</v>
      </c>
      <c r="C687" t="str">
        <f>RTD("tos.rtd", , "PUT_CALL_RATIO", ".TIP201120C125")</f>
        <v>N/A</v>
      </c>
      <c r="D687" t="str">
        <f>RTD("tos.rtd", , "IMPL_VOL", ".TIP201120C125")</f>
        <v>N/A</v>
      </c>
      <c r="E687">
        <f>RTD("tos.rtd", , "LAST", ".TIP201120C125")</f>
        <v>0.4</v>
      </c>
      <c r="F687">
        <f>RTD("tos.rtd", , "VOLUME", ".TIP201120C125")</f>
        <v>0</v>
      </c>
      <c r="G687">
        <f>RTD("tos.rtd", , "OPEN_INT", ".TIP201120C125")</f>
        <v>222</v>
      </c>
      <c r="H687">
        <f>RTD("tos.rtd", , "BID", ".TIP201120C125")</f>
        <v>0.4</v>
      </c>
      <c r="I687">
        <f>RTD("tos.rtd", , "ASK", ".TIP201120C125")</f>
        <v>0.65</v>
      </c>
      <c r="J687">
        <f>RTD("tos.rtd", , "HIGH", ".TIP201120C125")</f>
        <v>0</v>
      </c>
      <c r="K687">
        <f>RTD("tos.rtd", , "LOW", ".TIP201120C125")</f>
        <v>0</v>
      </c>
      <c r="L687">
        <f>RTD("tos.rtd", , "OPEN", ".TIP201120C125")</f>
        <v>0</v>
      </c>
      <c r="M687" t="str">
        <f>RTD("tos.rtd", , "DELTA", ".TIP201120C125")</f>
        <v>N/A</v>
      </c>
      <c r="N687" t="str">
        <f>RTD("tos.rtd", , "GAMMA", ".TIP201120C125")</f>
        <v>N/A</v>
      </c>
      <c r="O687" t="str">
        <f>RTD("tos.rtd", , "THETA", ".TIP201120C125")</f>
        <v>N/A</v>
      </c>
      <c r="P687" t="str">
        <f>RTD("tos.rtd", , "VEGA", ".TIP201120C125")</f>
        <v>N/A</v>
      </c>
      <c r="Q687" t="str">
        <f>RTD("tos.rtd", , "RHO", ".TIP201120C125")</f>
        <v>N/A</v>
      </c>
      <c r="R687" t="str">
        <f>RTD("tos.rtd", , "INTRINSIC", ".TIP201120C125")</f>
        <v>N/A</v>
      </c>
      <c r="S687" t="str">
        <f>RTD("tos.rtd", , "EXTRINSIC", ".TIP201120C125")</f>
        <v>N/A</v>
      </c>
      <c r="T687" t="str">
        <f>RTD("tos.rtd", , "PROB_OF_EXPIRING", ".TIP201120C125")</f>
        <v>N/A</v>
      </c>
      <c r="U687" t="str">
        <f>RTD("tos.rtd", , "PROB_OTM", ".TIP201120C125")</f>
        <v>N/A</v>
      </c>
      <c r="V687" t="str">
        <f>RTD("tos.rtd", , "PROB_OF_TOUCHING", ".TIP201120C125")</f>
        <v>N/A</v>
      </c>
      <c r="W687" t="str">
        <f>RTD("tos.rtd", , "STRIKE", ".TIP201120C125")</f>
        <v>N/A</v>
      </c>
    </row>
    <row r="688" spans="1:23" x14ac:dyDescent="0.45">
      <c r="A688" t="s">
        <v>709</v>
      </c>
      <c r="B688" t="str">
        <f>RTD("tos.rtd", , "DESCRIPTION", ".TIP201120P125")</f>
        <v>N/A</v>
      </c>
      <c r="C688" t="str">
        <f>RTD("tos.rtd", , "PUT_CALL_RATIO", ".TIP201120P125")</f>
        <v>N/A</v>
      </c>
      <c r="D688" t="str">
        <f>RTD("tos.rtd", , "IMPL_VOL", ".TIP201120P125")</f>
        <v>N/A</v>
      </c>
      <c r="E688" t="str">
        <f>RTD("tos.rtd", , "LAST", ".TIP201120P125")</f>
        <v>N/A</v>
      </c>
      <c r="F688" t="str">
        <f>RTD("tos.rtd", , "VOLUME", ".TIP201120P125")</f>
        <v>N/A</v>
      </c>
      <c r="G688" t="str">
        <f>RTD("tos.rtd", , "OPEN_INT", ".TIP201120P125")</f>
        <v>N/A</v>
      </c>
      <c r="H688" t="str">
        <f>RTD("tos.rtd", , "BID", ".TIP201120P125")</f>
        <v>N/A</v>
      </c>
      <c r="I688" t="str">
        <f>RTD("tos.rtd", , "ASK", ".TIP201120P125")</f>
        <v>N/A</v>
      </c>
      <c r="J688" t="str">
        <f>RTD("tos.rtd", , "HIGH", ".TIP201120P125")</f>
        <v>N/A</v>
      </c>
      <c r="K688" t="str">
        <f>RTD("tos.rtd", , "LOW", ".TIP201120P125")</f>
        <v>N/A</v>
      </c>
      <c r="L688" t="str">
        <f>RTD("tos.rtd", , "OPEN", ".TIP201120P125")</f>
        <v>N/A</v>
      </c>
      <c r="M688" t="str">
        <f>RTD("tos.rtd", , "DELTA", ".TIP201120P125")</f>
        <v>N/A</v>
      </c>
      <c r="N688" t="str">
        <f>RTD("tos.rtd", , "GAMMA", ".TIP201120P125")</f>
        <v>N/A</v>
      </c>
      <c r="O688" t="str">
        <f>RTD("tos.rtd", , "THETA", ".TIP201120P125")</f>
        <v>N/A</v>
      </c>
      <c r="P688" t="str">
        <f>RTD("tos.rtd", , "VEGA", ".TIP201120P125")</f>
        <v>N/A</v>
      </c>
      <c r="Q688" t="str">
        <f>RTD("tos.rtd", , "RHO", ".TIP201120P125")</f>
        <v>N/A</v>
      </c>
      <c r="R688" t="str">
        <f>RTD("tos.rtd", , "INTRINSIC", ".TIP201120P125")</f>
        <v>N/A</v>
      </c>
      <c r="S688" t="str">
        <f>RTD("tos.rtd", , "EXTRINSIC", ".TIP201120P125")</f>
        <v>N/A</v>
      </c>
      <c r="T688" t="str">
        <f>RTD("tos.rtd", , "PROB_OF_EXPIRING", ".TIP201120P125")</f>
        <v>N/A</v>
      </c>
      <c r="U688" t="str">
        <f>RTD("tos.rtd", , "PROB_OTM", ".TIP201120P125")</f>
        <v>N/A</v>
      </c>
      <c r="V688" t="str">
        <f>RTD("tos.rtd", , "PROB_OF_TOUCHING", ".TIP201120P125")</f>
        <v>N/A</v>
      </c>
      <c r="W688" t="str">
        <f>RTD("tos.rtd", , "STRIKE", ".TIP201120P125")</f>
        <v>N/A</v>
      </c>
    </row>
    <row r="689" spans="1:23" x14ac:dyDescent="0.45">
      <c r="A689" t="s">
        <v>710</v>
      </c>
      <c r="B689" t="str">
        <f>RTD("tos.rtd", , "DESCRIPTION", "TLT")</f>
        <v>ISHARES TRUST 20 YR TR BD ETF</v>
      </c>
      <c r="C689">
        <f>RTD("tos.rtd", , "PUT_CALL_RATIO", "TLT")</f>
        <v>1.538</v>
      </c>
      <c r="D689" t="str">
        <f>RTD("tos.rtd", , "IMPL_VOL", "TLT")</f>
        <v>14.40%</v>
      </c>
      <c r="E689">
        <f>RTD("tos.rtd", , "LAST", "TLT")</f>
        <v>158.37</v>
      </c>
      <c r="F689">
        <f>RTD("tos.rtd", , "VOLUME", "TLT")</f>
        <v>16001553</v>
      </c>
      <c r="G689">
        <f>RTD("tos.rtd", , "OPEN_INT", "TLT")</f>
        <v>0</v>
      </c>
      <c r="H689">
        <f>RTD("tos.rtd", , "BID", "TLT")</f>
        <v>158.66</v>
      </c>
      <c r="I689">
        <f>RTD("tos.rtd", , "ASK", "TLT")</f>
        <v>158.66999999999999</v>
      </c>
      <c r="J689">
        <f>RTD("tos.rtd", , "HIGH", "TLT")</f>
        <v>158.4</v>
      </c>
      <c r="K689">
        <f>RTD("tos.rtd", , "LOW", "TLT")</f>
        <v>156.71</v>
      </c>
      <c r="L689">
        <f>RTD("tos.rtd", , "OPEN", "TLT")</f>
        <v>156.94</v>
      </c>
      <c r="M689">
        <f>RTD("tos.rtd", , "DELTA", "TLT")</f>
        <v>1</v>
      </c>
      <c r="N689">
        <f>RTD("tos.rtd", , "GAMMA", "TLT")</f>
        <v>0</v>
      </c>
      <c r="O689">
        <f>RTD("tos.rtd", , "THETA", "TLT")</f>
        <v>0</v>
      </c>
      <c r="P689">
        <f>RTD("tos.rtd", , "VEGA", "TLT")</f>
        <v>0</v>
      </c>
      <c r="Q689">
        <f>RTD("tos.rtd", , "RHO", "TLT")</f>
        <v>0</v>
      </c>
      <c r="R689" t="str">
        <f>RTD("tos.rtd", , "INTRINSIC", "TLT")</f>
        <v>N/A</v>
      </c>
      <c r="S689" t="str">
        <f>RTD("tos.rtd", , "EXTRINSIC", "TLT")</f>
        <v>N/A</v>
      </c>
      <c r="T689" t="str">
        <f>RTD("tos.rtd", , "PROB_OF_EXPIRING", "TLT")</f>
        <v>N/A</v>
      </c>
      <c r="U689" t="str">
        <f>RTD("tos.rtd", , "PROB_OTM", "TLT")</f>
        <v>N/A</v>
      </c>
      <c r="V689" t="str">
        <f>RTD("tos.rtd", , "PROB_OF_TOUCHING", "TLT")</f>
        <v>N/A</v>
      </c>
      <c r="W689" t="str">
        <f>RTD("tos.rtd", , "STRIKE", "TLT")</f>
        <v>N/A</v>
      </c>
    </row>
    <row r="690" spans="1:23" x14ac:dyDescent="0.45">
      <c r="A690" t="s">
        <v>711</v>
      </c>
      <c r="B690" t="str">
        <f>RTD("tos.rtd", , "DESCRIPTION", ".TLT201120C155")</f>
        <v>N/A</v>
      </c>
      <c r="C690" t="str">
        <f>RTD("tos.rtd", , "PUT_CALL_RATIO", ".TLT201120C155")</f>
        <v>N/A</v>
      </c>
      <c r="D690" t="str">
        <f>RTD("tos.rtd", , "IMPL_VOL", ".TLT201120C155")</f>
        <v>N/A</v>
      </c>
      <c r="E690">
        <f>RTD("tos.rtd", , "LAST", ".TLT201120C155")</f>
        <v>3.6</v>
      </c>
      <c r="F690">
        <f>RTD("tos.rtd", , "VOLUME", ".TLT201120C155")</f>
        <v>513</v>
      </c>
      <c r="G690">
        <f>RTD("tos.rtd", , "OPEN_INT", ".TLT201120C155")</f>
        <v>1024</v>
      </c>
      <c r="H690">
        <f>RTD("tos.rtd", , "BID", ".TLT201120C155")</f>
        <v>3.55</v>
      </c>
      <c r="I690">
        <f>RTD("tos.rtd", , "ASK", ".TLT201120C155")</f>
        <v>3.75</v>
      </c>
      <c r="J690">
        <f>RTD("tos.rtd", , "HIGH", ".TLT201120C155")</f>
        <v>3.6</v>
      </c>
      <c r="K690">
        <f>RTD("tos.rtd", , "LOW", ".TLT201120C155")</f>
        <v>2.0499999999999998</v>
      </c>
      <c r="L690">
        <f>RTD("tos.rtd", , "OPEN", ".TLT201120C155")</f>
        <v>2.0499999999999998</v>
      </c>
      <c r="M690" t="str">
        <f>RTD("tos.rtd", , "DELTA", ".TLT201120C155")</f>
        <v>N/A</v>
      </c>
      <c r="N690" t="str">
        <f>RTD("tos.rtd", , "GAMMA", ".TLT201120C155")</f>
        <v>N/A</v>
      </c>
      <c r="O690" t="str">
        <f>RTD("tos.rtd", , "THETA", ".TLT201120C155")</f>
        <v>N/A</v>
      </c>
      <c r="P690" t="str">
        <f>RTD("tos.rtd", , "VEGA", ".TLT201120C155")</f>
        <v>N/A</v>
      </c>
      <c r="Q690" t="str">
        <f>RTD("tos.rtd", , "RHO", ".TLT201120C155")</f>
        <v>N/A</v>
      </c>
      <c r="R690" t="str">
        <f>RTD("tos.rtd", , "INTRINSIC", ".TLT201120C155")</f>
        <v>N/A</v>
      </c>
      <c r="S690" t="str">
        <f>RTD("tos.rtd", , "EXTRINSIC", ".TLT201120C155")</f>
        <v>N/A</v>
      </c>
      <c r="T690" t="str">
        <f>RTD("tos.rtd", , "PROB_OF_EXPIRING", ".TLT201120C155")</f>
        <v>N/A</v>
      </c>
      <c r="U690" t="str">
        <f>RTD("tos.rtd", , "PROB_OTM", ".TLT201120C155")</f>
        <v>N/A</v>
      </c>
      <c r="V690" t="str">
        <f>RTD("tos.rtd", , "PROB_OF_TOUCHING", ".TLT201120C155")</f>
        <v>N/A</v>
      </c>
      <c r="W690" t="str">
        <f>RTD("tos.rtd", , "STRIKE", ".TLT201120C155")</f>
        <v>N/A</v>
      </c>
    </row>
    <row r="691" spans="1:23" x14ac:dyDescent="0.45">
      <c r="A691" t="s">
        <v>712</v>
      </c>
      <c r="B691" t="str">
        <f>RTD("tos.rtd", , "DESCRIPTION", ".TLT201120P155")</f>
        <v>N/A</v>
      </c>
      <c r="C691" t="str">
        <f>RTD("tos.rtd", , "PUT_CALL_RATIO", ".TLT201120P155")</f>
        <v>N/A</v>
      </c>
      <c r="D691" t="str">
        <f>RTD("tos.rtd", , "IMPL_VOL", ".TLT201120P155")</f>
        <v>N/A</v>
      </c>
      <c r="E691">
        <f>RTD("tos.rtd", , "LAST", ".TLT201120P155")</f>
        <v>0.28999999999999998</v>
      </c>
      <c r="F691">
        <f>RTD("tos.rtd", , "VOLUME", ".TLT201120P155")</f>
        <v>2956</v>
      </c>
      <c r="G691">
        <f>RTD("tos.rtd", , "OPEN_INT", ".TLT201120P155")</f>
        <v>21466</v>
      </c>
      <c r="H691">
        <f>RTD("tos.rtd", , "BID", ".TLT201120P155")</f>
        <v>0.26</v>
      </c>
      <c r="I691">
        <f>RTD("tos.rtd", , "ASK", ".TLT201120P155")</f>
        <v>0.28999999999999998</v>
      </c>
      <c r="J691">
        <f>RTD("tos.rtd", , "HIGH", ".TLT201120P155")</f>
        <v>0.73</v>
      </c>
      <c r="K691">
        <f>RTD("tos.rtd", , "LOW", ".TLT201120P155")</f>
        <v>0.27</v>
      </c>
      <c r="L691">
        <f>RTD("tos.rtd", , "OPEN", ".TLT201120P155")</f>
        <v>0.73</v>
      </c>
      <c r="M691" t="str">
        <f>RTD("tos.rtd", , "DELTA", ".TLT201120P155")</f>
        <v>N/A</v>
      </c>
      <c r="N691" t="str">
        <f>RTD("tos.rtd", , "GAMMA", ".TLT201120P155")</f>
        <v>N/A</v>
      </c>
      <c r="O691" t="str">
        <f>RTD("tos.rtd", , "THETA", ".TLT201120P155")</f>
        <v>N/A</v>
      </c>
      <c r="P691" t="str">
        <f>RTD("tos.rtd", , "VEGA", ".TLT201120P155")</f>
        <v>N/A</v>
      </c>
      <c r="Q691" t="str">
        <f>RTD("tos.rtd", , "RHO", ".TLT201120P155")</f>
        <v>N/A</v>
      </c>
      <c r="R691" t="str">
        <f>RTD("tos.rtd", , "INTRINSIC", ".TLT201120P155")</f>
        <v>N/A</v>
      </c>
      <c r="S691" t="str">
        <f>RTD("tos.rtd", , "EXTRINSIC", ".TLT201120P155")</f>
        <v>N/A</v>
      </c>
      <c r="T691" t="str">
        <f>RTD("tos.rtd", , "PROB_OF_EXPIRING", ".TLT201120P155")</f>
        <v>N/A</v>
      </c>
      <c r="U691" t="str">
        <f>RTD("tos.rtd", , "PROB_OTM", ".TLT201120P155")</f>
        <v>N/A</v>
      </c>
      <c r="V691" t="str">
        <f>RTD("tos.rtd", , "PROB_OF_TOUCHING", ".TLT201120P155")</f>
        <v>N/A</v>
      </c>
      <c r="W691" t="str">
        <f>RTD("tos.rtd", , "STRIKE", ".TLT201120P155")</f>
        <v>N/A</v>
      </c>
    </row>
    <row r="692" spans="1:23" x14ac:dyDescent="0.45">
      <c r="A692" t="s">
        <v>713</v>
      </c>
      <c r="B692" t="str">
        <f>RTD("tos.rtd", , "DESCRIPTION", ".TLT201120C155.5")</f>
        <v>N/A</v>
      </c>
      <c r="C692" t="str">
        <f>RTD("tos.rtd", , "PUT_CALL_RATIO", ".TLT201120C155.5")</f>
        <v>N/A</v>
      </c>
      <c r="D692" t="str">
        <f>RTD("tos.rtd", , "IMPL_VOL", ".TLT201120C155.5")</f>
        <v>N/A</v>
      </c>
      <c r="E692">
        <f>RTD("tos.rtd", , "LAST", ".TLT201120C155.5")</f>
        <v>3.12</v>
      </c>
      <c r="F692">
        <f>RTD("tos.rtd", , "VOLUME", ".TLT201120C155.5")</f>
        <v>252</v>
      </c>
      <c r="G692">
        <f>RTD("tos.rtd", , "OPEN_INT", ".TLT201120C155.5")</f>
        <v>368</v>
      </c>
      <c r="H692">
        <f>RTD("tos.rtd", , "BID", ".TLT201120C155.5")</f>
        <v>3.15</v>
      </c>
      <c r="I692">
        <f>RTD("tos.rtd", , "ASK", ".TLT201120C155.5")</f>
        <v>3.3</v>
      </c>
      <c r="J692">
        <f>RTD("tos.rtd", , "HIGH", ".TLT201120C155.5")</f>
        <v>3.15</v>
      </c>
      <c r="K692">
        <f>RTD("tos.rtd", , "LOW", ".TLT201120C155.5")</f>
        <v>1.92</v>
      </c>
      <c r="L692">
        <f>RTD("tos.rtd", , "OPEN", ".TLT201120C155.5")</f>
        <v>2.1</v>
      </c>
      <c r="M692" t="str">
        <f>RTD("tos.rtd", , "DELTA", ".TLT201120C155.5")</f>
        <v>N/A</v>
      </c>
      <c r="N692" t="str">
        <f>RTD("tos.rtd", , "GAMMA", ".TLT201120C155.5")</f>
        <v>N/A</v>
      </c>
      <c r="O692" t="str">
        <f>RTD("tos.rtd", , "THETA", ".TLT201120C155.5")</f>
        <v>N/A</v>
      </c>
      <c r="P692" t="str">
        <f>RTD("tos.rtd", , "VEGA", ".TLT201120C155.5")</f>
        <v>N/A</v>
      </c>
      <c r="Q692" t="str">
        <f>RTD("tos.rtd", , "RHO", ".TLT201120C155.5")</f>
        <v>N/A</v>
      </c>
      <c r="R692" t="str">
        <f>RTD("tos.rtd", , "INTRINSIC", ".TLT201120C155.5")</f>
        <v>N/A</v>
      </c>
      <c r="S692" t="str">
        <f>RTD("tos.rtd", , "EXTRINSIC", ".TLT201120C155.5")</f>
        <v>N/A</v>
      </c>
      <c r="T692" t="str">
        <f>RTD("tos.rtd", , "PROB_OF_EXPIRING", ".TLT201120C155.5")</f>
        <v>N/A</v>
      </c>
      <c r="U692" t="str">
        <f>RTD("tos.rtd", , "PROB_OTM", ".TLT201120C155.5")</f>
        <v>N/A</v>
      </c>
      <c r="V692" t="str">
        <f>RTD("tos.rtd", , "PROB_OF_TOUCHING", ".TLT201120C155.5")</f>
        <v>N/A</v>
      </c>
      <c r="W692" t="str">
        <f>RTD("tos.rtd", , "STRIKE", ".TLT201120C155.5")</f>
        <v>N/A</v>
      </c>
    </row>
    <row r="693" spans="1:23" x14ac:dyDescent="0.45">
      <c r="A693" t="s">
        <v>714</v>
      </c>
      <c r="B693" t="str">
        <f>RTD("tos.rtd", , "DESCRIPTION", ".TLT201120P155.5")</f>
        <v>N/A</v>
      </c>
      <c r="C693" t="str">
        <f>RTD("tos.rtd", , "PUT_CALL_RATIO", ".TLT201120P155.5")</f>
        <v>N/A</v>
      </c>
      <c r="D693" t="str">
        <f>RTD("tos.rtd", , "IMPL_VOL", ".TLT201120P155.5")</f>
        <v>N/A</v>
      </c>
      <c r="E693">
        <f>RTD("tos.rtd", , "LAST", ".TLT201120P155.5")</f>
        <v>0.37</v>
      </c>
      <c r="F693">
        <f>RTD("tos.rtd", , "VOLUME", ".TLT201120P155.5")</f>
        <v>251</v>
      </c>
      <c r="G693">
        <f>RTD("tos.rtd", , "OPEN_INT", ".TLT201120P155.5")</f>
        <v>1038</v>
      </c>
      <c r="H693">
        <f>RTD("tos.rtd", , "BID", ".TLT201120P155.5")</f>
        <v>0.33</v>
      </c>
      <c r="I693">
        <f>RTD("tos.rtd", , "ASK", ".TLT201120P155.5")</f>
        <v>0.38</v>
      </c>
      <c r="J693">
        <f>RTD("tos.rtd", , "HIGH", ".TLT201120P155.5")</f>
        <v>1.1599999999999999</v>
      </c>
      <c r="K693">
        <f>RTD("tos.rtd", , "LOW", ".TLT201120P155.5")</f>
        <v>0.37</v>
      </c>
      <c r="L693">
        <f>RTD("tos.rtd", , "OPEN", ".TLT201120P155.5")</f>
        <v>1.1599999999999999</v>
      </c>
      <c r="M693" t="str">
        <f>RTD("tos.rtd", , "DELTA", ".TLT201120P155.5")</f>
        <v>N/A</v>
      </c>
      <c r="N693" t="str">
        <f>RTD("tos.rtd", , "GAMMA", ".TLT201120P155.5")</f>
        <v>N/A</v>
      </c>
      <c r="O693" t="str">
        <f>RTD("tos.rtd", , "THETA", ".TLT201120P155.5")</f>
        <v>N/A</v>
      </c>
      <c r="P693" t="str">
        <f>RTD("tos.rtd", , "VEGA", ".TLT201120P155.5")</f>
        <v>N/A</v>
      </c>
      <c r="Q693" t="str">
        <f>RTD("tos.rtd", , "RHO", ".TLT201120P155.5")</f>
        <v>N/A</v>
      </c>
      <c r="R693" t="str">
        <f>RTD("tos.rtd", , "INTRINSIC", ".TLT201120P155.5")</f>
        <v>N/A</v>
      </c>
      <c r="S693" t="str">
        <f>RTD("tos.rtd", , "EXTRINSIC", ".TLT201120P155.5")</f>
        <v>N/A</v>
      </c>
      <c r="T693" t="str">
        <f>RTD("tos.rtd", , "PROB_OF_EXPIRING", ".TLT201120P155.5")</f>
        <v>N/A</v>
      </c>
      <c r="U693" t="str">
        <f>RTD("tos.rtd", , "PROB_OTM", ".TLT201120P155.5")</f>
        <v>N/A</v>
      </c>
      <c r="V693" t="str">
        <f>RTD("tos.rtd", , "PROB_OF_TOUCHING", ".TLT201120P155.5")</f>
        <v>N/A</v>
      </c>
      <c r="W693" t="str">
        <f>RTD("tos.rtd", , "STRIKE", ".TLT201120P155.5")</f>
        <v>N/A</v>
      </c>
    </row>
    <row r="694" spans="1:23" x14ac:dyDescent="0.45">
      <c r="A694" t="s">
        <v>715</v>
      </c>
      <c r="B694" t="str">
        <f>RTD("tos.rtd", , "DESCRIPTION", ".TLT201120C156")</f>
        <v>N/A</v>
      </c>
      <c r="C694" t="str">
        <f>RTD("tos.rtd", , "PUT_CALL_RATIO", ".TLT201120C156")</f>
        <v>N/A</v>
      </c>
      <c r="D694" t="str">
        <f>RTD("tos.rtd", , "IMPL_VOL", ".TLT201120C156")</f>
        <v>N/A</v>
      </c>
      <c r="E694">
        <f>RTD("tos.rtd", , "LAST", ".TLT201120C156")</f>
        <v>2.8</v>
      </c>
      <c r="F694">
        <f>RTD("tos.rtd", , "VOLUME", ".TLT201120C156")</f>
        <v>375</v>
      </c>
      <c r="G694">
        <f>RTD("tos.rtd", , "OPEN_INT", ".TLT201120C156")</f>
        <v>3678</v>
      </c>
      <c r="H694">
        <f>RTD("tos.rtd", , "BID", ".TLT201120C156")</f>
        <v>2.8</v>
      </c>
      <c r="I694">
        <f>RTD("tos.rtd", , "ASK", ".TLT201120C156")</f>
        <v>2.89</v>
      </c>
      <c r="J694">
        <f>RTD("tos.rtd", , "HIGH", ".TLT201120C156")</f>
        <v>2.81</v>
      </c>
      <c r="K694">
        <f>RTD("tos.rtd", , "LOW", ".TLT201120C156")</f>
        <v>1.65</v>
      </c>
      <c r="L694">
        <f>RTD("tos.rtd", , "OPEN", ".TLT201120C156")</f>
        <v>1.75</v>
      </c>
      <c r="M694" t="str">
        <f>RTD("tos.rtd", , "DELTA", ".TLT201120C156")</f>
        <v>N/A</v>
      </c>
      <c r="N694" t="str">
        <f>RTD("tos.rtd", , "GAMMA", ".TLT201120C156")</f>
        <v>N/A</v>
      </c>
      <c r="O694" t="str">
        <f>RTD("tos.rtd", , "THETA", ".TLT201120C156")</f>
        <v>N/A</v>
      </c>
      <c r="P694" t="str">
        <f>RTD("tos.rtd", , "VEGA", ".TLT201120C156")</f>
        <v>N/A</v>
      </c>
      <c r="Q694" t="str">
        <f>RTD("tos.rtd", , "RHO", ".TLT201120C156")</f>
        <v>N/A</v>
      </c>
      <c r="R694" t="str">
        <f>RTD("tos.rtd", , "INTRINSIC", ".TLT201120C156")</f>
        <v>N/A</v>
      </c>
      <c r="S694" t="str">
        <f>RTD("tos.rtd", , "EXTRINSIC", ".TLT201120C156")</f>
        <v>N/A</v>
      </c>
      <c r="T694" t="str">
        <f>RTD("tos.rtd", , "PROB_OF_EXPIRING", ".TLT201120C156")</f>
        <v>N/A</v>
      </c>
      <c r="U694" t="str">
        <f>RTD("tos.rtd", , "PROB_OTM", ".TLT201120C156")</f>
        <v>N/A</v>
      </c>
      <c r="V694" t="str">
        <f>RTD("tos.rtd", , "PROB_OF_TOUCHING", ".TLT201120C156")</f>
        <v>N/A</v>
      </c>
      <c r="W694" t="str">
        <f>RTD("tos.rtd", , "STRIKE", ".TLT201120C156")</f>
        <v>N/A</v>
      </c>
    </row>
    <row r="695" spans="1:23" x14ac:dyDescent="0.45">
      <c r="A695" t="s">
        <v>716</v>
      </c>
      <c r="B695" t="str">
        <f>RTD("tos.rtd", , "DESCRIPTION", ".TLT201120P156")</f>
        <v>N/A</v>
      </c>
      <c r="C695" t="str">
        <f>RTD("tos.rtd", , "PUT_CALL_RATIO", ".TLT201120P156")</f>
        <v>N/A</v>
      </c>
      <c r="D695" t="str">
        <f>RTD("tos.rtd", , "IMPL_VOL", ".TLT201120P156")</f>
        <v>N/A</v>
      </c>
      <c r="E695">
        <f>RTD("tos.rtd", , "LAST", ".TLT201120P156")</f>
        <v>0.45</v>
      </c>
      <c r="F695">
        <f>RTD("tos.rtd", , "VOLUME", ".TLT201120P156")</f>
        <v>4275</v>
      </c>
      <c r="G695">
        <f>RTD("tos.rtd", , "OPEN_INT", ".TLT201120P156")</f>
        <v>25998</v>
      </c>
      <c r="H695">
        <f>RTD("tos.rtd", , "BID", ".TLT201120P156")</f>
        <v>0.42</v>
      </c>
      <c r="I695">
        <f>RTD("tos.rtd", , "ASK", ".TLT201120P156")</f>
        <v>0.48</v>
      </c>
      <c r="J695">
        <f>RTD("tos.rtd", , "HIGH", ".TLT201120P156")</f>
        <v>1.39</v>
      </c>
      <c r="K695">
        <f>RTD("tos.rtd", , "LOW", ".TLT201120P156")</f>
        <v>0.45</v>
      </c>
      <c r="L695">
        <f>RTD("tos.rtd", , "OPEN", ".TLT201120P156")</f>
        <v>1.39</v>
      </c>
      <c r="M695" t="str">
        <f>RTD("tos.rtd", , "DELTA", ".TLT201120P156")</f>
        <v>N/A</v>
      </c>
      <c r="N695" t="str">
        <f>RTD("tos.rtd", , "GAMMA", ".TLT201120P156")</f>
        <v>N/A</v>
      </c>
      <c r="O695" t="str">
        <f>RTD("tos.rtd", , "THETA", ".TLT201120P156")</f>
        <v>N/A</v>
      </c>
      <c r="P695" t="str">
        <f>RTD("tos.rtd", , "VEGA", ".TLT201120P156")</f>
        <v>N/A</v>
      </c>
      <c r="Q695" t="str">
        <f>RTD("tos.rtd", , "RHO", ".TLT201120P156")</f>
        <v>N/A</v>
      </c>
      <c r="R695" t="str">
        <f>RTD("tos.rtd", , "INTRINSIC", ".TLT201120P156")</f>
        <v>N/A</v>
      </c>
      <c r="S695" t="str">
        <f>RTD("tos.rtd", , "EXTRINSIC", ".TLT201120P156")</f>
        <v>N/A</v>
      </c>
      <c r="T695" t="str">
        <f>RTD("tos.rtd", , "PROB_OF_EXPIRING", ".TLT201120P156")</f>
        <v>N/A</v>
      </c>
      <c r="U695" t="str">
        <f>RTD("tos.rtd", , "PROB_OTM", ".TLT201120P156")</f>
        <v>N/A</v>
      </c>
      <c r="V695" t="str">
        <f>RTD("tos.rtd", , "PROB_OF_TOUCHING", ".TLT201120P156")</f>
        <v>N/A</v>
      </c>
      <c r="W695" t="str">
        <f>RTD("tos.rtd", , "STRIKE", ".TLT201120P156")</f>
        <v>N/A</v>
      </c>
    </row>
    <row r="696" spans="1:23" x14ac:dyDescent="0.45">
      <c r="A696" t="s">
        <v>717</v>
      </c>
      <c r="B696" t="str">
        <f>RTD("tos.rtd", , "DESCRIPTION", ".TLT201120C156.5")</f>
        <v>N/A</v>
      </c>
      <c r="C696" t="str">
        <f>RTD("tos.rtd", , "PUT_CALL_RATIO", ".TLT201120C156.5")</f>
        <v>N/A</v>
      </c>
      <c r="D696" t="str">
        <f>RTD("tos.rtd", , "IMPL_VOL", ".TLT201120C156.5")</f>
        <v>N/A</v>
      </c>
      <c r="E696">
        <f>RTD("tos.rtd", , "LAST", ".TLT201120C156.5")</f>
        <v>2.36</v>
      </c>
      <c r="F696">
        <f>RTD("tos.rtd", , "VOLUME", ".TLT201120C156.5")</f>
        <v>131</v>
      </c>
      <c r="G696">
        <f>RTD("tos.rtd", , "OPEN_INT", ".TLT201120C156.5")</f>
        <v>202</v>
      </c>
      <c r="H696">
        <f>RTD("tos.rtd", , "BID", ".TLT201120C156.5")</f>
        <v>2.37</v>
      </c>
      <c r="I696">
        <f>RTD("tos.rtd", , "ASK", ".TLT201120C156.5")</f>
        <v>2.52</v>
      </c>
      <c r="J696">
        <f>RTD("tos.rtd", , "HIGH", ".TLT201120C156.5")</f>
        <v>2.36</v>
      </c>
      <c r="K696">
        <f>RTD("tos.rtd", , "LOW", ".TLT201120C156.5")</f>
        <v>1.36</v>
      </c>
      <c r="L696">
        <f>RTD("tos.rtd", , "OPEN", ".TLT201120C156.5")</f>
        <v>1.43</v>
      </c>
      <c r="M696" t="str">
        <f>RTD("tos.rtd", , "DELTA", ".TLT201120C156.5")</f>
        <v>N/A</v>
      </c>
      <c r="N696" t="str">
        <f>RTD("tos.rtd", , "GAMMA", ".TLT201120C156.5")</f>
        <v>N/A</v>
      </c>
      <c r="O696" t="str">
        <f>RTD("tos.rtd", , "THETA", ".TLT201120C156.5")</f>
        <v>N/A</v>
      </c>
      <c r="P696" t="str">
        <f>RTD("tos.rtd", , "VEGA", ".TLT201120C156.5")</f>
        <v>N/A</v>
      </c>
      <c r="Q696" t="str">
        <f>RTD("tos.rtd", , "RHO", ".TLT201120C156.5")</f>
        <v>N/A</v>
      </c>
      <c r="R696" t="str">
        <f>RTD("tos.rtd", , "INTRINSIC", ".TLT201120C156.5")</f>
        <v>N/A</v>
      </c>
      <c r="S696" t="str">
        <f>RTD("tos.rtd", , "EXTRINSIC", ".TLT201120C156.5")</f>
        <v>N/A</v>
      </c>
      <c r="T696" t="str">
        <f>RTD("tos.rtd", , "PROB_OF_EXPIRING", ".TLT201120C156.5")</f>
        <v>N/A</v>
      </c>
      <c r="U696" t="str">
        <f>RTD("tos.rtd", , "PROB_OTM", ".TLT201120C156.5")</f>
        <v>N/A</v>
      </c>
      <c r="V696" t="str">
        <f>RTD("tos.rtd", , "PROB_OF_TOUCHING", ".TLT201120C156.5")</f>
        <v>N/A</v>
      </c>
      <c r="W696" t="str">
        <f>RTD("tos.rtd", , "STRIKE", ".TLT201120C156.5")</f>
        <v>N/A</v>
      </c>
    </row>
    <row r="697" spans="1:23" x14ac:dyDescent="0.45">
      <c r="A697" t="s">
        <v>718</v>
      </c>
      <c r="B697" t="str">
        <f>RTD("tos.rtd", , "DESCRIPTION", ".TLT201120P156.5")</f>
        <v>N/A</v>
      </c>
      <c r="C697" t="str">
        <f>RTD("tos.rtd", , "PUT_CALL_RATIO", ".TLT201120P156.5")</f>
        <v>N/A</v>
      </c>
      <c r="D697" t="str">
        <f>RTD("tos.rtd", , "IMPL_VOL", ".TLT201120P156.5")</f>
        <v>N/A</v>
      </c>
      <c r="E697">
        <f>RTD("tos.rtd", , "LAST", ".TLT201120P156.5")</f>
        <v>0.56999999999999995</v>
      </c>
      <c r="F697">
        <f>RTD("tos.rtd", , "VOLUME", ".TLT201120P156.5")</f>
        <v>247</v>
      </c>
      <c r="G697">
        <f>RTD("tos.rtd", , "OPEN_INT", ".TLT201120P156.5")</f>
        <v>1465</v>
      </c>
      <c r="H697">
        <f>RTD("tos.rtd", , "BID", ".TLT201120P156.5")</f>
        <v>0.53</v>
      </c>
      <c r="I697">
        <f>RTD("tos.rtd", , "ASK", ".TLT201120P156.5")</f>
        <v>0.59</v>
      </c>
      <c r="J697">
        <f>RTD("tos.rtd", , "HIGH", ".TLT201120P156.5")</f>
        <v>1.05</v>
      </c>
      <c r="K697">
        <f>RTD("tos.rtd", , "LOW", ".TLT201120P156.5")</f>
        <v>0.56999999999999995</v>
      </c>
      <c r="L697">
        <f>RTD("tos.rtd", , "OPEN", ".TLT201120P156.5")</f>
        <v>1.02</v>
      </c>
      <c r="M697" t="str">
        <f>RTD("tos.rtd", , "DELTA", ".TLT201120P156.5")</f>
        <v>N/A</v>
      </c>
      <c r="N697" t="str">
        <f>RTD("tos.rtd", , "GAMMA", ".TLT201120P156.5")</f>
        <v>N/A</v>
      </c>
      <c r="O697" t="str">
        <f>RTD("tos.rtd", , "THETA", ".TLT201120P156.5")</f>
        <v>N/A</v>
      </c>
      <c r="P697" t="str">
        <f>RTD("tos.rtd", , "VEGA", ".TLT201120P156.5")</f>
        <v>N/A</v>
      </c>
      <c r="Q697" t="str">
        <f>RTD("tos.rtd", , "RHO", ".TLT201120P156.5")</f>
        <v>N/A</v>
      </c>
      <c r="R697" t="str">
        <f>RTD("tos.rtd", , "INTRINSIC", ".TLT201120P156.5")</f>
        <v>N/A</v>
      </c>
      <c r="S697" t="str">
        <f>RTD("tos.rtd", , "EXTRINSIC", ".TLT201120P156.5")</f>
        <v>N/A</v>
      </c>
      <c r="T697" t="str">
        <f>RTD("tos.rtd", , "PROB_OF_EXPIRING", ".TLT201120P156.5")</f>
        <v>N/A</v>
      </c>
      <c r="U697" t="str">
        <f>RTD("tos.rtd", , "PROB_OTM", ".TLT201120P156.5")</f>
        <v>N/A</v>
      </c>
      <c r="V697" t="str">
        <f>RTD("tos.rtd", , "PROB_OF_TOUCHING", ".TLT201120P156.5")</f>
        <v>N/A</v>
      </c>
      <c r="W697" t="str">
        <f>RTD("tos.rtd", , "STRIKE", ".TLT201120P156.5")</f>
        <v>N/A</v>
      </c>
    </row>
    <row r="698" spans="1:23" x14ac:dyDescent="0.45">
      <c r="A698" t="s">
        <v>719</v>
      </c>
      <c r="B698" t="str">
        <f>RTD("tos.rtd", , "DESCRIPTION", "USMV")</f>
        <v>N/A</v>
      </c>
      <c r="C698">
        <f>RTD("tos.rtd", , "PUT_CALL_RATIO", "USMV")</f>
        <v>5</v>
      </c>
      <c r="D698" t="str">
        <f>RTD("tos.rtd", , "IMPL_VOL", "USMV")</f>
        <v>20.30%</v>
      </c>
      <c r="E698">
        <f>RTD("tos.rtd", , "LAST", "USMV")</f>
        <v>66.23</v>
      </c>
      <c r="F698">
        <f>RTD("tos.rtd", , "VOLUME", "USMV")</f>
        <v>2514575</v>
      </c>
      <c r="G698">
        <f>RTD("tos.rtd", , "OPEN_INT", "USMV")</f>
        <v>0</v>
      </c>
      <c r="H698">
        <f>RTD("tos.rtd", , "BID", "USMV")</f>
        <v>65.89</v>
      </c>
      <c r="I698">
        <f>RTD("tos.rtd", , "ASK", "USMV")</f>
        <v>66.34</v>
      </c>
      <c r="J698">
        <f>RTD("tos.rtd", , "HIGH", "USMV")</f>
        <v>66.73</v>
      </c>
      <c r="K698">
        <f>RTD("tos.rtd", , "LOW", "USMV")</f>
        <v>65.835700000000003</v>
      </c>
      <c r="L698">
        <f>RTD("tos.rtd", , "OPEN", "USMV")</f>
        <v>66.58</v>
      </c>
      <c r="M698">
        <f>RTD("tos.rtd", , "DELTA", "USMV")</f>
        <v>1</v>
      </c>
      <c r="N698">
        <f>RTD("tos.rtd", , "GAMMA", "USMV")</f>
        <v>0</v>
      </c>
      <c r="O698">
        <f>RTD("tos.rtd", , "THETA", "USMV")</f>
        <v>0</v>
      </c>
      <c r="P698">
        <f>RTD("tos.rtd", , "VEGA", "USMV")</f>
        <v>0</v>
      </c>
      <c r="Q698">
        <f>RTD("tos.rtd", , "RHO", "USMV")</f>
        <v>0</v>
      </c>
      <c r="R698" t="str">
        <f>RTD("tos.rtd", , "INTRINSIC", "USMV")</f>
        <v>N/A</v>
      </c>
      <c r="S698" t="str">
        <f>RTD("tos.rtd", , "EXTRINSIC", "USMV")</f>
        <v>N/A</v>
      </c>
      <c r="T698" t="str">
        <f>RTD("tos.rtd", , "PROB_OF_EXPIRING", "USMV")</f>
        <v>N/A</v>
      </c>
      <c r="U698" t="str">
        <f>RTD("tos.rtd", , "PROB_OTM", "USMV")</f>
        <v>N/A</v>
      </c>
      <c r="V698" t="str">
        <f>RTD("tos.rtd", , "PROB_OF_TOUCHING", "USMV")</f>
        <v>N/A</v>
      </c>
      <c r="W698" t="str">
        <f>RTD("tos.rtd", , "STRIKE", "USMV")</f>
        <v>N/A</v>
      </c>
    </row>
    <row r="699" spans="1:23" x14ac:dyDescent="0.45">
      <c r="A699" t="s">
        <v>720</v>
      </c>
      <c r="B699" t="str">
        <f>RTD("tos.rtd", , "DESCRIPTION", ".USMV201120C67")</f>
        <v>N/A</v>
      </c>
      <c r="C699" t="str">
        <f>RTD("tos.rtd", , "PUT_CALL_RATIO", ".USMV201120C67")</f>
        <v>N/A</v>
      </c>
      <c r="D699" t="str">
        <f>RTD("tos.rtd", , "IMPL_VOL", ".USMV201120C67")</f>
        <v>N/A</v>
      </c>
      <c r="E699">
        <f>RTD("tos.rtd", , "LAST", ".USMV201120C67")</f>
        <v>0.8</v>
      </c>
      <c r="F699">
        <f>RTD("tos.rtd", , "VOLUME", ".USMV201120C67")</f>
        <v>0</v>
      </c>
      <c r="G699">
        <f>RTD("tos.rtd", , "OPEN_INT", ".USMV201120C67")</f>
        <v>40</v>
      </c>
      <c r="H699">
        <f>RTD("tos.rtd", , "BID", ".USMV201120C67")</f>
        <v>0.2</v>
      </c>
      <c r="I699">
        <f>RTD("tos.rtd", , "ASK", ".USMV201120C67")</f>
        <v>0.45</v>
      </c>
      <c r="J699">
        <f>RTD("tos.rtd", , "HIGH", ".USMV201120C67")</f>
        <v>0</v>
      </c>
      <c r="K699">
        <f>RTD("tos.rtd", , "LOW", ".USMV201120C67")</f>
        <v>0</v>
      </c>
      <c r="L699">
        <f>RTD("tos.rtd", , "OPEN", ".USMV201120C67")</f>
        <v>0</v>
      </c>
      <c r="M699" t="str">
        <f>RTD("tos.rtd", , "DELTA", ".USMV201120C67")</f>
        <v>N/A</v>
      </c>
      <c r="N699" t="str">
        <f>RTD("tos.rtd", , "GAMMA", ".USMV201120C67")</f>
        <v>N/A</v>
      </c>
      <c r="O699" t="str">
        <f>RTD("tos.rtd", , "THETA", ".USMV201120C67")</f>
        <v>N/A</v>
      </c>
      <c r="P699" t="str">
        <f>RTD("tos.rtd", , "VEGA", ".USMV201120C67")</f>
        <v>N/A</v>
      </c>
      <c r="Q699" t="str">
        <f>RTD("tos.rtd", , "RHO", ".USMV201120C67")</f>
        <v>N/A</v>
      </c>
      <c r="R699" t="str">
        <f>RTD("tos.rtd", , "INTRINSIC", ".USMV201120C67")</f>
        <v>N/A</v>
      </c>
      <c r="S699" t="str">
        <f>RTD("tos.rtd", , "EXTRINSIC", ".USMV201120C67")</f>
        <v>N/A</v>
      </c>
      <c r="T699" t="str">
        <f>RTD("tos.rtd", , "PROB_OF_EXPIRING", ".USMV201120C67")</f>
        <v>N/A</v>
      </c>
      <c r="U699" t="str">
        <f>RTD("tos.rtd", , "PROB_OTM", ".USMV201120C67")</f>
        <v>N/A</v>
      </c>
      <c r="V699" t="str">
        <f>RTD("tos.rtd", , "PROB_OF_TOUCHING", ".USMV201120C67")</f>
        <v>N/A</v>
      </c>
      <c r="W699" t="str">
        <f>RTD("tos.rtd", , "STRIKE", ".USMV201120C67")</f>
        <v>N/A</v>
      </c>
    </row>
    <row r="700" spans="1:23" x14ac:dyDescent="0.45">
      <c r="A700" t="s">
        <v>721</v>
      </c>
      <c r="B700" t="str">
        <f>RTD("tos.rtd", , "DESCRIPTION", ".USMV201120P67")</f>
        <v>N/A</v>
      </c>
      <c r="C700" t="str">
        <f>RTD("tos.rtd", , "PUT_CALL_RATIO", ".USMV201120P67")</f>
        <v>N/A</v>
      </c>
      <c r="D700" t="str">
        <f>RTD("tos.rtd", , "IMPL_VOL", ".USMV201120P67")</f>
        <v>N/A</v>
      </c>
      <c r="E700">
        <f>RTD("tos.rtd", , "LAST", ".USMV201120P67")</f>
        <v>0</v>
      </c>
      <c r="F700">
        <f>RTD("tos.rtd", , "VOLUME", ".USMV201120P67")</f>
        <v>0</v>
      </c>
      <c r="G700">
        <f>RTD("tos.rtd", , "OPEN_INT", ".USMV201120P67")</f>
        <v>0</v>
      </c>
      <c r="H700">
        <f>RTD("tos.rtd", , "BID", ".USMV201120P67")</f>
        <v>0.95</v>
      </c>
      <c r="I700">
        <f>RTD("tos.rtd", , "ASK", ".USMV201120P67")</f>
        <v>1.4</v>
      </c>
      <c r="J700">
        <f>RTD("tos.rtd", , "HIGH", ".USMV201120P67")</f>
        <v>0</v>
      </c>
      <c r="K700">
        <f>RTD("tos.rtd", , "LOW", ".USMV201120P67")</f>
        <v>0</v>
      </c>
      <c r="L700">
        <f>RTD("tos.rtd", , "OPEN", ".USMV201120P67")</f>
        <v>0</v>
      </c>
      <c r="M700" t="str">
        <f>RTD("tos.rtd", , "DELTA", ".USMV201120P67")</f>
        <v>N/A</v>
      </c>
      <c r="N700" t="str">
        <f>RTD("tos.rtd", , "GAMMA", ".USMV201120P67")</f>
        <v>N/A</v>
      </c>
      <c r="O700" t="str">
        <f>RTD("tos.rtd", , "THETA", ".USMV201120P67")</f>
        <v>N/A</v>
      </c>
      <c r="P700" t="str">
        <f>RTD("tos.rtd", , "VEGA", ".USMV201120P67")</f>
        <v>N/A</v>
      </c>
      <c r="Q700" t="str">
        <f>RTD("tos.rtd", , "RHO", ".USMV201120P67")</f>
        <v>N/A</v>
      </c>
      <c r="R700" t="str">
        <f>RTD("tos.rtd", , "INTRINSIC", ".USMV201120P67")</f>
        <v>N/A</v>
      </c>
      <c r="S700" t="str">
        <f>RTD("tos.rtd", , "EXTRINSIC", ".USMV201120P67")</f>
        <v>N/A</v>
      </c>
      <c r="T700" t="str">
        <f>RTD("tos.rtd", , "PROB_OF_EXPIRING", ".USMV201120P67")</f>
        <v>N/A</v>
      </c>
      <c r="U700" t="str">
        <f>RTD("tos.rtd", , "PROB_OTM", ".USMV201120P67")</f>
        <v>N/A</v>
      </c>
      <c r="V700" t="str">
        <f>RTD("tos.rtd", , "PROB_OF_TOUCHING", ".USMV201120P67")</f>
        <v>N/A</v>
      </c>
      <c r="W700" t="str">
        <f>RTD("tos.rtd", , "STRIKE", ".USMV201120P67")</f>
        <v>N/A</v>
      </c>
    </row>
    <row r="701" spans="1:23" x14ac:dyDescent="0.45">
      <c r="A701" t="s">
        <v>722</v>
      </c>
      <c r="B701" t="str">
        <f>RTD("tos.rtd", , "DESCRIPTION", "VCIT")</f>
        <v>N/A</v>
      </c>
      <c r="C701">
        <f>RTD("tos.rtd", , "PUT_CALL_RATIO", "VCIT")</f>
        <v>1</v>
      </c>
      <c r="D701" t="str">
        <f>RTD("tos.rtd", , "IMPL_VOL", "VCIT")</f>
        <v>6.67%</v>
      </c>
      <c r="E701">
        <f>RTD("tos.rtd", , "LAST", "VCIT")</f>
        <v>96.15</v>
      </c>
      <c r="F701">
        <f>RTD("tos.rtd", , "VOLUME", "VCIT")</f>
        <v>5860920</v>
      </c>
      <c r="G701">
        <f>RTD("tos.rtd", , "OPEN_INT", "VCIT")</f>
        <v>0</v>
      </c>
      <c r="H701">
        <f>RTD("tos.rtd", , "BID", "VCIT")</f>
        <v>95.09</v>
      </c>
      <c r="I701">
        <f>RTD("tos.rtd", , "ASK", "VCIT")</f>
        <v>96.5</v>
      </c>
      <c r="J701">
        <f>RTD("tos.rtd", , "HIGH", "VCIT")</f>
        <v>96.187200000000004</v>
      </c>
      <c r="K701">
        <f>RTD("tos.rtd", , "LOW", "VCIT")</f>
        <v>95.96</v>
      </c>
      <c r="L701">
        <f>RTD("tos.rtd", , "OPEN", "VCIT")</f>
        <v>95.99</v>
      </c>
      <c r="M701">
        <f>RTD("tos.rtd", , "DELTA", "VCIT")</f>
        <v>1</v>
      </c>
      <c r="N701">
        <f>RTD("tos.rtd", , "GAMMA", "VCIT")</f>
        <v>0</v>
      </c>
      <c r="O701">
        <f>RTD("tos.rtd", , "THETA", "VCIT")</f>
        <v>0</v>
      </c>
      <c r="P701">
        <f>RTD("tos.rtd", , "VEGA", "VCIT")</f>
        <v>0</v>
      </c>
      <c r="Q701">
        <f>RTD("tos.rtd", , "RHO", "VCIT")</f>
        <v>0</v>
      </c>
      <c r="R701" t="str">
        <f>RTD("tos.rtd", , "INTRINSIC", "VCIT")</f>
        <v>N/A</v>
      </c>
      <c r="S701" t="str">
        <f>RTD("tos.rtd", , "EXTRINSIC", "VCIT")</f>
        <v>N/A</v>
      </c>
      <c r="T701" t="str">
        <f>RTD("tos.rtd", , "PROB_OF_EXPIRING", "VCIT")</f>
        <v>N/A</v>
      </c>
      <c r="U701" t="str">
        <f>RTD("tos.rtd", , "PROB_OTM", "VCIT")</f>
        <v>N/A</v>
      </c>
      <c r="V701" t="str">
        <f>RTD("tos.rtd", , "PROB_OF_TOUCHING", "VCIT")</f>
        <v>N/A</v>
      </c>
      <c r="W701" t="str">
        <f>RTD("tos.rtd", , "STRIKE", "VCIT")</f>
        <v>N/A</v>
      </c>
    </row>
    <row r="702" spans="1:23" x14ac:dyDescent="0.45">
      <c r="A702" t="s">
        <v>723</v>
      </c>
      <c r="B702" t="str">
        <f>RTD("tos.rtd", , "DESCRIPTION", ".VCIT201120C96")</f>
        <v>N/A</v>
      </c>
      <c r="C702" t="str">
        <f>RTD("tos.rtd", , "PUT_CALL_RATIO", ".VCIT201120C96")</f>
        <v>N/A</v>
      </c>
      <c r="D702" t="str">
        <f>RTD("tos.rtd", , "IMPL_VOL", ".VCIT201120C96")</f>
        <v>N/A</v>
      </c>
      <c r="E702" t="str">
        <f>RTD("tos.rtd", , "LAST", ".VCIT201120C96")</f>
        <v>N/A</v>
      </c>
      <c r="F702" t="str">
        <f>RTD("tos.rtd", , "VOLUME", ".VCIT201120C96")</f>
        <v>N/A</v>
      </c>
      <c r="G702" t="str">
        <f>RTD("tos.rtd", , "OPEN_INT", ".VCIT201120C96")</f>
        <v>N/A</v>
      </c>
      <c r="H702" t="str">
        <f>RTD("tos.rtd", , "BID", ".VCIT201120C96")</f>
        <v>N/A</v>
      </c>
      <c r="I702" t="str">
        <f>RTD("tos.rtd", , "ASK", ".VCIT201120C96")</f>
        <v>N/A</v>
      </c>
      <c r="J702" t="str">
        <f>RTD("tos.rtd", , "HIGH", ".VCIT201120C96")</f>
        <v>N/A</v>
      </c>
      <c r="K702" t="str">
        <f>RTD("tos.rtd", , "LOW", ".VCIT201120C96")</f>
        <v>N/A</v>
      </c>
      <c r="L702" t="str">
        <f>RTD("tos.rtd", , "OPEN", ".VCIT201120C96")</f>
        <v>N/A</v>
      </c>
      <c r="M702" t="str">
        <f>RTD("tos.rtd", , "DELTA", ".VCIT201120C96")</f>
        <v>N/A</v>
      </c>
      <c r="N702" t="str">
        <f>RTD("tos.rtd", , "GAMMA", ".VCIT201120C96")</f>
        <v>N/A</v>
      </c>
      <c r="O702" t="str">
        <f>RTD("tos.rtd", , "THETA", ".VCIT201120C96")</f>
        <v>N/A</v>
      </c>
      <c r="P702" t="str">
        <f>RTD("tos.rtd", , "VEGA", ".VCIT201120C96")</f>
        <v>N/A</v>
      </c>
      <c r="Q702" t="str">
        <f>RTD("tos.rtd", , "RHO", ".VCIT201120C96")</f>
        <v>N/A</v>
      </c>
      <c r="R702" t="str">
        <f>RTD("tos.rtd", , "INTRINSIC", ".VCIT201120C96")</f>
        <v>N/A</v>
      </c>
      <c r="S702" t="str">
        <f>RTD("tos.rtd", , "EXTRINSIC", ".VCIT201120C96")</f>
        <v>N/A</v>
      </c>
      <c r="T702" t="str">
        <f>RTD("tos.rtd", , "PROB_OF_EXPIRING", ".VCIT201120C96")</f>
        <v>N/A</v>
      </c>
      <c r="U702" t="str">
        <f>RTD("tos.rtd", , "PROB_OTM", ".VCIT201120C96")</f>
        <v>N/A</v>
      </c>
      <c r="V702" t="str">
        <f>RTD("tos.rtd", , "PROB_OF_TOUCHING", ".VCIT201120C96")</f>
        <v>N/A</v>
      </c>
      <c r="W702" t="str">
        <f>RTD("tos.rtd", , "STRIKE", ".VCIT201120C96")</f>
        <v>N/A</v>
      </c>
    </row>
    <row r="703" spans="1:23" x14ac:dyDescent="0.45">
      <c r="A703" t="s">
        <v>724</v>
      </c>
      <c r="B703" t="str">
        <f>RTD("tos.rtd", , "DESCRIPTION", ".VCIT201120P96")</f>
        <v>N/A</v>
      </c>
      <c r="C703" t="str">
        <f>RTD("tos.rtd", , "PUT_CALL_RATIO", ".VCIT201120P96")</f>
        <v>N/A</v>
      </c>
      <c r="D703" t="str">
        <f>RTD("tos.rtd", , "IMPL_VOL", ".VCIT201120P96")</f>
        <v>N/A</v>
      </c>
      <c r="E703" t="str">
        <f>RTD("tos.rtd", , "LAST", ".VCIT201120P96")</f>
        <v>N/A</v>
      </c>
      <c r="F703" t="str">
        <f>RTD("tos.rtd", , "VOLUME", ".VCIT201120P96")</f>
        <v>N/A</v>
      </c>
      <c r="G703" t="str">
        <f>RTD("tos.rtd", , "OPEN_INT", ".VCIT201120P96")</f>
        <v>N/A</v>
      </c>
      <c r="H703" t="str">
        <f>RTD("tos.rtd", , "BID", ".VCIT201120P96")</f>
        <v>N/A</v>
      </c>
      <c r="I703" t="str">
        <f>RTD("tos.rtd", , "ASK", ".VCIT201120P96")</f>
        <v>N/A</v>
      </c>
      <c r="J703" t="str">
        <f>RTD("tos.rtd", , "HIGH", ".VCIT201120P96")</f>
        <v>N/A</v>
      </c>
      <c r="K703" t="str">
        <f>RTD("tos.rtd", , "LOW", ".VCIT201120P96")</f>
        <v>N/A</v>
      </c>
      <c r="L703" t="str">
        <f>RTD("tos.rtd", , "OPEN", ".VCIT201120P96")</f>
        <v>N/A</v>
      </c>
      <c r="M703" t="str">
        <f>RTD("tos.rtd", , "DELTA", ".VCIT201120P96")</f>
        <v>N/A</v>
      </c>
      <c r="N703" t="str">
        <f>RTD("tos.rtd", , "GAMMA", ".VCIT201120P96")</f>
        <v>N/A</v>
      </c>
      <c r="O703" t="str">
        <f>RTD("tos.rtd", , "THETA", ".VCIT201120P96")</f>
        <v>N/A</v>
      </c>
      <c r="P703" t="str">
        <f>RTD("tos.rtd", , "VEGA", ".VCIT201120P96")</f>
        <v>N/A</v>
      </c>
      <c r="Q703" t="str">
        <f>RTD("tos.rtd", , "RHO", ".VCIT201120P96")</f>
        <v>N/A</v>
      </c>
      <c r="R703" t="str">
        <f>RTD("tos.rtd", , "INTRINSIC", ".VCIT201120P96")</f>
        <v>N/A</v>
      </c>
      <c r="S703" t="str">
        <f>RTD("tos.rtd", , "EXTRINSIC", ".VCIT201120P96")</f>
        <v>N/A</v>
      </c>
      <c r="T703" t="str">
        <f>RTD("tos.rtd", , "PROB_OF_EXPIRING", ".VCIT201120P96")</f>
        <v>N/A</v>
      </c>
      <c r="U703" t="str">
        <f>RTD("tos.rtd", , "PROB_OTM", ".VCIT201120P96")</f>
        <v>N/A</v>
      </c>
      <c r="V703" t="str">
        <f>RTD("tos.rtd", , "PROB_OF_TOUCHING", ".VCIT201120P96")</f>
        <v>N/A</v>
      </c>
      <c r="W703" t="str">
        <f>RTD("tos.rtd", , "STRIKE", ".VCIT201120P96")</f>
        <v>N/A</v>
      </c>
    </row>
    <row r="704" spans="1:23" x14ac:dyDescent="0.45">
      <c r="A704" t="s">
        <v>725</v>
      </c>
      <c r="B704" t="str">
        <f>RTD("tos.rtd", , "DESCRIPTION", "VCLT")</f>
        <v>N/A</v>
      </c>
      <c r="C704">
        <f>RTD("tos.rtd", , "PUT_CALL_RATIO", "VCLT")</f>
        <v>1</v>
      </c>
      <c r="D704" t="str">
        <f>RTD("tos.rtd", , "IMPL_VOL", "VCLT")</f>
        <v>12.80%</v>
      </c>
      <c r="E704">
        <f>RTD("tos.rtd", , "LAST", "VCLT")</f>
        <v>107.93</v>
      </c>
      <c r="F704">
        <f>RTD("tos.rtd", , "VOLUME", "VCLT")</f>
        <v>1144489</v>
      </c>
      <c r="G704">
        <f>RTD("tos.rtd", , "OPEN_INT", "VCLT")</f>
        <v>0</v>
      </c>
      <c r="H704">
        <f>RTD("tos.rtd", , "BID", "VCLT")</f>
        <v>105</v>
      </c>
      <c r="I704">
        <f>RTD("tos.rtd", , "ASK", "VCLT")</f>
        <v>110</v>
      </c>
      <c r="J704">
        <f>RTD("tos.rtd", , "HIGH", "VCLT")</f>
        <v>107.93</v>
      </c>
      <c r="K704">
        <f>RTD("tos.rtd", , "LOW", "VCLT")</f>
        <v>107.2801</v>
      </c>
      <c r="L704">
        <f>RTD("tos.rtd", , "OPEN", "VCLT")</f>
        <v>107.43</v>
      </c>
      <c r="M704">
        <f>RTD("tos.rtd", , "DELTA", "VCLT")</f>
        <v>1</v>
      </c>
      <c r="N704">
        <f>RTD("tos.rtd", , "GAMMA", "VCLT")</f>
        <v>0</v>
      </c>
      <c r="O704">
        <f>RTD("tos.rtd", , "THETA", "VCLT")</f>
        <v>0</v>
      </c>
      <c r="P704">
        <f>RTD("tos.rtd", , "VEGA", "VCLT")</f>
        <v>0</v>
      </c>
      <c r="Q704">
        <f>RTD("tos.rtd", , "RHO", "VCLT")</f>
        <v>0</v>
      </c>
      <c r="R704" t="str">
        <f>RTD("tos.rtd", , "INTRINSIC", "VCLT")</f>
        <v>N/A</v>
      </c>
      <c r="S704" t="str">
        <f>RTD("tos.rtd", , "EXTRINSIC", "VCLT")</f>
        <v>N/A</v>
      </c>
      <c r="T704" t="str">
        <f>RTD("tos.rtd", , "PROB_OF_EXPIRING", "VCLT")</f>
        <v>N/A</v>
      </c>
      <c r="U704" t="str">
        <f>RTD("tos.rtd", , "PROB_OTM", "VCLT")</f>
        <v>N/A</v>
      </c>
      <c r="V704" t="str">
        <f>RTD("tos.rtd", , "PROB_OF_TOUCHING", "VCLT")</f>
        <v>N/A</v>
      </c>
      <c r="W704" t="str">
        <f>RTD("tos.rtd", , "STRIKE", "VCLT")</f>
        <v>N/A</v>
      </c>
    </row>
    <row r="705" spans="1:23" x14ac:dyDescent="0.45">
      <c r="A705" t="s">
        <v>726</v>
      </c>
      <c r="B705" t="str">
        <f>RTD("tos.rtd", , "DESCRIPTION", ".VCLT201120C107")</f>
        <v>N/A</v>
      </c>
      <c r="C705" t="str">
        <f>RTD("tos.rtd", , "PUT_CALL_RATIO", ".VCLT201120C107")</f>
        <v>N/A</v>
      </c>
      <c r="D705" t="str">
        <f>RTD("tos.rtd", , "IMPL_VOL", ".VCLT201120C107")</f>
        <v>N/A</v>
      </c>
      <c r="E705" t="str">
        <f>RTD("tos.rtd", , "LAST", ".VCLT201120C107")</f>
        <v>N/A</v>
      </c>
      <c r="F705" t="str">
        <f>RTD("tos.rtd", , "VOLUME", ".VCLT201120C107")</f>
        <v>N/A</v>
      </c>
      <c r="G705" t="str">
        <f>RTD("tos.rtd", , "OPEN_INT", ".VCLT201120C107")</f>
        <v>N/A</v>
      </c>
      <c r="H705" t="str">
        <f>RTD("tos.rtd", , "BID", ".VCLT201120C107")</f>
        <v>N/A</v>
      </c>
      <c r="I705" t="str">
        <f>RTD("tos.rtd", , "ASK", ".VCLT201120C107")</f>
        <v>N/A</v>
      </c>
      <c r="J705" t="str">
        <f>RTD("tos.rtd", , "HIGH", ".VCLT201120C107")</f>
        <v>N/A</v>
      </c>
      <c r="K705" t="str">
        <f>RTD("tos.rtd", , "LOW", ".VCLT201120C107")</f>
        <v>N/A</v>
      </c>
      <c r="L705" t="str">
        <f>RTD("tos.rtd", , "OPEN", ".VCLT201120C107")</f>
        <v>N/A</v>
      </c>
      <c r="M705" t="str">
        <f>RTD("tos.rtd", , "DELTA", ".VCLT201120C107")</f>
        <v>N/A</v>
      </c>
      <c r="N705" t="str">
        <f>RTD("tos.rtd", , "GAMMA", ".VCLT201120C107")</f>
        <v>N/A</v>
      </c>
      <c r="O705" t="str">
        <f>RTD("tos.rtd", , "THETA", ".VCLT201120C107")</f>
        <v>N/A</v>
      </c>
      <c r="P705" t="str">
        <f>RTD("tos.rtd", , "VEGA", ".VCLT201120C107")</f>
        <v>N/A</v>
      </c>
      <c r="Q705" t="str">
        <f>RTD("tos.rtd", , "RHO", ".VCLT201120C107")</f>
        <v>N/A</v>
      </c>
      <c r="R705" t="str">
        <f>RTD("tos.rtd", , "INTRINSIC", ".VCLT201120C107")</f>
        <v>N/A</v>
      </c>
      <c r="S705" t="str">
        <f>RTD("tos.rtd", , "EXTRINSIC", ".VCLT201120C107")</f>
        <v>N/A</v>
      </c>
      <c r="T705" t="str">
        <f>RTD("tos.rtd", , "PROB_OF_EXPIRING", ".VCLT201120C107")</f>
        <v>N/A</v>
      </c>
      <c r="U705" t="str">
        <f>RTD("tos.rtd", , "PROB_OTM", ".VCLT201120C107")</f>
        <v>N/A</v>
      </c>
      <c r="V705" t="str">
        <f>RTD("tos.rtd", , "PROB_OF_TOUCHING", ".VCLT201120C107")</f>
        <v>N/A</v>
      </c>
      <c r="W705" t="str">
        <f>RTD("tos.rtd", , "STRIKE", ".VCLT201120C107")</f>
        <v>N/A</v>
      </c>
    </row>
    <row r="706" spans="1:23" x14ac:dyDescent="0.45">
      <c r="A706" t="s">
        <v>727</v>
      </c>
      <c r="B706" t="str">
        <f>RTD("tos.rtd", , "DESCRIPTION", ".VCLT201120P107")</f>
        <v>N/A</v>
      </c>
      <c r="C706" t="str">
        <f>RTD("tos.rtd", , "PUT_CALL_RATIO", ".VCLT201120P107")</f>
        <v>N/A</v>
      </c>
      <c r="D706" t="str">
        <f>RTD("tos.rtd", , "IMPL_VOL", ".VCLT201120P107")</f>
        <v>N/A</v>
      </c>
      <c r="E706" t="str">
        <f>RTD("tos.rtd", , "LAST", ".VCLT201120P107")</f>
        <v>N/A</v>
      </c>
      <c r="F706" t="str">
        <f>RTD("tos.rtd", , "VOLUME", ".VCLT201120P107")</f>
        <v>N/A</v>
      </c>
      <c r="G706" t="str">
        <f>RTD("tos.rtd", , "OPEN_INT", ".VCLT201120P107")</f>
        <v>N/A</v>
      </c>
      <c r="H706" t="str">
        <f>RTD("tos.rtd", , "BID", ".VCLT201120P107")</f>
        <v>N/A</v>
      </c>
      <c r="I706" t="str">
        <f>RTD("tos.rtd", , "ASK", ".VCLT201120P107")</f>
        <v>N/A</v>
      </c>
      <c r="J706" t="str">
        <f>RTD("tos.rtd", , "HIGH", ".VCLT201120P107")</f>
        <v>N/A</v>
      </c>
      <c r="K706" t="str">
        <f>RTD("tos.rtd", , "LOW", ".VCLT201120P107")</f>
        <v>N/A</v>
      </c>
      <c r="L706" t="str">
        <f>RTD("tos.rtd", , "OPEN", ".VCLT201120P107")</f>
        <v>N/A</v>
      </c>
      <c r="M706" t="str">
        <f>RTD("tos.rtd", , "DELTA", ".VCLT201120P107")</f>
        <v>N/A</v>
      </c>
      <c r="N706" t="str">
        <f>RTD("tos.rtd", , "GAMMA", ".VCLT201120P107")</f>
        <v>N/A</v>
      </c>
      <c r="O706" t="str">
        <f>RTD("tos.rtd", , "THETA", ".VCLT201120P107")</f>
        <v>N/A</v>
      </c>
      <c r="P706" t="str">
        <f>RTD("tos.rtd", , "VEGA", ".VCLT201120P107")</f>
        <v>N/A</v>
      </c>
      <c r="Q706" t="str">
        <f>RTD("tos.rtd", , "RHO", ".VCLT201120P107")</f>
        <v>N/A</v>
      </c>
      <c r="R706" t="str">
        <f>RTD("tos.rtd", , "INTRINSIC", ".VCLT201120P107")</f>
        <v>N/A</v>
      </c>
      <c r="S706" t="str">
        <f>RTD("tos.rtd", , "EXTRINSIC", ".VCLT201120P107")</f>
        <v>N/A</v>
      </c>
      <c r="T706" t="str">
        <f>RTD("tos.rtd", , "PROB_OF_EXPIRING", ".VCLT201120P107")</f>
        <v>N/A</v>
      </c>
      <c r="U706" t="str">
        <f>RTD("tos.rtd", , "PROB_OTM", ".VCLT201120P107")</f>
        <v>N/A</v>
      </c>
      <c r="V706" t="str">
        <f>RTD("tos.rtd", , "PROB_OF_TOUCHING", ".VCLT201120P107")</f>
        <v>N/A</v>
      </c>
      <c r="W706" t="str">
        <f>RTD("tos.rtd", , "STRIKE", ".VCLT201120P107")</f>
        <v>N/A</v>
      </c>
    </row>
    <row r="707" spans="1:23" x14ac:dyDescent="0.45">
      <c r="A707" t="s">
        <v>728</v>
      </c>
      <c r="B707" t="str">
        <f>RTD("tos.rtd", , "DESCRIPTION", "VEA")</f>
        <v>N/A</v>
      </c>
      <c r="C707">
        <f>RTD("tos.rtd", , "PUT_CALL_RATIO", "VEA")</f>
        <v>1</v>
      </c>
      <c r="D707" t="str">
        <f>RTD("tos.rtd", , "IMPL_VOL", "VEA")</f>
        <v>18.66%</v>
      </c>
      <c r="E707">
        <f>RTD("tos.rtd", , "LAST", "VEA")</f>
        <v>43.67</v>
      </c>
      <c r="F707">
        <f>RTD("tos.rtd", , "VOLUME", "VEA")</f>
        <v>7226642</v>
      </c>
      <c r="G707">
        <f>RTD("tos.rtd", , "OPEN_INT", "VEA")</f>
        <v>0</v>
      </c>
      <c r="H707">
        <f>RTD("tos.rtd", , "BID", "VEA")</f>
        <v>43.31</v>
      </c>
      <c r="I707">
        <f>RTD("tos.rtd", , "ASK", "VEA")</f>
        <v>43.96</v>
      </c>
      <c r="J707">
        <f>RTD("tos.rtd", , "HIGH", "VEA")</f>
        <v>44.08</v>
      </c>
      <c r="K707">
        <f>RTD("tos.rtd", , "LOW", "VEA")</f>
        <v>43.563400000000001</v>
      </c>
      <c r="L707">
        <f>RTD("tos.rtd", , "OPEN", "VEA")</f>
        <v>43.97</v>
      </c>
      <c r="M707">
        <f>RTD("tos.rtd", , "DELTA", "VEA")</f>
        <v>1</v>
      </c>
      <c r="N707">
        <f>RTD("tos.rtd", , "GAMMA", "VEA")</f>
        <v>0</v>
      </c>
      <c r="O707">
        <f>RTD("tos.rtd", , "THETA", "VEA")</f>
        <v>0</v>
      </c>
      <c r="P707">
        <f>RTD("tos.rtd", , "VEGA", "VEA")</f>
        <v>0</v>
      </c>
      <c r="Q707">
        <f>RTD("tos.rtd", , "RHO", "VEA")</f>
        <v>0</v>
      </c>
      <c r="R707" t="str">
        <f>RTD("tos.rtd", , "INTRINSIC", "VEA")</f>
        <v>N/A</v>
      </c>
      <c r="S707" t="str">
        <f>RTD("tos.rtd", , "EXTRINSIC", "VEA")</f>
        <v>N/A</v>
      </c>
      <c r="T707" t="str">
        <f>RTD("tos.rtd", , "PROB_OF_EXPIRING", "VEA")</f>
        <v>N/A</v>
      </c>
      <c r="U707" t="str">
        <f>RTD("tos.rtd", , "PROB_OTM", "VEA")</f>
        <v>N/A</v>
      </c>
      <c r="V707" t="str">
        <f>RTD("tos.rtd", , "PROB_OF_TOUCHING", "VEA")</f>
        <v>N/A</v>
      </c>
      <c r="W707" t="str">
        <f>RTD("tos.rtd", , "STRIKE", "VEA")</f>
        <v>N/A</v>
      </c>
    </row>
    <row r="708" spans="1:23" x14ac:dyDescent="0.45">
      <c r="A708" t="s">
        <v>729</v>
      </c>
      <c r="B708" t="str">
        <f>RTD("tos.rtd", , "DESCRIPTION", ".VEA201120C44")</f>
        <v>N/A</v>
      </c>
      <c r="C708" t="str">
        <f>RTD("tos.rtd", , "PUT_CALL_RATIO", ".VEA201120C44")</f>
        <v>N/A</v>
      </c>
      <c r="D708" t="str">
        <f>RTD("tos.rtd", , "IMPL_VOL", ".VEA201120C44")</f>
        <v>N/A</v>
      </c>
      <c r="E708">
        <f>RTD("tos.rtd", , "LAST", ".VEA201120C44")</f>
        <v>0.4</v>
      </c>
      <c r="F708">
        <f>RTD("tos.rtd", , "VOLUME", ".VEA201120C44")</f>
        <v>1</v>
      </c>
      <c r="G708">
        <f>RTD("tos.rtd", , "OPEN_INT", ".VEA201120C44")</f>
        <v>184</v>
      </c>
      <c r="H708">
        <f>RTD("tos.rtd", , "BID", ".VEA201120C44")</f>
        <v>0.3</v>
      </c>
      <c r="I708">
        <f>RTD("tos.rtd", , "ASK", ".VEA201120C44")</f>
        <v>0.45</v>
      </c>
      <c r="J708">
        <f>RTD("tos.rtd", , "HIGH", ".VEA201120C44")</f>
        <v>0.4</v>
      </c>
      <c r="K708">
        <f>RTD("tos.rtd", , "LOW", ".VEA201120C44")</f>
        <v>0.4</v>
      </c>
      <c r="L708">
        <f>RTD("tos.rtd", , "OPEN", ".VEA201120C44")</f>
        <v>0.4</v>
      </c>
      <c r="M708" t="str">
        <f>RTD("tos.rtd", , "DELTA", ".VEA201120C44")</f>
        <v>N/A</v>
      </c>
      <c r="N708" t="str">
        <f>RTD("tos.rtd", , "GAMMA", ".VEA201120C44")</f>
        <v>N/A</v>
      </c>
      <c r="O708" t="str">
        <f>RTD("tos.rtd", , "THETA", ".VEA201120C44")</f>
        <v>N/A</v>
      </c>
      <c r="P708" t="str">
        <f>RTD("tos.rtd", , "VEGA", ".VEA201120C44")</f>
        <v>N/A</v>
      </c>
      <c r="Q708" t="str">
        <f>RTD("tos.rtd", , "RHO", ".VEA201120C44")</f>
        <v>N/A</v>
      </c>
      <c r="R708" t="str">
        <f>RTD("tos.rtd", , "INTRINSIC", ".VEA201120C44")</f>
        <v>N/A</v>
      </c>
      <c r="S708" t="str">
        <f>RTD("tos.rtd", , "EXTRINSIC", ".VEA201120C44")</f>
        <v>N/A</v>
      </c>
      <c r="T708" t="str">
        <f>RTD("tos.rtd", , "PROB_OF_EXPIRING", ".VEA201120C44")</f>
        <v>N/A</v>
      </c>
      <c r="U708" t="str">
        <f>RTD("tos.rtd", , "PROB_OTM", ".VEA201120C44")</f>
        <v>N/A</v>
      </c>
      <c r="V708" t="str">
        <f>RTD("tos.rtd", , "PROB_OF_TOUCHING", ".VEA201120C44")</f>
        <v>N/A</v>
      </c>
      <c r="W708" t="str">
        <f>RTD("tos.rtd", , "STRIKE", ".VEA201120C44")</f>
        <v>N/A</v>
      </c>
    </row>
    <row r="709" spans="1:23" x14ac:dyDescent="0.45">
      <c r="A709" t="s">
        <v>730</v>
      </c>
      <c r="B709" t="str">
        <f>RTD("tos.rtd", , "DESCRIPTION", ".VEA201120P44")</f>
        <v>N/A</v>
      </c>
      <c r="C709" t="str">
        <f>RTD("tos.rtd", , "PUT_CALL_RATIO", ".VEA201120P44")</f>
        <v>N/A</v>
      </c>
      <c r="D709" t="str">
        <f>RTD("tos.rtd", , "IMPL_VOL", ".VEA201120P44")</f>
        <v>N/A</v>
      </c>
      <c r="E709" t="str">
        <f>RTD("tos.rtd", , "LAST", ".VEA201120P44")</f>
        <v>N/A</v>
      </c>
      <c r="F709" t="str">
        <f>RTD("tos.rtd", , "VOLUME", ".VEA201120P44")</f>
        <v>N/A</v>
      </c>
      <c r="G709" t="str">
        <f>RTD("tos.rtd", , "OPEN_INT", ".VEA201120P44")</f>
        <v>N/A</v>
      </c>
      <c r="H709" t="str">
        <f>RTD("tos.rtd", , "BID", ".VEA201120P44")</f>
        <v>N/A</v>
      </c>
      <c r="I709" t="str">
        <f>RTD("tos.rtd", , "ASK", ".VEA201120P44")</f>
        <v>N/A</v>
      </c>
      <c r="J709" t="str">
        <f>RTD("tos.rtd", , "HIGH", ".VEA201120P44")</f>
        <v>N/A</v>
      </c>
      <c r="K709" t="str">
        <f>RTD("tos.rtd", , "LOW", ".VEA201120P44")</f>
        <v>N/A</v>
      </c>
      <c r="L709" t="str">
        <f>RTD("tos.rtd", , "OPEN", ".VEA201120P44")</f>
        <v>N/A</v>
      </c>
      <c r="M709" t="str">
        <f>RTD("tos.rtd", , "DELTA", ".VEA201120P44")</f>
        <v>N/A</v>
      </c>
      <c r="N709" t="str">
        <f>RTD("tos.rtd", , "GAMMA", ".VEA201120P44")</f>
        <v>N/A</v>
      </c>
      <c r="O709" t="str">
        <f>RTD("tos.rtd", , "THETA", ".VEA201120P44")</f>
        <v>N/A</v>
      </c>
      <c r="P709" t="str">
        <f>RTD("tos.rtd", , "VEGA", ".VEA201120P44")</f>
        <v>N/A</v>
      </c>
      <c r="Q709" t="str">
        <f>RTD("tos.rtd", , "RHO", ".VEA201120P44")</f>
        <v>N/A</v>
      </c>
      <c r="R709" t="str">
        <f>RTD("tos.rtd", , "INTRINSIC", ".VEA201120P44")</f>
        <v>N/A</v>
      </c>
      <c r="S709" t="str">
        <f>RTD("tos.rtd", , "EXTRINSIC", ".VEA201120P44")</f>
        <v>N/A</v>
      </c>
      <c r="T709" t="str">
        <f>RTD("tos.rtd", , "PROB_OF_EXPIRING", ".VEA201120P44")</f>
        <v>N/A</v>
      </c>
      <c r="U709" t="str">
        <f>RTD("tos.rtd", , "PROB_OTM", ".VEA201120P44")</f>
        <v>N/A</v>
      </c>
      <c r="V709" t="str">
        <f>RTD("tos.rtd", , "PROB_OF_TOUCHING", ".VEA201120P44")</f>
        <v>N/A</v>
      </c>
      <c r="W709" t="str">
        <f>RTD("tos.rtd", , "STRIKE", ".VEA201120P44")</f>
        <v>N/A</v>
      </c>
    </row>
    <row r="710" spans="1:23" x14ac:dyDescent="0.45">
      <c r="A710" t="s">
        <v>731</v>
      </c>
      <c r="B710" t="str">
        <f>RTD("tos.rtd", , "DESCRIPTION", "VEU")</f>
        <v>N/A</v>
      </c>
      <c r="C710">
        <f>RTD("tos.rtd", , "PUT_CALL_RATIO", "VEU")</f>
        <v>0.1</v>
      </c>
      <c r="D710" t="str">
        <f>RTD("tos.rtd", , "IMPL_VOL", "VEU")</f>
        <v>20.23%</v>
      </c>
      <c r="E710">
        <f>RTD("tos.rtd", , "LAST", "VEU")</f>
        <v>54.13</v>
      </c>
      <c r="F710">
        <f>RTD("tos.rtd", , "VOLUME", "VEU")</f>
        <v>2299684</v>
      </c>
      <c r="G710">
        <f>RTD("tos.rtd", , "OPEN_INT", "VEU")</f>
        <v>0</v>
      </c>
      <c r="H710">
        <f>RTD("tos.rtd", , "BID", "VEU")</f>
        <v>54</v>
      </c>
      <c r="I710">
        <f>RTD("tos.rtd", , "ASK", "VEU")</f>
        <v>54.51</v>
      </c>
      <c r="J710">
        <f>RTD("tos.rtd", , "HIGH", "VEU")</f>
        <v>54.69</v>
      </c>
      <c r="K710">
        <f>RTD("tos.rtd", , "LOW", "VEU")</f>
        <v>54.02</v>
      </c>
      <c r="L710">
        <f>RTD("tos.rtd", , "OPEN", "VEU")</f>
        <v>54.56</v>
      </c>
      <c r="M710">
        <f>RTD("tos.rtd", , "DELTA", "VEU")</f>
        <v>1</v>
      </c>
      <c r="N710">
        <f>RTD("tos.rtd", , "GAMMA", "VEU")</f>
        <v>0</v>
      </c>
      <c r="O710">
        <f>RTD("tos.rtd", , "THETA", "VEU")</f>
        <v>0</v>
      </c>
      <c r="P710">
        <f>RTD("tos.rtd", , "VEGA", "VEU")</f>
        <v>0</v>
      </c>
      <c r="Q710">
        <f>RTD("tos.rtd", , "RHO", "VEU")</f>
        <v>0</v>
      </c>
      <c r="R710" t="str">
        <f>RTD("tos.rtd", , "INTRINSIC", "VEU")</f>
        <v>N/A</v>
      </c>
      <c r="S710" t="str">
        <f>RTD("tos.rtd", , "EXTRINSIC", "VEU")</f>
        <v>N/A</v>
      </c>
      <c r="T710" t="str">
        <f>RTD("tos.rtd", , "PROB_OF_EXPIRING", "VEU")</f>
        <v>N/A</v>
      </c>
      <c r="U710" t="str">
        <f>RTD("tos.rtd", , "PROB_OTM", "VEU")</f>
        <v>N/A</v>
      </c>
      <c r="V710" t="str">
        <f>RTD("tos.rtd", , "PROB_OF_TOUCHING", "VEU")</f>
        <v>N/A</v>
      </c>
      <c r="W710" t="str">
        <f>RTD("tos.rtd", , "STRIKE", "VEU")</f>
        <v>N/A</v>
      </c>
    </row>
    <row r="711" spans="1:23" x14ac:dyDescent="0.45">
      <c r="A711" t="s">
        <v>732</v>
      </c>
      <c r="B711" t="str">
        <f>RTD("tos.rtd", , "DESCRIPTION", ".VEU201120C55")</f>
        <v>N/A</v>
      </c>
      <c r="C711" t="str">
        <f>RTD("tos.rtd", , "PUT_CALL_RATIO", ".VEU201120C55")</f>
        <v>N/A</v>
      </c>
      <c r="D711" t="str">
        <f>RTD("tos.rtd", , "IMPL_VOL", ".VEU201120C55")</f>
        <v>N/A</v>
      </c>
      <c r="E711">
        <f>RTD("tos.rtd", , "LAST", ".VEU201120C55")</f>
        <v>0</v>
      </c>
      <c r="F711">
        <f>RTD("tos.rtd", , "VOLUME", ".VEU201120C55")</f>
        <v>0</v>
      </c>
      <c r="G711">
        <f>RTD("tos.rtd", , "OPEN_INT", ".VEU201120C55")</f>
        <v>0</v>
      </c>
      <c r="H711">
        <f>RTD("tos.rtd", , "BID", ".VEU201120C55")</f>
        <v>0.05</v>
      </c>
      <c r="I711">
        <f>RTD("tos.rtd", , "ASK", ".VEU201120C55")</f>
        <v>0.9</v>
      </c>
      <c r="J711">
        <f>RTD("tos.rtd", , "HIGH", ".VEU201120C55")</f>
        <v>0</v>
      </c>
      <c r="K711">
        <f>RTD("tos.rtd", , "LOW", ".VEU201120C55")</f>
        <v>0</v>
      </c>
      <c r="L711">
        <f>RTD("tos.rtd", , "OPEN", ".VEU201120C55")</f>
        <v>0</v>
      </c>
      <c r="M711" t="str">
        <f>RTD("tos.rtd", , "DELTA", ".VEU201120C55")</f>
        <v>N/A</v>
      </c>
      <c r="N711" t="str">
        <f>RTD("tos.rtd", , "GAMMA", ".VEU201120C55")</f>
        <v>N/A</v>
      </c>
      <c r="O711" t="str">
        <f>RTD("tos.rtd", , "THETA", ".VEU201120C55")</f>
        <v>N/A</v>
      </c>
      <c r="P711" t="str">
        <f>RTD("tos.rtd", , "VEGA", ".VEU201120C55")</f>
        <v>N/A</v>
      </c>
      <c r="Q711" t="str">
        <f>RTD("tos.rtd", , "RHO", ".VEU201120C55")</f>
        <v>N/A</v>
      </c>
      <c r="R711" t="str">
        <f>RTD("tos.rtd", , "INTRINSIC", ".VEU201120C55")</f>
        <v>N/A</v>
      </c>
      <c r="S711" t="str">
        <f>RTD("tos.rtd", , "EXTRINSIC", ".VEU201120C55")</f>
        <v>N/A</v>
      </c>
      <c r="T711" t="str">
        <f>RTD("tos.rtd", , "PROB_OF_EXPIRING", ".VEU201120C55")</f>
        <v>N/A</v>
      </c>
      <c r="U711" t="str">
        <f>RTD("tos.rtd", , "PROB_OTM", ".VEU201120C55")</f>
        <v>N/A</v>
      </c>
      <c r="V711" t="str">
        <f>RTD("tos.rtd", , "PROB_OF_TOUCHING", ".VEU201120C55")</f>
        <v>N/A</v>
      </c>
      <c r="W711" t="str">
        <f>RTD("tos.rtd", , "STRIKE", ".VEU201120C55")</f>
        <v>N/A</v>
      </c>
    </row>
    <row r="712" spans="1:23" x14ac:dyDescent="0.45">
      <c r="A712" t="s">
        <v>733</v>
      </c>
      <c r="B712" t="str">
        <f>RTD("tos.rtd", , "DESCRIPTION", ".VEU201120P55")</f>
        <v>N/A</v>
      </c>
      <c r="C712" t="str">
        <f>RTD("tos.rtd", , "PUT_CALL_RATIO", ".VEU201120P55")</f>
        <v>N/A</v>
      </c>
      <c r="D712" t="str">
        <f>RTD("tos.rtd", , "IMPL_VOL", ".VEU201120P55")</f>
        <v>N/A</v>
      </c>
      <c r="E712" t="str">
        <f>RTD("tos.rtd", , "LAST", ".VEU201120P55")</f>
        <v>N/A</v>
      </c>
      <c r="F712" t="str">
        <f>RTD("tos.rtd", , "VOLUME", ".VEU201120P55")</f>
        <v>N/A</v>
      </c>
      <c r="G712" t="str">
        <f>RTD("tos.rtd", , "OPEN_INT", ".VEU201120P55")</f>
        <v>N/A</v>
      </c>
      <c r="H712" t="str">
        <f>RTD("tos.rtd", , "BID", ".VEU201120P55")</f>
        <v>N/A</v>
      </c>
      <c r="I712" t="str">
        <f>RTD("tos.rtd", , "ASK", ".VEU201120P55")</f>
        <v>N/A</v>
      </c>
      <c r="J712" t="str">
        <f>RTD("tos.rtd", , "HIGH", ".VEU201120P55")</f>
        <v>N/A</v>
      </c>
      <c r="K712" t="str">
        <f>RTD("tos.rtd", , "LOW", ".VEU201120P55")</f>
        <v>N/A</v>
      </c>
      <c r="L712" t="str">
        <f>RTD("tos.rtd", , "OPEN", ".VEU201120P55")</f>
        <v>N/A</v>
      </c>
      <c r="M712" t="str">
        <f>RTD("tos.rtd", , "DELTA", ".VEU201120P55")</f>
        <v>N/A</v>
      </c>
      <c r="N712" t="str">
        <f>RTD("tos.rtd", , "GAMMA", ".VEU201120P55")</f>
        <v>N/A</v>
      </c>
      <c r="O712" t="str">
        <f>RTD("tos.rtd", , "THETA", ".VEU201120P55")</f>
        <v>N/A</v>
      </c>
      <c r="P712" t="str">
        <f>RTD("tos.rtd", , "VEGA", ".VEU201120P55")</f>
        <v>N/A</v>
      </c>
      <c r="Q712" t="str">
        <f>RTD("tos.rtd", , "RHO", ".VEU201120P55")</f>
        <v>N/A</v>
      </c>
      <c r="R712" t="str">
        <f>RTD("tos.rtd", , "INTRINSIC", ".VEU201120P55")</f>
        <v>N/A</v>
      </c>
      <c r="S712" t="str">
        <f>RTD("tos.rtd", , "EXTRINSIC", ".VEU201120P55")</f>
        <v>N/A</v>
      </c>
      <c r="T712" t="str">
        <f>RTD("tos.rtd", , "PROB_OF_EXPIRING", ".VEU201120P55")</f>
        <v>N/A</v>
      </c>
      <c r="U712" t="str">
        <f>RTD("tos.rtd", , "PROB_OTM", ".VEU201120P55")</f>
        <v>N/A</v>
      </c>
      <c r="V712" t="str">
        <f>RTD("tos.rtd", , "PROB_OF_TOUCHING", ".VEU201120P55")</f>
        <v>N/A</v>
      </c>
      <c r="W712" t="str">
        <f>RTD("tos.rtd", , "STRIKE", ".VEU201120P55")</f>
        <v>N/A</v>
      </c>
    </row>
    <row r="713" spans="1:23" x14ac:dyDescent="0.45">
      <c r="A713" t="s">
        <v>734</v>
      </c>
      <c r="B713" t="str">
        <f>RTD("tos.rtd", , "DESCRIPTION", "VFH")</f>
        <v>N/A</v>
      </c>
      <c r="C713">
        <f>RTD("tos.rtd", , "PUT_CALL_RATIO", "VFH")</f>
        <v>0.64700000000000002</v>
      </c>
      <c r="D713" t="str">
        <f>RTD("tos.rtd", , "IMPL_VOL", "VFH")</f>
        <v>28.36%</v>
      </c>
      <c r="E713">
        <f>RTD("tos.rtd", , "LAST", "VFH")</f>
        <v>65.56</v>
      </c>
      <c r="F713">
        <f>RTD("tos.rtd", , "VOLUME", "VFH")</f>
        <v>1782576</v>
      </c>
      <c r="G713">
        <f>RTD("tos.rtd", , "OPEN_INT", "VFH")</f>
        <v>0</v>
      </c>
      <c r="H713">
        <f>RTD("tos.rtd", , "BID", "VFH")</f>
        <v>65.23</v>
      </c>
      <c r="I713">
        <f>RTD("tos.rtd", , "ASK", "VFH")</f>
        <v>65.86</v>
      </c>
      <c r="J713">
        <f>RTD("tos.rtd", , "HIGH", "VFH")</f>
        <v>66.010000000000005</v>
      </c>
      <c r="K713">
        <f>RTD("tos.rtd", , "LOW", "VFH")</f>
        <v>64.98</v>
      </c>
      <c r="L713">
        <f>RTD("tos.rtd", , "OPEN", "VFH")</f>
        <v>65.89</v>
      </c>
      <c r="M713">
        <f>RTD("tos.rtd", , "DELTA", "VFH")</f>
        <v>1</v>
      </c>
      <c r="N713">
        <f>RTD("tos.rtd", , "GAMMA", "VFH")</f>
        <v>0</v>
      </c>
      <c r="O713">
        <f>RTD("tos.rtd", , "THETA", "VFH")</f>
        <v>0</v>
      </c>
      <c r="P713">
        <f>RTD("tos.rtd", , "VEGA", "VFH")</f>
        <v>0</v>
      </c>
      <c r="Q713">
        <f>RTD("tos.rtd", , "RHO", "VFH")</f>
        <v>0</v>
      </c>
      <c r="R713" t="str">
        <f>RTD("tos.rtd", , "INTRINSIC", "VFH")</f>
        <v>N/A</v>
      </c>
      <c r="S713" t="str">
        <f>RTD("tos.rtd", , "EXTRINSIC", "VFH")</f>
        <v>N/A</v>
      </c>
      <c r="T713" t="str">
        <f>RTD("tos.rtd", , "PROB_OF_EXPIRING", "VFH")</f>
        <v>N/A</v>
      </c>
      <c r="U713" t="str">
        <f>RTD("tos.rtd", , "PROB_OTM", "VFH")</f>
        <v>N/A</v>
      </c>
      <c r="V713" t="str">
        <f>RTD("tos.rtd", , "PROB_OF_TOUCHING", "VFH")</f>
        <v>N/A</v>
      </c>
      <c r="W713" t="str">
        <f>RTD("tos.rtd", , "STRIKE", "VFH")</f>
        <v>N/A</v>
      </c>
    </row>
    <row r="714" spans="1:23" x14ac:dyDescent="0.45">
      <c r="A714" t="s">
        <v>735</v>
      </c>
      <c r="B714" t="str">
        <f>RTD("tos.rtd", , "DESCRIPTION", ".VFH201120C66")</f>
        <v>N/A</v>
      </c>
      <c r="C714" t="str">
        <f>RTD("tos.rtd", , "PUT_CALL_RATIO", ".VFH201120C66")</f>
        <v>N/A</v>
      </c>
      <c r="D714" t="str">
        <f>RTD("tos.rtd", , "IMPL_VOL", ".VFH201120C66")</f>
        <v>N/A</v>
      </c>
      <c r="E714" t="str">
        <f>RTD("tos.rtd", , "LAST", ".VFH201120C66")</f>
        <v>N/A</v>
      </c>
      <c r="F714" t="str">
        <f>RTD("tos.rtd", , "VOLUME", ".VFH201120C66")</f>
        <v>N/A</v>
      </c>
      <c r="G714" t="str">
        <f>RTD("tos.rtd", , "OPEN_INT", ".VFH201120C66")</f>
        <v>N/A</v>
      </c>
      <c r="H714" t="str">
        <f>RTD("tos.rtd", , "BID", ".VFH201120C66")</f>
        <v>N/A</v>
      </c>
      <c r="I714" t="str">
        <f>RTD("tos.rtd", , "ASK", ".VFH201120C66")</f>
        <v>N/A</v>
      </c>
      <c r="J714" t="str">
        <f>RTD("tos.rtd", , "HIGH", ".VFH201120C66")</f>
        <v>N/A</v>
      </c>
      <c r="K714" t="str">
        <f>RTD("tos.rtd", , "LOW", ".VFH201120C66")</f>
        <v>N/A</v>
      </c>
      <c r="L714" t="str">
        <f>RTD("tos.rtd", , "OPEN", ".VFH201120C66")</f>
        <v>N/A</v>
      </c>
      <c r="M714" t="str">
        <f>RTD("tos.rtd", , "DELTA", ".VFH201120C66")</f>
        <v>N/A</v>
      </c>
      <c r="N714" t="str">
        <f>RTD("tos.rtd", , "GAMMA", ".VFH201120C66")</f>
        <v>N/A</v>
      </c>
      <c r="O714" t="str">
        <f>RTD("tos.rtd", , "THETA", ".VFH201120C66")</f>
        <v>N/A</v>
      </c>
      <c r="P714" t="str">
        <f>RTD("tos.rtd", , "VEGA", ".VFH201120C66")</f>
        <v>N/A</v>
      </c>
      <c r="Q714" t="str">
        <f>RTD("tos.rtd", , "RHO", ".VFH201120C66")</f>
        <v>N/A</v>
      </c>
      <c r="R714" t="str">
        <f>RTD("tos.rtd", , "INTRINSIC", ".VFH201120C66")</f>
        <v>N/A</v>
      </c>
      <c r="S714" t="str">
        <f>RTD("tos.rtd", , "EXTRINSIC", ".VFH201120C66")</f>
        <v>N/A</v>
      </c>
      <c r="T714" t="str">
        <f>RTD("tos.rtd", , "PROB_OF_EXPIRING", ".VFH201120C66")</f>
        <v>N/A</v>
      </c>
      <c r="U714" t="str">
        <f>RTD("tos.rtd", , "PROB_OTM", ".VFH201120C66")</f>
        <v>N/A</v>
      </c>
      <c r="V714" t="str">
        <f>RTD("tos.rtd", , "PROB_OF_TOUCHING", ".VFH201120C66")</f>
        <v>N/A</v>
      </c>
      <c r="W714" t="str">
        <f>RTD("tos.rtd", , "STRIKE", ".VFH201120C66")</f>
        <v>N/A</v>
      </c>
    </row>
    <row r="715" spans="1:23" x14ac:dyDescent="0.45">
      <c r="A715" t="s">
        <v>736</v>
      </c>
      <c r="B715" t="str">
        <f>RTD("tos.rtd", , "DESCRIPTION", ".VFH201120P66")</f>
        <v>N/A</v>
      </c>
      <c r="C715" t="str">
        <f>RTD("tos.rtd", , "PUT_CALL_RATIO", ".VFH201120P66")</f>
        <v>N/A</v>
      </c>
      <c r="D715" t="str">
        <f>RTD("tos.rtd", , "IMPL_VOL", ".VFH201120P66")</f>
        <v>N/A</v>
      </c>
      <c r="E715" t="str">
        <f>RTD("tos.rtd", , "LAST", ".VFH201120P66")</f>
        <v>N/A</v>
      </c>
      <c r="F715" t="str">
        <f>RTD("tos.rtd", , "VOLUME", ".VFH201120P66")</f>
        <v>N/A</v>
      </c>
      <c r="G715" t="str">
        <f>RTD("tos.rtd", , "OPEN_INT", ".VFH201120P66")</f>
        <v>N/A</v>
      </c>
      <c r="H715" t="str">
        <f>RTD("tos.rtd", , "BID", ".VFH201120P66")</f>
        <v>N/A</v>
      </c>
      <c r="I715" t="str">
        <f>RTD("tos.rtd", , "ASK", ".VFH201120P66")</f>
        <v>N/A</v>
      </c>
      <c r="J715" t="str">
        <f>RTD("tos.rtd", , "HIGH", ".VFH201120P66")</f>
        <v>N/A</v>
      </c>
      <c r="K715" t="str">
        <f>RTD("tos.rtd", , "LOW", ".VFH201120P66")</f>
        <v>N/A</v>
      </c>
      <c r="L715" t="str">
        <f>RTD("tos.rtd", , "OPEN", ".VFH201120P66")</f>
        <v>N/A</v>
      </c>
      <c r="M715" t="str">
        <f>RTD("tos.rtd", , "DELTA", ".VFH201120P66")</f>
        <v>N/A</v>
      </c>
      <c r="N715" t="str">
        <f>RTD("tos.rtd", , "GAMMA", ".VFH201120P66")</f>
        <v>N/A</v>
      </c>
      <c r="O715" t="str">
        <f>RTD("tos.rtd", , "THETA", ".VFH201120P66")</f>
        <v>N/A</v>
      </c>
      <c r="P715" t="str">
        <f>RTD("tos.rtd", , "VEGA", ".VFH201120P66")</f>
        <v>N/A</v>
      </c>
      <c r="Q715" t="str">
        <f>RTD("tos.rtd", , "RHO", ".VFH201120P66")</f>
        <v>N/A</v>
      </c>
      <c r="R715" t="str">
        <f>RTD("tos.rtd", , "INTRINSIC", ".VFH201120P66")</f>
        <v>N/A</v>
      </c>
      <c r="S715" t="str">
        <f>RTD("tos.rtd", , "EXTRINSIC", ".VFH201120P66")</f>
        <v>N/A</v>
      </c>
      <c r="T715" t="str">
        <f>RTD("tos.rtd", , "PROB_OF_EXPIRING", ".VFH201120P66")</f>
        <v>N/A</v>
      </c>
      <c r="U715" t="str">
        <f>RTD("tos.rtd", , "PROB_OTM", ".VFH201120P66")</f>
        <v>N/A</v>
      </c>
      <c r="V715" t="str">
        <f>RTD("tos.rtd", , "PROB_OF_TOUCHING", ".VFH201120P66")</f>
        <v>N/A</v>
      </c>
      <c r="W715" t="str">
        <f>RTD("tos.rtd", , "STRIKE", ".VFH201120P66")</f>
        <v>N/A</v>
      </c>
    </row>
    <row r="716" spans="1:23" x14ac:dyDescent="0.45">
      <c r="A716" t="s">
        <v>737</v>
      </c>
      <c r="B716" t="str">
        <f>RTD("tos.rtd", , "DESCRIPTION", ".VFH201120C67")</f>
        <v>N/A</v>
      </c>
      <c r="C716" t="str">
        <f>RTD("tos.rtd", , "PUT_CALL_RATIO", ".VFH201120C67")</f>
        <v>N/A</v>
      </c>
      <c r="D716" t="str">
        <f>RTD("tos.rtd", , "IMPL_VOL", ".VFH201120C67")</f>
        <v>N/A</v>
      </c>
      <c r="E716" t="str">
        <f>RTD("tos.rtd", , "LAST", ".VFH201120C67")</f>
        <v>N/A</v>
      </c>
      <c r="F716" t="str">
        <f>RTD("tos.rtd", , "VOLUME", ".VFH201120C67")</f>
        <v>N/A</v>
      </c>
      <c r="G716" t="str">
        <f>RTD("tos.rtd", , "OPEN_INT", ".VFH201120C67")</f>
        <v>N/A</v>
      </c>
      <c r="H716" t="str">
        <f>RTD("tos.rtd", , "BID", ".VFH201120C67")</f>
        <v>N/A</v>
      </c>
      <c r="I716" t="str">
        <f>RTD("tos.rtd", , "ASK", ".VFH201120C67")</f>
        <v>N/A</v>
      </c>
      <c r="J716" t="str">
        <f>RTD("tos.rtd", , "HIGH", ".VFH201120C67")</f>
        <v>N/A</v>
      </c>
      <c r="K716" t="str">
        <f>RTD("tos.rtd", , "LOW", ".VFH201120C67")</f>
        <v>N/A</v>
      </c>
      <c r="L716" t="str">
        <f>RTD("tos.rtd", , "OPEN", ".VFH201120C67")</f>
        <v>N/A</v>
      </c>
      <c r="M716" t="str">
        <f>RTD("tos.rtd", , "DELTA", ".VFH201120C67")</f>
        <v>N/A</v>
      </c>
      <c r="N716" t="str">
        <f>RTD("tos.rtd", , "GAMMA", ".VFH201120C67")</f>
        <v>N/A</v>
      </c>
      <c r="O716" t="str">
        <f>RTD("tos.rtd", , "THETA", ".VFH201120C67")</f>
        <v>N/A</v>
      </c>
      <c r="P716" t="str">
        <f>RTD("tos.rtd", , "VEGA", ".VFH201120C67")</f>
        <v>N/A</v>
      </c>
      <c r="Q716" t="str">
        <f>RTD("tos.rtd", , "RHO", ".VFH201120C67")</f>
        <v>N/A</v>
      </c>
      <c r="R716" t="str">
        <f>RTD("tos.rtd", , "INTRINSIC", ".VFH201120C67")</f>
        <v>N/A</v>
      </c>
      <c r="S716" t="str">
        <f>RTD("tos.rtd", , "EXTRINSIC", ".VFH201120C67")</f>
        <v>N/A</v>
      </c>
      <c r="T716" t="str">
        <f>RTD("tos.rtd", , "PROB_OF_EXPIRING", ".VFH201120C67")</f>
        <v>N/A</v>
      </c>
      <c r="U716" t="str">
        <f>RTD("tos.rtd", , "PROB_OTM", ".VFH201120C67")</f>
        <v>N/A</v>
      </c>
      <c r="V716" t="str">
        <f>RTD("tos.rtd", , "PROB_OF_TOUCHING", ".VFH201120C67")</f>
        <v>N/A</v>
      </c>
      <c r="W716" t="str">
        <f>RTD("tos.rtd", , "STRIKE", ".VFH201120C67")</f>
        <v>N/A</v>
      </c>
    </row>
    <row r="717" spans="1:23" x14ac:dyDescent="0.45">
      <c r="A717" t="s">
        <v>738</v>
      </c>
      <c r="B717" t="str">
        <f>RTD("tos.rtd", , "DESCRIPTION", ".VFH201120P67")</f>
        <v>N/A</v>
      </c>
      <c r="C717" t="str">
        <f>RTD("tos.rtd", , "PUT_CALL_RATIO", ".VFH201120P67")</f>
        <v>N/A</v>
      </c>
      <c r="D717" t="str">
        <f>RTD("tos.rtd", , "IMPL_VOL", ".VFH201120P67")</f>
        <v>N/A</v>
      </c>
      <c r="E717" t="str">
        <f>RTD("tos.rtd", , "LAST", ".VFH201120P67")</f>
        <v>N/A</v>
      </c>
      <c r="F717" t="str">
        <f>RTD("tos.rtd", , "VOLUME", ".VFH201120P67")</f>
        <v>N/A</v>
      </c>
      <c r="G717" t="str">
        <f>RTD("tos.rtd", , "OPEN_INT", ".VFH201120P67")</f>
        <v>N/A</v>
      </c>
      <c r="H717" t="str">
        <f>RTD("tos.rtd", , "BID", ".VFH201120P67")</f>
        <v>N/A</v>
      </c>
      <c r="I717" t="str">
        <f>RTD("tos.rtd", , "ASK", ".VFH201120P67")</f>
        <v>N/A</v>
      </c>
      <c r="J717" t="str">
        <f>RTD("tos.rtd", , "HIGH", ".VFH201120P67")</f>
        <v>N/A</v>
      </c>
      <c r="K717" t="str">
        <f>RTD("tos.rtd", , "LOW", ".VFH201120P67")</f>
        <v>N/A</v>
      </c>
      <c r="L717" t="str">
        <f>RTD("tos.rtd", , "OPEN", ".VFH201120P67")</f>
        <v>N/A</v>
      </c>
      <c r="M717" t="str">
        <f>RTD("tos.rtd", , "DELTA", ".VFH201120P67")</f>
        <v>N/A</v>
      </c>
      <c r="N717" t="str">
        <f>RTD("tos.rtd", , "GAMMA", ".VFH201120P67")</f>
        <v>N/A</v>
      </c>
      <c r="O717" t="str">
        <f>RTD("tos.rtd", , "THETA", ".VFH201120P67")</f>
        <v>N/A</v>
      </c>
      <c r="P717" t="str">
        <f>RTD("tos.rtd", , "VEGA", ".VFH201120P67")</f>
        <v>N/A</v>
      </c>
      <c r="Q717" t="str">
        <f>RTD("tos.rtd", , "RHO", ".VFH201120P67")</f>
        <v>N/A</v>
      </c>
      <c r="R717" t="str">
        <f>RTD("tos.rtd", , "INTRINSIC", ".VFH201120P67")</f>
        <v>N/A</v>
      </c>
      <c r="S717" t="str">
        <f>RTD("tos.rtd", , "EXTRINSIC", ".VFH201120P67")</f>
        <v>N/A</v>
      </c>
      <c r="T717" t="str">
        <f>RTD("tos.rtd", , "PROB_OF_EXPIRING", ".VFH201120P67")</f>
        <v>N/A</v>
      </c>
      <c r="U717" t="str">
        <f>RTD("tos.rtd", , "PROB_OTM", ".VFH201120P67")</f>
        <v>N/A</v>
      </c>
      <c r="V717" t="str">
        <f>RTD("tos.rtd", , "PROB_OF_TOUCHING", ".VFH201120P67")</f>
        <v>N/A</v>
      </c>
      <c r="W717" t="str">
        <f>RTD("tos.rtd", , "STRIKE", ".VFH201120P67")</f>
        <v>N/A</v>
      </c>
    </row>
    <row r="718" spans="1:23" x14ac:dyDescent="0.45">
      <c r="A718" t="s">
        <v>739</v>
      </c>
      <c r="B718" t="str">
        <f>RTD("tos.rtd", , "DESCRIPTION", "VGIT")</f>
        <v>N/A</v>
      </c>
      <c r="C718">
        <f>RTD("tos.rtd", , "PUT_CALL_RATIO", "VGIT")</f>
        <v>0.111</v>
      </c>
      <c r="D718" t="str">
        <f>RTD("tos.rtd", , "IMPL_VOL", "VGIT")</f>
        <v>19.03%</v>
      </c>
      <c r="E718">
        <f>RTD("tos.rtd", , "LAST", "VGIT")</f>
        <v>69.89</v>
      </c>
      <c r="F718">
        <f>RTD("tos.rtd", , "VOLUME", "VGIT")</f>
        <v>1041503</v>
      </c>
      <c r="G718">
        <f>RTD("tos.rtd", , "OPEN_INT", "VGIT")</f>
        <v>0</v>
      </c>
      <c r="H718">
        <f>RTD("tos.rtd", , "BID", "VGIT")</f>
        <v>69.59</v>
      </c>
      <c r="I718">
        <f>RTD("tos.rtd", , "ASK", "VGIT")</f>
        <v>70.3</v>
      </c>
      <c r="J718">
        <f>RTD("tos.rtd", , "HIGH", "VGIT")</f>
        <v>69.89</v>
      </c>
      <c r="K718">
        <f>RTD("tos.rtd", , "LOW", "VGIT")</f>
        <v>69.790000000000006</v>
      </c>
      <c r="L718">
        <f>RTD("tos.rtd", , "OPEN", "VGIT")</f>
        <v>69.793000000000006</v>
      </c>
      <c r="M718">
        <f>RTD("tos.rtd", , "DELTA", "VGIT")</f>
        <v>1</v>
      </c>
      <c r="N718">
        <f>RTD("tos.rtd", , "GAMMA", "VGIT")</f>
        <v>0</v>
      </c>
      <c r="O718">
        <f>RTD("tos.rtd", , "THETA", "VGIT")</f>
        <v>0</v>
      </c>
      <c r="P718">
        <f>RTD("tos.rtd", , "VEGA", "VGIT")</f>
        <v>0</v>
      </c>
      <c r="Q718">
        <f>RTD("tos.rtd", , "RHO", "VGIT")</f>
        <v>0</v>
      </c>
      <c r="R718" t="str">
        <f>RTD("tos.rtd", , "INTRINSIC", "VGIT")</f>
        <v>N/A</v>
      </c>
      <c r="S718" t="str">
        <f>RTD("tos.rtd", , "EXTRINSIC", "VGIT")</f>
        <v>N/A</v>
      </c>
      <c r="T718" t="str">
        <f>RTD("tos.rtd", , "PROB_OF_EXPIRING", "VGIT")</f>
        <v>N/A</v>
      </c>
      <c r="U718" t="str">
        <f>RTD("tos.rtd", , "PROB_OTM", "VGIT")</f>
        <v>N/A</v>
      </c>
      <c r="V718" t="str">
        <f>RTD("tos.rtd", , "PROB_OF_TOUCHING", "VGIT")</f>
        <v>N/A</v>
      </c>
      <c r="W718" t="str">
        <f>RTD("tos.rtd", , "STRIKE", "VGIT")</f>
        <v>N/A</v>
      </c>
    </row>
    <row r="719" spans="1:23" x14ac:dyDescent="0.45">
      <c r="A719" t="s">
        <v>740</v>
      </c>
      <c r="B719" t="str">
        <f>RTD("tos.rtd", , "DESCRIPTION", ".VGIT201120C70")</f>
        <v>N/A</v>
      </c>
      <c r="C719" t="str">
        <f>RTD("tos.rtd", , "PUT_CALL_RATIO", ".VGIT201120C70")</f>
        <v>N/A</v>
      </c>
      <c r="D719" t="str">
        <f>RTD("tos.rtd", , "IMPL_VOL", ".VGIT201120C70")</f>
        <v>N/A</v>
      </c>
      <c r="E719" t="str">
        <f>RTD("tos.rtd", , "LAST", ".VGIT201120C70")</f>
        <v>N/A</v>
      </c>
      <c r="F719" t="str">
        <f>RTD("tos.rtd", , "VOLUME", ".VGIT201120C70")</f>
        <v>N/A</v>
      </c>
      <c r="G719" t="str">
        <f>RTD("tos.rtd", , "OPEN_INT", ".VGIT201120C70")</f>
        <v>N/A</v>
      </c>
      <c r="H719" t="str">
        <f>RTD("tos.rtd", , "BID", ".VGIT201120C70")</f>
        <v>N/A</v>
      </c>
      <c r="I719" t="str">
        <f>RTD("tos.rtd", , "ASK", ".VGIT201120C70")</f>
        <v>N/A</v>
      </c>
      <c r="J719" t="str">
        <f>RTD("tos.rtd", , "HIGH", ".VGIT201120C70")</f>
        <v>N/A</v>
      </c>
      <c r="K719" t="str">
        <f>RTD("tos.rtd", , "LOW", ".VGIT201120C70")</f>
        <v>N/A</v>
      </c>
      <c r="L719" t="str">
        <f>RTD("tos.rtd", , "OPEN", ".VGIT201120C70")</f>
        <v>N/A</v>
      </c>
      <c r="M719" t="str">
        <f>RTD("tos.rtd", , "DELTA", ".VGIT201120C70")</f>
        <v>N/A</v>
      </c>
      <c r="N719" t="str">
        <f>RTD("tos.rtd", , "GAMMA", ".VGIT201120C70")</f>
        <v>N/A</v>
      </c>
      <c r="O719" t="str">
        <f>RTD("tos.rtd", , "THETA", ".VGIT201120C70")</f>
        <v>N/A</v>
      </c>
      <c r="P719" t="str">
        <f>RTD("tos.rtd", , "VEGA", ".VGIT201120C70")</f>
        <v>N/A</v>
      </c>
      <c r="Q719" t="str">
        <f>RTD("tos.rtd", , "RHO", ".VGIT201120C70")</f>
        <v>N/A</v>
      </c>
      <c r="R719" t="str">
        <f>RTD("tos.rtd", , "INTRINSIC", ".VGIT201120C70")</f>
        <v>N/A</v>
      </c>
      <c r="S719" t="str">
        <f>RTD("tos.rtd", , "EXTRINSIC", ".VGIT201120C70")</f>
        <v>N/A</v>
      </c>
      <c r="T719" t="str">
        <f>RTD("tos.rtd", , "PROB_OF_EXPIRING", ".VGIT201120C70")</f>
        <v>N/A</v>
      </c>
      <c r="U719" t="str">
        <f>RTD("tos.rtd", , "PROB_OTM", ".VGIT201120C70")</f>
        <v>N/A</v>
      </c>
      <c r="V719" t="str">
        <f>RTD("tos.rtd", , "PROB_OF_TOUCHING", ".VGIT201120C70")</f>
        <v>N/A</v>
      </c>
      <c r="W719" t="str">
        <f>RTD("tos.rtd", , "STRIKE", ".VGIT201120C70")</f>
        <v>N/A</v>
      </c>
    </row>
    <row r="720" spans="1:23" x14ac:dyDescent="0.45">
      <c r="A720" t="s">
        <v>741</v>
      </c>
      <c r="B720" t="str">
        <f>RTD("tos.rtd", , "DESCRIPTION", ".VGIT201120P70")</f>
        <v>N/A</v>
      </c>
      <c r="C720" t="str">
        <f>RTD("tos.rtd", , "PUT_CALL_RATIO", ".VGIT201120P70")</f>
        <v>N/A</v>
      </c>
      <c r="D720" t="str">
        <f>RTD("tos.rtd", , "IMPL_VOL", ".VGIT201120P70")</f>
        <v>N/A</v>
      </c>
      <c r="E720" t="str">
        <f>RTD("tos.rtd", , "LAST", ".VGIT201120P70")</f>
        <v>N/A</v>
      </c>
      <c r="F720" t="str">
        <f>RTD("tos.rtd", , "VOLUME", ".VGIT201120P70")</f>
        <v>N/A</v>
      </c>
      <c r="G720" t="str">
        <f>RTD("tos.rtd", , "OPEN_INT", ".VGIT201120P70")</f>
        <v>N/A</v>
      </c>
      <c r="H720" t="str">
        <f>RTD("tos.rtd", , "BID", ".VGIT201120P70")</f>
        <v>N/A</v>
      </c>
      <c r="I720" t="str">
        <f>RTD("tos.rtd", , "ASK", ".VGIT201120P70")</f>
        <v>N/A</v>
      </c>
      <c r="J720" t="str">
        <f>RTD("tos.rtd", , "HIGH", ".VGIT201120P70")</f>
        <v>N/A</v>
      </c>
      <c r="K720" t="str">
        <f>RTD("tos.rtd", , "LOW", ".VGIT201120P70")</f>
        <v>N/A</v>
      </c>
      <c r="L720" t="str">
        <f>RTD("tos.rtd", , "OPEN", ".VGIT201120P70")</f>
        <v>N/A</v>
      </c>
      <c r="M720" t="str">
        <f>RTD("tos.rtd", , "DELTA", ".VGIT201120P70")</f>
        <v>N/A</v>
      </c>
      <c r="N720" t="str">
        <f>RTD("tos.rtd", , "GAMMA", ".VGIT201120P70")</f>
        <v>N/A</v>
      </c>
      <c r="O720" t="str">
        <f>RTD("tos.rtd", , "THETA", ".VGIT201120P70")</f>
        <v>N/A</v>
      </c>
      <c r="P720" t="str">
        <f>RTD("tos.rtd", , "VEGA", ".VGIT201120P70")</f>
        <v>N/A</v>
      </c>
      <c r="Q720" t="str">
        <f>RTD("tos.rtd", , "RHO", ".VGIT201120P70")</f>
        <v>N/A</v>
      </c>
      <c r="R720" t="str">
        <f>RTD("tos.rtd", , "INTRINSIC", ".VGIT201120P70")</f>
        <v>N/A</v>
      </c>
      <c r="S720" t="str">
        <f>RTD("tos.rtd", , "EXTRINSIC", ".VGIT201120P70")</f>
        <v>N/A</v>
      </c>
      <c r="T720" t="str">
        <f>RTD("tos.rtd", , "PROB_OF_EXPIRING", ".VGIT201120P70")</f>
        <v>N/A</v>
      </c>
      <c r="U720" t="str">
        <f>RTD("tos.rtd", , "PROB_OTM", ".VGIT201120P70")</f>
        <v>N/A</v>
      </c>
      <c r="V720" t="str">
        <f>RTD("tos.rtd", , "PROB_OF_TOUCHING", ".VGIT201120P70")</f>
        <v>N/A</v>
      </c>
      <c r="W720" t="str">
        <f>RTD("tos.rtd", , "STRIKE", ".VGIT201120P70")</f>
        <v>N/A</v>
      </c>
    </row>
    <row r="721" spans="1:23" x14ac:dyDescent="0.45">
      <c r="A721" t="s">
        <v>742</v>
      </c>
      <c r="B721" t="str">
        <f>RTD("tos.rtd", , "DESCRIPTION", "VGK")</f>
        <v>N/A</v>
      </c>
      <c r="C721">
        <f>RTD("tos.rtd", , "PUT_CALL_RATIO", "VGK")</f>
        <v>0.66300000000000003</v>
      </c>
      <c r="D721" t="str">
        <f>RTD("tos.rtd", , "IMPL_VOL", "VGK")</f>
        <v>24.18%</v>
      </c>
      <c r="E721">
        <f>RTD("tos.rtd", , "LAST", "VGK")</f>
        <v>56.08</v>
      </c>
      <c r="F721">
        <f>RTD("tos.rtd", , "VOLUME", "VGK")</f>
        <v>4682103</v>
      </c>
      <c r="G721">
        <f>RTD("tos.rtd", , "OPEN_INT", "VGK")</f>
        <v>0</v>
      </c>
      <c r="H721">
        <f>RTD("tos.rtd", , "BID", "VGK")</f>
        <v>55.66</v>
      </c>
      <c r="I721">
        <f>RTD("tos.rtd", , "ASK", "VGK")</f>
        <v>56.47</v>
      </c>
      <c r="J721">
        <f>RTD("tos.rtd", , "HIGH", "VGK")</f>
        <v>56.68</v>
      </c>
      <c r="K721">
        <f>RTD("tos.rtd", , "LOW", "VGK")</f>
        <v>55.94</v>
      </c>
      <c r="L721">
        <f>RTD("tos.rtd", , "OPEN", "VGK")</f>
        <v>56.48</v>
      </c>
      <c r="M721">
        <f>RTD("tos.rtd", , "DELTA", "VGK")</f>
        <v>1</v>
      </c>
      <c r="N721">
        <f>RTD("tos.rtd", , "GAMMA", "VGK")</f>
        <v>0</v>
      </c>
      <c r="O721">
        <f>RTD("tos.rtd", , "THETA", "VGK")</f>
        <v>0</v>
      </c>
      <c r="P721">
        <f>RTD("tos.rtd", , "VEGA", "VGK")</f>
        <v>0</v>
      </c>
      <c r="Q721">
        <f>RTD("tos.rtd", , "RHO", "VGK")</f>
        <v>0</v>
      </c>
      <c r="R721" t="str">
        <f>RTD("tos.rtd", , "INTRINSIC", "VGK")</f>
        <v>N/A</v>
      </c>
      <c r="S721" t="str">
        <f>RTD("tos.rtd", , "EXTRINSIC", "VGK")</f>
        <v>N/A</v>
      </c>
      <c r="T721" t="str">
        <f>RTD("tos.rtd", , "PROB_OF_EXPIRING", "VGK")</f>
        <v>N/A</v>
      </c>
      <c r="U721" t="str">
        <f>RTD("tos.rtd", , "PROB_OTM", "VGK")</f>
        <v>N/A</v>
      </c>
      <c r="V721" t="str">
        <f>RTD("tos.rtd", , "PROB_OF_TOUCHING", "VGK")</f>
        <v>N/A</v>
      </c>
      <c r="W721" t="str">
        <f>RTD("tos.rtd", , "STRIKE", "VGK")</f>
        <v>N/A</v>
      </c>
    </row>
    <row r="722" spans="1:23" x14ac:dyDescent="0.45">
      <c r="A722" t="s">
        <v>743</v>
      </c>
      <c r="B722" t="str">
        <f>RTD("tos.rtd", , "DESCRIPTION", ".VGK201120C57")</f>
        <v>N/A</v>
      </c>
      <c r="C722" t="str">
        <f>RTD("tos.rtd", , "PUT_CALL_RATIO", ".VGK201120C57")</f>
        <v>N/A</v>
      </c>
      <c r="D722" t="str">
        <f>RTD("tos.rtd", , "IMPL_VOL", ".VGK201120C57")</f>
        <v>N/A</v>
      </c>
      <c r="E722" t="str">
        <f>RTD("tos.rtd", , "LAST", ".VGK201120C57")</f>
        <v>N/A</v>
      </c>
      <c r="F722" t="str">
        <f>RTD("tos.rtd", , "VOLUME", ".VGK201120C57")</f>
        <v>N/A</v>
      </c>
      <c r="G722" t="str">
        <f>RTD("tos.rtd", , "OPEN_INT", ".VGK201120C57")</f>
        <v>N/A</v>
      </c>
      <c r="H722" t="str">
        <f>RTD("tos.rtd", , "BID", ".VGK201120C57")</f>
        <v>N/A</v>
      </c>
      <c r="I722" t="str">
        <f>RTD("tos.rtd", , "ASK", ".VGK201120C57")</f>
        <v>N/A</v>
      </c>
      <c r="J722" t="str">
        <f>RTD("tos.rtd", , "HIGH", ".VGK201120C57")</f>
        <v>N/A</v>
      </c>
      <c r="K722" t="str">
        <f>RTD("tos.rtd", , "LOW", ".VGK201120C57")</f>
        <v>N/A</v>
      </c>
      <c r="L722" t="str">
        <f>RTD("tos.rtd", , "OPEN", ".VGK201120C57")</f>
        <v>N/A</v>
      </c>
      <c r="M722" t="str">
        <f>RTD("tos.rtd", , "DELTA", ".VGK201120C57")</f>
        <v>N/A</v>
      </c>
      <c r="N722" t="str">
        <f>RTD("tos.rtd", , "GAMMA", ".VGK201120C57")</f>
        <v>N/A</v>
      </c>
      <c r="O722" t="str">
        <f>RTD("tos.rtd", , "THETA", ".VGK201120C57")</f>
        <v>N/A</v>
      </c>
      <c r="P722" t="str">
        <f>RTD("tos.rtd", , "VEGA", ".VGK201120C57")</f>
        <v>N/A</v>
      </c>
      <c r="Q722" t="str">
        <f>RTD("tos.rtd", , "RHO", ".VGK201120C57")</f>
        <v>N/A</v>
      </c>
      <c r="R722" t="str">
        <f>RTD("tos.rtd", , "INTRINSIC", ".VGK201120C57")</f>
        <v>N/A</v>
      </c>
      <c r="S722" t="str">
        <f>RTD("tos.rtd", , "EXTRINSIC", ".VGK201120C57")</f>
        <v>N/A</v>
      </c>
      <c r="T722" t="str">
        <f>RTD("tos.rtd", , "PROB_OF_EXPIRING", ".VGK201120C57")</f>
        <v>N/A</v>
      </c>
      <c r="U722" t="str">
        <f>RTD("tos.rtd", , "PROB_OTM", ".VGK201120C57")</f>
        <v>N/A</v>
      </c>
      <c r="V722" t="str">
        <f>RTD("tos.rtd", , "PROB_OF_TOUCHING", ".VGK201120C57")</f>
        <v>N/A</v>
      </c>
      <c r="W722" t="str">
        <f>RTD("tos.rtd", , "STRIKE", ".VGK201120C57")</f>
        <v>N/A</v>
      </c>
    </row>
    <row r="723" spans="1:23" x14ac:dyDescent="0.45">
      <c r="A723" t="s">
        <v>744</v>
      </c>
      <c r="B723" t="str">
        <f>RTD("tos.rtd", , "DESCRIPTION", ".VGK201120P57")</f>
        <v>N/A</v>
      </c>
      <c r="C723" t="str">
        <f>RTD("tos.rtd", , "PUT_CALL_RATIO", ".VGK201120P57")</f>
        <v>N/A</v>
      </c>
      <c r="D723" t="str">
        <f>RTD("tos.rtd", , "IMPL_VOL", ".VGK201120P57")</f>
        <v>N/A</v>
      </c>
      <c r="E723">
        <f>RTD("tos.rtd", , "LAST", ".VGK201120P57")</f>
        <v>0.9</v>
      </c>
      <c r="F723">
        <f>RTD("tos.rtd", , "VOLUME", ".VGK201120P57")</f>
        <v>0</v>
      </c>
      <c r="G723">
        <f>RTD("tos.rtd", , "OPEN_INT", ".VGK201120P57")</f>
        <v>6</v>
      </c>
      <c r="H723">
        <f>RTD("tos.rtd", , "BID", ".VGK201120P57")</f>
        <v>1.2</v>
      </c>
      <c r="I723">
        <f>RTD("tos.rtd", , "ASK", ".VGK201120P57")</f>
        <v>1.35</v>
      </c>
      <c r="J723">
        <f>RTD("tos.rtd", , "HIGH", ".VGK201120P57")</f>
        <v>0</v>
      </c>
      <c r="K723">
        <f>RTD("tos.rtd", , "LOW", ".VGK201120P57")</f>
        <v>0</v>
      </c>
      <c r="L723">
        <f>RTD("tos.rtd", , "OPEN", ".VGK201120P57")</f>
        <v>0</v>
      </c>
      <c r="M723" t="str">
        <f>RTD("tos.rtd", , "DELTA", ".VGK201120P57")</f>
        <v>N/A</v>
      </c>
      <c r="N723" t="str">
        <f>RTD("tos.rtd", , "GAMMA", ".VGK201120P57")</f>
        <v>N/A</v>
      </c>
      <c r="O723" t="str">
        <f>RTD("tos.rtd", , "THETA", ".VGK201120P57")</f>
        <v>N/A</v>
      </c>
      <c r="P723" t="str">
        <f>RTD("tos.rtd", , "VEGA", ".VGK201120P57")</f>
        <v>N/A</v>
      </c>
      <c r="Q723" t="str">
        <f>RTD("tos.rtd", , "RHO", ".VGK201120P57")</f>
        <v>N/A</v>
      </c>
      <c r="R723" t="str">
        <f>RTD("tos.rtd", , "INTRINSIC", ".VGK201120P57")</f>
        <v>N/A</v>
      </c>
      <c r="S723" t="str">
        <f>RTD("tos.rtd", , "EXTRINSIC", ".VGK201120P57")</f>
        <v>N/A</v>
      </c>
      <c r="T723" t="str">
        <f>RTD("tos.rtd", , "PROB_OF_EXPIRING", ".VGK201120P57")</f>
        <v>N/A</v>
      </c>
      <c r="U723" t="str">
        <f>RTD("tos.rtd", , "PROB_OTM", ".VGK201120P57")</f>
        <v>N/A</v>
      </c>
      <c r="V723" t="str">
        <f>RTD("tos.rtd", , "PROB_OF_TOUCHING", ".VGK201120P57")</f>
        <v>N/A</v>
      </c>
      <c r="W723" t="str">
        <f>RTD("tos.rtd", , "STRIKE", ".VGK201120P57")</f>
        <v>N/A</v>
      </c>
    </row>
    <row r="724" spans="1:23" x14ac:dyDescent="0.45">
      <c r="A724" t="s">
        <v>745</v>
      </c>
      <c r="B724" t="str">
        <f>RTD("tos.rtd", , "DESCRIPTION", "VNQ")</f>
        <v>N/A</v>
      </c>
      <c r="C724">
        <f>RTD("tos.rtd", , "PUT_CALL_RATIO", "VNQ")</f>
        <v>3.6259999999999999</v>
      </c>
      <c r="D724" t="str">
        <f>RTD("tos.rtd", , "IMPL_VOL", "VNQ")</f>
        <v>23.97%</v>
      </c>
      <c r="E724">
        <f>RTD("tos.rtd", , "LAST", "VNQ")</f>
        <v>83.16</v>
      </c>
      <c r="F724">
        <f>RTD("tos.rtd", , "VOLUME", "VNQ")</f>
        <v>3939500</v>
      </c>
      <c r="G724">
        <f>RTD("tos.rtd", , "OPEN_INT", "VNQ")</f>
        <v>0</v>
      </c>
      <c r="H724">
        <f>RTD("tos.rtd", , "BID", "VNQ")</f>
        <v>82.8</v>
      </c>
      <c r="I724">
        <f>RTD("tos.rtd", , "ASK", "VNQ")</f>
        <v>83.65</v>
      </c>
      <c r="J724">
        <f>RTD("tos.rtd", , "HIGH", "VNQ")</f>
        <v>84.224999999999994</v>
      </c>
      <c r="K724">
        <f>RTD("tos.rtd", , "LOW", "VNQ")</f>
        <v>82.59</v>
      </c>
      <c r="L724">
        <f>RTD("tos.rtd", , "OPEN", "VNQ")</f>
        <v>83.88</v>
      </c>
      <c r="M724">
        <f>RTD("tos.rtd", , "DELTA", "VNQ")</f>
        <v>1</v>
      </c>
      <c r="N724">
        <f>RTD("tos.rtd", , "GAMMA", "VNQ")</f>
        <v>0</v>
      </c>
      <c r="O724">
        <f>RTD("tos.rtd", , "THETA", "VNQ")</f>
        <v>0</v>
      </c>
      <c r="P724">
        <f>RTD("tos.rtd", , "VEGA", "VNQ")</f>
        <v>0</v>
      </c>
      <c r="Q724">
        <f>RTD("tos.rtd", , "RHO", "VNQ")</f>
        <v>0</v>
      </c>
      <c r="R724" t="str">
        <f>RTD("tos.rtd", , "INTRINSIC", "VNQ")</f>
        <v>N/A</v>
      </c>
      <c r="S724" t="str">
        <f>RTD("tos.rtd", , "EXTRINSIC", "VNQ")</f>
        <v>N/A</v>
      </c>
      <c r="T724" t="str">
        <f>RTD("tos.rtd", , "PROB_OF_EXPIRING", "VNQ")</f>
        <v>N/A</v>
      </c>
      <c r="U724" t="str">
        <f>RTD("tos.rtd", , "PROB_OTM", "VNQ")</f>
        <v>N/A</v>
      </c>
      <c r="V724" t="str">
        <f>RTD("tos.rtd", , "PROB_OF_TOUCHING", "VNQ")</f>
        <v>N/A</v>
      </c>
      <c r="W724" t="str">
        <f>RTD("tos.rtd", , "STRIKE", "VNQ")</f>
        <v>N/A</v>
      </c>
    </row>
    <row r="725" spans="1:23" x14ac:dyDescent="0.45">
      <c r="A725" t="s">
        <v>746</v>
      </c>
      <c r="B725" t="str">
        <f>RTD("tos.rtd", , "DESCRIPTION", ".VNQ201120C84")</f>
        <v>N/A</v>
      </c>
      <c r="C725" t="str">
        <f>RTD("tos.rtd", , "PUT_CALL_RATIO", ".VNQ201120C84")</f>
        <v>N/A</v>
      </c>
      <c r="D725" t="str">
        <f>RTD("tos.rtd", , "IMPL_VOL", ".VNQ201120C84")</f>
        <v>N/A</v>
      </c>
      <c r="E725">
        <f>RTD("tos.rtd", , "LAST", ".VNQ201120C84")</f>
        <v>0.75</v>
      </c>
      <c r="F725">
        <f>RTD("tos.rtd", , "VOLUME", ".VNQ201120C84")</f>
        <v>26</v>
      </c>
      <c r="G725">
        <f>RTD("tos.rtd", , "OPEN_INT", ".VNQ201120C84")</f>
        <v>463</v>
      </c>
      <c r="H725">
        <f>RTD("tos.rtd", , "BID", ".VNQ201120C84")</f>
        <v>0.7</v>
      </c>
      <c r="I725">
        <f>RTD("tos.rtd", , "ASK", ".VNQ201120C84")</f>
        <v>0.86</v>
      </c>
      <c r="J725">
        <f>RTD("tos.rtd", , "HIGH", ".VNQ201120C84")</f>
        <v>1.05</v>
      </c>
      <c r="K725">
        <f>RTD("tos.rtd", , "LOW", ".VNQ201120C84")</f>
        <v>0.7</v>
      </c>
      <c r="L725">
        <f>RTD("tos.rtd", , "OPEN", ".VNQ201120C84")</f>
        <v>1.01</v>
      </c>
      <c r="M725" t="str">
        <f>RTD("tos.rtd", , "DELTA", ".VNQ201120C84")</f>
        <v>N/A</v>
      </c>
      <c r="N725" t="str">
        <f>RTD("tos.rtd", , "GAMMA", ".VNQ201120C84")</f>
        <v>N/A</v>
      </c>
      <c r="O725" t="str">
        <f>RTD("tos.rtd", , "THETA", ".VNQ201120C84")</f>
        <v>N/A</v>
      </c>
      <c r="P725" t="str">
        <f>RTD("tos.rtd", , "VEGA", ".VNQ201120C84")</f>
        <v>N/A</v>
      </c>
      <c r="Q725" t="str">
        <f>RTD("tos.rtd", , "RHO", ".VNQ201120C84")</f>
        <v>N/A</v>
      </c>
      <c r="R725" t="str">
        <f>RTD("tos.rtd", , "INTRINSIC", ".VNQ201120C84")</f>
        <v>N/A</v>
      </c>
      <c r="S725" t="str">
        <f>RTD("tos.rtd", , "EXTRINSIC", ".VNQ201120C84")</f>
        <v>N/A</v>
      </c>
      <c r="T725" t="str">
        <f>RTD("tos.rtd", , "PROB_OF_EXPIRING", ".VNQ201120C84")</f>
        <v>N/A</v>
      </c>
      <c r="U725" t="str">
        <f>RTD("tos.rtd", , "PROB_OTM", ".VNQ201120C84")</f>
        <v>N/A</v>
      </c>
      <c r="V725" t="str">
        <f>RTD("tos.rtd", , "PROB_OF_TOUCHING", ".VNQ201120C84")</f>
        <v>N/A</v>
      </c>
      <c r="W725" t="str">
        <f>RTD("tos.rtd", , "STRIKE", ".VNQ201120C84")</f>
        <v>N/A</v>
      </c>
    </row>
    <row r="726" spans="1:23" x14ac:dyDescent="0.45">
      <c r="A726" t="s">
        <v>747</v>
      </c>
      <c r="B726" t="str">
        <f>RTD("tos.rtd", , "DESCRIPTION", ".VNQ201120P84")</f>
        <v>N/A</v>
      </c>
      <c r="C726" t="str">
        <f>RTD("tos.rtd", , "PUT_CALL_RATIO", ".VNQ201120P84")</f>
        <v>N/A</v>
      </c>
      <c r="D726" t="str">
        <f>RTD("tos.rtd", , "IMPL_VOL", ".VNQ201120P84")</f>
        <v>N/A</v>
      </c>
      <c r="E726" t="str">
        <f>RTD("tos.rtd", , "LAST", ".VNQ201120P84")</f>
        <v>N/A</v>
      </c>
      <c r="F726" t="str">
        <f>RTD("tos.rtd", , "VOLUME", ".VNQ201120P84")</f>
        <v>N/A</v>
      </c>
      <c r="G726" t="str">
        <f>RTD("tos.rtd", , "OPEN_INT", ".VNQ201120P84")</f>
        <v>N/A</v>
      </c>
      <c r="H726" t="str">
        <f>RTD("tos.rtd", , "BID", ".VNQ201120P84")</f>
        <v>N/A</v>
      </c>
      <c r="I726" t="str">
        <f>RTD("tos.rtd", , "ASK", ".VNQ201120P84")</f>
        <v>N/A</v>
      </c>
      <c r="J726" t="str">
        <f>RTD("tos.rtd", , "HIGH", ".VNQ201120P84")</f>
        <v>N/A</v>
      </c>
      <c r="K726" t="str">
        <f>RTD("tos.rtd", , "LOW", ".VNQ201120P84")</f>
        <v>N/A</v>
      </c>
      <c r="L726" t="str">
        <f>RTD("tos.rtd", , "OPEN", ".VNQ201120P84")</f>
        <v>N/A</v>
      </c>
      <c r="M726" t="str">
        <f>RTD("tos.rtd", , "DELTA", ".VNQ201120P84")</f>
        <v>N/A</v>
      </c>
      <c r="N726" t="str">
        <f>RTD("tos.rtd", , "GAMMA", ".VNQ201120P84")</f>
        <v>N/A</v>
      </c>
      <c r="O726" t="str">
        <f>RTD("tos.rtd", , "THETA", ".VNQ201120P84")</f>
        <v>N/A</v>
      </c>
      <c r="P726" t="str">
        <f>RTD("tos.rtd", , "VEGA", ".VNQ201120P84")</f>
        <v>N/A</v>
      </c>
      <c r="Q726" t="str">
        <f>RTD("tos.rtd", , "RHO", ".VNQ201120P84")</f>
        <v>N/A</v>
      </c>
      <c r="R726" t="str">
        <f>RTD("tos.rtd", , "INTRINSIC", ".VNQ201120P84")</f>
        <v>N/A</v>
      </c>
      <c r="S726" t="str">
        <f>RTD("tos.rtd", , "EXTRINSIC", ".VNQ201120P84")</f>
        <v>N/A</v>
      </c>
      <c r="T726" t="str">
        <f>RTD("tos.rtd", , "PROB_OF_EXPIRING", ".VNQ201120P84")</f>
        <v>N/A</v>
      </c>
      <c r="U726" t="str">
        <f>RTD("tos.rtd", , "PROB_OTM", ".VNQ201120P84")</f>
        <v>N/A</v>
      </c>
      <c r="V726" t="str">
        <f>RTD("tos.rtd", , "PROB_OF_TOUCHING", ".VNQ201120P84")</f>
        <v>N/A</v>
      </c>
      <c r="W726" t="str">
        <f>RTD("tos.rtd", , "STRIKE", ".VNQ201120P84")</f>
        <v>N/A</v>
      </c>
    </row>
    <row r="727" spans="1:23" x14ac:dyDescent="0.45">
      <c r="A727" t="s">
        <v>748</v>
      </c>
      <c r="B727" t="str">
        <f>RTD("tos.rtd", , "DESCRIPTION", ".VNQ201120C85")</f>
        <v>N/A</v>
      </c>
      <c r="C727" t="str">
        <f>RTD("tos.rtd", , "PUT_CALL_RATIO", ".VNQ201120C85")</f>
        <v>N/A</v>
      </c>
      <c r="D727" t="str">
        <f>RTD("tos.rtd", , "IMPL_VOL", ".VNQ201120C85")</f>
        <v>N/A</v>
      </c>
      <c r="E727" t="str">
        <f>RTD("tos.rtd", , "LAST", ".VNQ201120C85")</f>
        <v>N/A</v>
      </c>
      <c r="F727" t="str">
        <f>RTD("tos.rtd", , "VOLUME", ".VNQ201120C85")</f>
        <v>N/A</v>
      </c>
      <c r="G727" t="str">
        <f>RTD("tos.rtd", , "OPEN_INT", ".VNQ201120C85")</f>
        <v>N/A</v>
      </c>
      <c r="H727" t="str">
        <f>RTD("tos.rtd", , "BID", ".VNQ201120C85")</f>
        <v>N/A</v>
      </c>
      <c r="I727" t="str">
        <f>RTD("tos.rtd", , "ASK", ".VNQ201120C85")</f>
        <v>N/A</v>
      </c>
      <c r="J727" t="str">
        <f>RTD("tos.rtd", , "HIGH", ".VNQ201120C85")</f>
        <v>N/A</v>
      </c>
      <c r="K727" t="str">
        <f>RTD("tos.rtd", , "LOW", ".VNQ201120C85")</f>
        <v>N/A</v>
      </c>
      <c r="L727" t="str">
        <f>RTD("tos.rtd", , "OPEN", ".VNQ201120C85")</f>
        <v>N/A</v>
      </c>
      <c r="M727" t="str">
        <f>RTD("tos.rtd", , "DELTA", ".VNQ201120C85")</f>
        <v>N/A</v>
      </c>
      <c r="N727" t="str">
        <f>RTD("tos.rtd", , "GAMMA", ".VNQ201120C85")</f>
        <v>N/A</v>
      </c>
      <c r="O727" t="str">
        <f>RTD("tos.rtd", , "THETA", ".VNQ201120C85")</f>
        <v>N/A</v>
      </c>
      <c r="P727" t="str">
        <f>RTD("tos.rtd", , "VEGA", ".VNQ201120C85")</f>
        <v>N/A</v>
      </c>
      <c r="Q727" t="str">
        <f>RTD("tos.rtd", , "RHO", ".VNQ201120C85")</f>
        <v>N/A</v>
      </c>
      <c r="R727" t="str">
        <f>RTD("tos.rtd", , "INTRINSIC", ".VNQ201120C85")</f>
        <v>N/A</v>
      </c>
      <c r="S727" t="str">
        <f>RTD("tos.rtd", , "EXTRINSIC", ".VNQ201120C85")</f>
        <v>N/A</v>
      </c>
      <c r="T727" t="str">
        <f>RTD("tos.rtd", , "PROB_OF_EXPIRING", ".VNQ201120C85")</f>
        <v>N/A</v>
      </c>
      <c r="U727" t="str">
        <f>RTD("tos.rtd", , "PROB_OTM", ".VNQ201120C85")</f>
        <v>N/A</v>
      </c>
      <c r="V727" t="str">
        <f>RTD("tos.rtd", , "PROB_OF_TOUCHING", ".VNQ201120C85")</f>
        <v>N/A</v>
      </c>
      <c r="W727" t="str">
        <f>RTD("tos.rtd", , "STRIKE", ".VNQ201120C85")</f>
        <v>N/A</v>
      </c>
    </row>
    <row r="728" spans="1:23" x14ac:dyDescent="0.45">
      <c r="A728" t="s">
        <v>749</v>
      </c>
      <c r="B728" t="str">
        <f>RTD("tos.rtd", , "DESCRIPTION", ".VNQ201120P85")</f>
        <v>N/A</v>
      </c>
      <c r="C728" t="str">
        <f>RTD("tos.rtd", , "PUT_CALL_RATIO", ".VNQ201120P85")</f>
        <v>N/A</v>
      </c>
      <c r="D728" t="str">
        <f>RTD("tos.rtd", , "IMPL_VOL", ".VNQ201120P85")</f>
        <v>N/A</v>
      </c>
      <c r="E728" t="str">
        <f>RTD("tos.rtd", , "LAST", ".VNQ201120P85")</f>
        <v>N/A</v>
      </c>
      <c r="F728" t="str">
        <f>RTD("tos.rtd", , "VOLUME", ".VNQ201120P85")</f>
        <v>N/A</v>
      </c>
      <c r="G728" t="str">
        <f>RTD("tos.rtd", , "OPEN_INT", ".VNQ201120P85")</f>
        <v>N/A</v>
      </c>
      <c r="H728" t="str">
        <f>RTD("tos.rtd", , "BID", ".VNQ201120P85")</f>
        <v>N/A</v>
      </c>
      <c r="I728" t="str">
        <f>RTD("tos.rtd", , "ASK", ".VNQ201120P85")</f>
        <v>N/A</v>
      </c>
      <c r="J728" t="str">
        <f>RTD("tos.rtd", , "HIGH", ".VNQ201120P85")</f>
        <v>N/A</v>
      </c>
      <c r="K728" t="str">
        <f>RTD("tos.rtd", , "LOW", ".VNQ201120P85")</f>
        <v>N/A</v>
      </c>
      <c r="L728" t="str">
        <f>RTD("tos.rtd", , "OPEN", ".VNQ201120P85")</f>
        <v>N/A</v>
      </c>
      <c r="M728" t="str">
        <f>RTD("tos.rtd", , "DELTA", ".VNQ201120P85")</f>
        <v>N/A</v>
      </c>
      <c r="N728" t="str">
        <f>RTD("tos.rtd", , "GAMMA", ".VNQ201120P85")</f>
        <v>N/A</v>
      </c>
      <c r="O728" t="str">
        <f>RTD("tos.rtd", , "THETA", ".VNQ201120P85")</f>
        <v>N/A</v>
      </c>
      <c r="P728" t="str">
        <f>RTD("tos.rtd", , "VEGA", ".VNQ201120P85")</f>
        <v>N/A</v>
      </c>
      <c r="Q728" t="str">
        <f>RTD("tos.rtd", , "RHO", ".VNQ201120P85")</f>
        <v>N/A</v>
      </c>
      <c r="R728" t="str">
        <f>RTD("tos.rtd", , "INTRINSIC", ".VNQ201120P85")</f>
        <v>N/A</v>
      </c>
      <c r="S728" t="str">
        <f>RTD("tos.rtd", , "EXTRINSIC", ".VNQ201120P85")</f>
        <v>N/A</v>
      </c>
      <c r="T728" t="str">
        <f>RTD("tos.rtd", , "PROB_OF_EXPIRING", ".VNQ201120P85")</f>
        <v>N/A</v>
      </c>
      <c r="U728" t="str">
        <f>RTD("tos.rtd", , "PROB_OTM", ".VNQ201120P85")</f>
        <v>N/A</v>
      </c>
      <c r="V728" t="str">
        <f>RTD("tos.rtd", , "PROB_OF_TOUCHING", ".VNQ201120P85")</f>
        <v>N/A</v>
      </c>
      <c r="W728" t="str">
        <f>RTD("tos.rtd", , "STRIKE", ".VNQ201120P85")</f>
        <v>N/A</v>
      </c>
    </row>
    <row r="729" spans="1:23" x14ac:dyDescent="0.45">
      <c r="A729" t="s">
        <v>750</v>
      </c>
      <c r="B729" t="str">
        <f>RTD("tos.rtd", , "DESCRIPTION", "VOO")</f>
        <v>N/A</v>
      </c>
      <c r="C729">
        <f>RTD("tos.rtd", , "PUT_CALL_RATIO", "VOO")</f>
        <v>2.1760000000000002</v>
      </c>
      <c r="D729" t="str">
        <f>RTD("tos.rtd", , "IMPL_VOL", "VOO")</f>
        <v>23.23%</v>
      </c>
      <c r="E729">
        <f>RTD("tos.rtd", , "LAST", "VOO")</f>
        <v>324.60000000000002</v>
      </c>
      <c r="F729">
        <f>RTD("tos.rtd", , "VOLUME", "VOO")</f>
        <v>2539783</v>
      </c>
      <c r="G729">
        <f>RTD("tos.rtd", , "OPEN_INT", "VOO")</f>
        <v>0</v>
      </c>
      <c r="H729">
        <f>RTD("tos.rtd", , "BID", "VOO")</f>
        <v>323.98</v>
      </c>
      <c r="I729">
        <f>RTD("tos.rtd", , "ASK", "VOO")</f>
        <v>324.05</v>
      </c>
      <c r="J729">
        <f>RTD("tos.rtd", , "HIGH", "VOO")</f>
        <v>327.44</v>
      </c>
      <c r="K729">
        <f>RTD("tos.rtd", , "LOW", "VOO")</f>
        <v>322.73</v>
      </c>
      <c r="L729">
        <f>RTD("tos.rtd", , "OPEN", "VOO")</f>
        <v>326.74</v>
      </c>
      <c r="M729">
        <f>RTD("tos.rtd", , "DELTA", "VOO")</f>
        <v>1</v>
      </c>
      <c r="N729">
        <f>RTD("tos.rtd", , "GAMMA", "VOO")</f>
        <v>0</v>
      </c>
      <c r="O729">
        <f>RTD("tos.rtd", , "THETA", "VOO")</f>
        <v>0</v>
      </c>
      <c r="P729">
        <f>RTD("tos.rtd", , "VEGA", "VOO")</f>
        <v>0</v>
      </c>
      <c r="Q729">
        <f>RTD("tos.rtd", , "RHO", "VOO")</f>
        <v>0</v>
      </c>
      <c r="R729" t="str">
        <f>RTD("tos.rtd", , "INTRINSIC", "VOO")</f>
        <v>N/A</v>
      </c>
      <c r="S729" t="str">
        <f>RTD("tos.rtd", , "EXTRINSIC", "VOO")</f>
        <v>N/A</v>
      </c>
      <c r="T729" t="str">
        <f>RTD("tos.rtd", , "PROB_OF_EXPIRING", "VOO")</f>
        <v>N/A</v>
      </c>
      <c r="U729" t="str">
        <f>RTD("tos.rtd", , "PROB_OTM", "VOO")</f>
        <v>N/A</v>
      </c>
      <c r="V729" t="str">
        <f>RTD("tos.rtd", , "PROB_OF_TOUCHING", "VOO")</f>
        <v>N/A</v>
      </c>
      <c r="W729" t="str">
        <f>RTD("tos.rtd", , "STRIKE", "VOO")</f>
        <v>N/A</v>
      </c>
    </row>
    <row r="730" spans="1:23" x14ac:dyDescent="0.45">
      <c r="A730" t="s">
        <v>751</v>
      </c>
      <c r="B730" t="str">
        <f>RTD("tos.rtd", , "DESCRIPTION", ".VOO201120C325")</f>
        <v>N/A</v>
      </c>
      <c r="C730" t="str">
        <f>RTD("tos.rtd", , "PUT_CALL_RATIO", ".VOO201120C325")</f>
        <v>N/A</v>
      </c>
      <c r="D730" t="str">
        <f>RTD("tos.rtd", , "IMPL_VOL", ".VOO201120C325")</f>
        <v>N/A</v>
      </c>
      <c r="E730">
        <f>RTD("tos.rtd", , "LAST", ".VOO201120C325")</f>
        <v>3.6</v>
      </c>
      <c r="F730">
        <f>RTD("tos.rtd", , "VOLUME", ".VOO201120C325")</f>
        <v>7</v>
      </c>
      <c r="G730">
        <f>RTD("tos.rtd", , "OPEN_INT", ".VOO201120C325")</f>
        <v>299</v>
      </c>
      <c r="H730">
        <f>RTD("tos.rtd", , "BID", ".VOO201120C325")</f>
        <v>3.6</v>
      </c>
      <c r="I730">
        <f>RTD("tos.rtd", , "ASK", ".VOO201120C325")</f>
        <v>4.0999999999999996</v>
      </c>
      <c r="J730">
        <f>RTD("tos.rtd", , "HIGH", ".VOO201120C325")</f>
        <v>4.87</v>
      </c>
      <c r="K730">
        <f>RTD("tos.rtd", , "LOW", ".VOO201120C325")</f>
        <v>3.6</v>
      </c>
      <c r="L730">
        <f>RTD("tos.rtd", , "OPEN", ".VOO201120C325")</f>
        <v>4.87</v>
      </c>
      <c r="M730" t="str">
        <f>RTD("tos.rtd", , "DELTA", ".VOO201120C325")</f>
        <v>N/A</v>
      </c>
      <c r="N730" t="str">
        <f>RTD("tos.rtd", , "GAMMA", ".VOO201120C325")</f>
        <v>N/A</v>
      </c>
      <c r="O730" t="str">
        <f>RTD("tos.rtd", , "THETA", ".VOO201120C325")</f>
        <v>N/A</v>
      </c>
      <c r="P730" t="str">
        <f>RTD("tos.rtd", , "VEGA", ".VOO201120C325")</f>
        <v>N/A</v>
      </c>
      <c r="Q730" t="str">
        <f>RTD("tos.rtd", , "RHO", ".VOO201120C325")</f>
        <v>N/A</v>
      </c>
      <c r="R730" t="str">
        <f>RTD("tos.rtd", , "INTRINSIC", ".VOO201120C325")</f>
        <v>N/A</v>
      </c>
      <c r="S730" t="str">
        <f>RTD("tos.rtd", , "EXTRINSIC", ".VOO201120C325")</f>
        <v>N/A</v>
      </c>
      <c r="T730" t="str">
        <f>RTD("tos.rtd", , "PROB_OF_EXPIRING", ".VOO201120C325")</f>
        <v>N/A</v>
      </c>
      <c r="U730" t="str">
        <f>RTD("tos.rtd", , "PROB_OTM", ".VOO201120C325")</f>
        <v>N/A</v>
      </c>
      <c r="V730" t="str">
        <f>RTD("tos.rtd", , "PROB_OF_TOUCHING", ".VOO201120C325")</f>
        <v>N/A</v>
      </c>
      <c r="W730" t="str">
        <f>RTD("tos.rtd", , "STRIKE", ".VOO201120C325")</f>
        <v>N/A</v>
      </c>
    </row>
    <row r="731" spans="1:23" x14ac:dyDescent="0.45">
      <c r="A731" t="s">
        <v>752</v>
      </c>
      <c r="B731" t="str">
        <f>RTD("tos.rtd", , "DESCRIPTION", ".VOO201120P325")</f>
        <v>N/A</v>
      </c>
      <c r="C731" t="str">
        <f>RTD("tos.rtd", , "PUT_CALL_RATIO", ".VOO201120P325")</f>
        <v>N/A</v>
      </c>
      <c r="D731" t="str">
        <f>RTD("tos.rtd", , "IMPL_VOL", ".VOO201120P325")</f>
        <v>N/A</v>
      </c>
      <c r="E731" t="str">
        <f>RTD("tos.rtd", , "LAST", ".VOO201120P325")</f>
        <v>N/A</v>
      </c>
      <c r="F731" t="str">
        <f>RTD("tos.rtd", , "VOLUME", ".VOO201120P325")</f>
        <v>N/A</v>
      </c>
      <c r="G731" t="str">
        <f>RTD("tos.rtd", , "OPEN_INT", ".VOO201120P325")</f>
        <v>N/A</v>
      </c>
      <c r="H731" t="str">
        <f>RTD("tos.rtd", , "BID", ".VOO201120P325")</f>
        <v>N/A</v>
      </c>
      <c r="I731" t="str">
        <f>RTD("tos.rtd", , "ASK", ".VOO201120P325")</f>
        <v>N/A</v>
      </c>
      <c r="J731" t="str">
        <f>RTD("tos.rtd", , "HIGH", ".VOO201120P325")</f>
        <v>N/A</v>
      </c>
      <c r="K731" t="str">
        <f>RTD("tos.rtd", , "LOW", ".VOO201120P325")</f>
        <v>N/A</v>
      </c>
      <c r="L731" t="str">
        <f>RTD("tos.rtd", , "OPEN", ".VOO201120P325")</f>
        <v>N/A</v>
      </c>
      <c r="M731" t="str">
        <f>RTD("tos.rtd", , "DELTA", ".VOO201120P325")</f>
        <v>N/A</v>
      </c>
      <c r="N731" t="str">
        <f>RTD("tos.rtd", , "GAMMA", ".VOO201120P325")</f>
        <v>N/A</v>
      </c>
      <c r="O731" t="str">
        <f>RTD("tos.rtd", , "THETA", ".VOO201120P325")</f>
        <v>N/A</v>
      </c>
      <c r="P731" t="str">
        <f>RTD("tos.rtd", , "VEGA", ".VOO201120P325")</f>
        <v>N/A</v>
      </c>
      <c r="Q731" t="str">
        <f>RTD("tos.rtd", , "RHO", ".VOO201120P325")</f>
        <v>N/A</v>
      </c>
      <c r="R731" t="str">
        <f>RTD("tos.rtd", , "INTRINSIC", ".VOO201120P325")</f>
        <v>N/A</v>
      </c>
      <c r="S731" t="str">
        <f>RTD("tos.rtd", , "EXTRINSIC", ".VOO201120P325")</f>
        <v>N/A</v>
      </c>
      <c r="T731" t="str">
        <f>RTD("tos.rtd", , "PROB_OF_EXPIRING", ".VOO201120P325")</f>
        <v>N/A</v>
      </c>
      <c r="U731" t="str">
        <f>RTD("tos.rtd", , "PROB_OTM", ".VOO201120P325")</f>
        <v>N/A</v>
      </c>
      <c r="V731" t="str">
        <f>RTD("tos.rtd", , "PROB_OF_TOUCHING", ".VOO201120P325")</f>
        <v>N/A</v>
      </c>
      <c r="W731" t="str">
        <f>RTD("tos.rtd", , "STRIKE", ".VOO201120P325")</f>
        <v>N/A</v>
      </c>
    </row>
    <row r="732" spans="1:23" x14ac:dyDescent="0.45">
      <c r="A732" t="s">
        <v>753</v>
      </c>
      <c r="B732" t="str">
        <f>RTD("tos.rtd", , "DESCRIPTION", ".VOO201120C330")</f>
        <v>N/A</v>
      </c>
      <c r="C732" t="str">
        <f>RTD("tos.rtd", , "PUT_CALL_RATIO", ".VOO201120C330")</f>
        <v>N/A</v>
      </c>
      <c r="D732" t="str">
        <f>RTD("tos.rtd", , "IMPL_VOL", ".VOO201120C330")</f>
        <v>N/A</v>
      </c>
      <c r="E732">
        <f>RTD("tos.rtd", , "LAST", ".VOO201120C330")</f>
        <v>1.4</v>
      </c>
      <c r="F732">
        <f>RTD("tos.rtd", , "VOLUME", ".VOO201120C330")</f>
        <v>37</v>
      </c>
      <c r="G732">
        <f>RTD("tos.rtd", , "OPEN_INT", ".VOO201120C330")</f>
        <v>911</v>
      </c>
      <c r="H732">
        <f>RTD("tos.rtd", , "BID", ".VOO201120C330")</f>
        <v>1.3</v>
      </c>
      <c r="I732">
        <f>RTD("tos.rtd", , "ASK", ".VOO201120C330")</f>
        <v>1.7</v>
      </c>
      <c r="J732">
        <f>RTD("tos.rtd", , "HIGH", ".VOO201120C330")</f>
        <v>2.5</v>
      </c>
      <c r="K732">
        <f>RTD("tos.rtd", , "LOW", ".VOO201120C330")</f>
        <v>1.4</v>
      </c>
      <c r="L732">
        <f>RTD("tos.rtd", , "OPEN", ".VOO201120C330")</f>
        <v>2.5</v>
      </c>
      <c r="M732" t="str">
        <f>RTD("tos.rtd", , "DELTA", ".VOO201120C330")</f>
        <v>N/A</v>
      </c>
      <c r="N732" t="str">
        <f>RTD("tos.rtd", , "GAMMA", ".VOO201120C330")</f>
        <v>N/A</v>
      </c>
      <c r="O732" t="str">
        <f>RTD("tos.rtd", , "THETA", ".VOO201120C330")</f>
        <v>N/A</v>
      </c>
      <c r="P732" t="str">
        <f>RTD("tos.rtd", , "VEGA", ".VOO201120C330")</f>
        <v>N/A</v>
      </c>
      <c r="Q732" t="str">
        <f>RTD("tos.rtd", , "RHO", ".VOO201120C330")</f>
        <v>N/A</v>
      </c>
      <c r="R732" t="str">
        <f>RTD("tos.rtd", , "INTRINSIC", ".VOO201120C330")</f>
        <v>N/A</v>
      </c>
      <c r="S732" t="str">
        <f>RTD("tos.rtd", , "EXTRINSIC", ".VOO201120C330")</f>
        <v>N/A</v>
      </c>
      <c r="T732" t="str">
        <f>RTD("tos.rtd", , "PROB_OF_EXPIRING", ".VOO201120C330")</f>
        <v>N/A</v>
      </c>
      <c r="U732" t="str">
        <f>RTD("tos.rtd", , "PROB_OTM", ".VOO201120C330")</f>
        <v>N/A</v>
      </c>
      <c r="V732" t="str">
        <f>RTD("tos.rtd", , "PROB_OF_TOUCHING", ".VOO201120C330")</f>
        <v>N/A</v>
      </c>
      <c r="W732" t="str">
        <f>RTD("tos.rtd", , "STRIKE", ".VOO201120C330")</f>
        <v>N/A</v>
      </c>
    </row>
    <row r="733" spans="1:23" x14ac:dyDescent="0.45">
      <c r="A733" t="s">
        <v>754</v>
      </c>
      <c r="B733" t="str">
        <f>RTD("tos.rtd", , "DESCRIPTION", ".VOO201120P330")</f>
        <v>N/A</v>
      </c>
      <c r="C733" t="str">
        <f>RTD("tos.rtd", , "PUT_CALL_RATIO", ".VOO201120P330")</f>
        <v>N/A</v>
      </c>
      <c r="D733" t="str">
        <f>RTD("tos.rtd", , "IMPL_VOL", ".VOO201120P330")</f>
        <v>N/A</v>
      </c>
      <c r="E733" t="str">
        <f>RTD("tos.rtd", , "LAST", ".VOO201120P330")</f>
        <v>N/A</v>
      </c>
      <c r="F733" t="str">
        <f>RTD("tos.rtd", , "VOLUME", ".VOO201120P330")</f>
        <v>N/A</v>
      </c>
      <c r="G733" t="str">
        <f>RTD("tos.rtd", , "OPEN_INT", ".VOO201120P330")</f>
        <v>N/A</v>
      </c>
      <c r="H733" t="str">
        <f>RTD("tos.rtd", , "BID", ".VOO201120P330")</f>
        <v>N/A</v>
      </c>
      <c r="I733" t="str">
        <f>RTD("tos.rtd", , "ASK", ".VOO201120P330")</f>
        <v>N/A</v>
      </c>
      <c r="J733" t="str">
        <f>RTD("tos.rtd", , "HIGH", ".VOO201120P330")</f>
        <v>N/A</v>
      </c>
      <c r="K733" t="str">
        <f>RTD("tos.rtd", , "LOW", ".VOO201120P330")</f>
        <v>N/A</v>
      </c>
      <c r="L733" t="str">
        <f>RTD("tos.rtd", , "OPEN", ".VOO201120P330")</f>
        <v>N/A</v>
      </c>
      <c r="M733" t="str">
        <f>RTD("tos.rtd", , "DELTA", ".VOO201120P330")</f>
        <v>N/A</v>
      </c>
      <c r="N733" t="str">
        <f>RTD("tos.rtd", , "GAMMA", ".VOO201120P330")</f>
        <v>N/A</v>
      </c>
      <c r="O733" t="str">
        <f>RTD("tos.rtd", , "THETA", ".VOO201120P330")</f>
        <v>N/A</v>
      </c>
      <c r="P733" t="str">
        <f>RTD("tos.rtd", , "VEGA", ".VOO201120P330")</f>
        <v>N/A</v>
      </c>
      <c r="Q733" t="str">
        <f>RTD("tos.rtd", , "RHO", ".VOO201120P330")</f>
        <v>N/A</v>
      </c>
      <c r="R733" t="str">
        <f>RTD("tos.rtd", , "INTRINSIC", ".VOO201120P330")</f>
        <v>N/A</v>
      </c>
      <c r="S733" t="str">
        <f>RTD("tos.rtd", , "EXTRINSIC", ".VOO201120P330")</f>
        <v>N/A</v>
      </c>
      <c r="T733" t="str">
        <f>RTD("tos.rtd", , "PROB_OF_EXPIRING", ".VOO201120P330")</f>
        <v>N/A</v>
      </c>
      <c r="U733" t="str">
        <f>RTD("tos.rtd", , "PROB_OTM", ".VOO201120P330")</f>
        <v>N/A</v>
      </c>
      <c r="V733" t="str">
        <f>RTD("tos.rtd", , "PROB_OF_TOUCHING", ".VOO201120P330")</f>
        <v>N/A</v>
      </c>
      <c r="W733" t="str">
        <f>RTD("tos.rtd", , "STRIKE", ".VOO201120P330")</f>
        <v>N/A</v>
      </c>
    </row>
    <row r="734" spans="1:23" x14ac:dyDescent="0.45">
      <c r="A734" t="s">
        <v>755</v>
      </c>
      <c r="B734" t="str">
        <f>RTD("tos.rtd", , "DESCRIPTION", "VT")</f>
        <v>N/A</v>
      </c>
      <c r="C734">
        <f>RTD("tos.rtd", , "PUT_CALL_RATIO", "VT")</f>
        <v>7.9000000000000001E-2</v>
      </c>
      <c r="D734" t="str">
        <f>RTD("tos.rtd", , "IMPL_VOL", "VT")</f>
        <v>22.56%</v>
      </c>
      <c r="E734">
        <f>RTD("tos.rtd", , "LAST", "VT")</f>
        <v>85.92</v>
      </c>
      <c r="F734">
        <f>RTD("tos.rtd", , "VOLUME", "VT")</f>
        <v>1582595</v>
      </c>
      <c r="G734">
        <f>RTD("tos.rtd", , "OPEN_INT", "VT")</f>
        <v>0</v>
      </c>
      <c r="H734">
        <f>RTD("tos.rtd", , "BID", "VT")</f>
        <v>85.95</v>
      </c>
      <c r="I734">
        <f>RTD("tos.rtd", , "ASK", "VT")</f>
        <v>86.48</v>
      </c>
      <c r="J734">
        <f>RTD("tos.rtd", , "HIGH", "VT")</f>
        <v>86.77</v>
      </c>
      <c r="K734">
        <f>RTD("tos.rtd", , "LOW", "VT")</f>
        <v>85.6</v>
      </c>
      <c r="L734">
        <f>RTD("tos.rtd", , "OPEN", "VT")</f>
        <v>86.54</v>
      </c>
      <c r="M734">
        <f>RTD("tos.rtd", , "DELTA", "VT")</f>
        <v>1</v>
      </c>
      <c r="N734">
        <f>RTD("tos.rtd", , "GAMMA", "VT")</f>
        <v>0</v>
      </c>
      <c r="O734">
        <f>RTD("tos.rtd", , "THETA", "VT")</f>
        <v>0</v>
      </c>
      <c r="P734">
        <f>RTD("tos.rtd", , "VEGA", "VT")</f>
        <v>0</v>
      </c>
      <c r="Q734">
        <f>RTD("tos.rtd", , "RHO", "VT")</f>
        <v>0</v>
      </c>
      <c r="R734" t="str">
        <f>RTD("tos.rtd", , "INTRINSIC", "VT")</f>
        <v>N/A</v>
      </c>
      <c r="S734" t="str">
        <f>RTD("tos.rtd", , "EXTRINSIC", "VT")</f>
        <v>N/A</v>
      </c>
      <c r="T734" t="str">
        <f>RTD("tos.rtd", , "PROB_OF_EXPIRING", "VT")</f>
        <v>N/A</v>
      </c>
      <c r="U734" t="str">
        <f>RTD("tos.rtd", , "PROB_OTM", "VT")</f>
        <v>N/A</v>
      </c>
      <c r="V734" t="str">
        <f>RTD("tos.rtd", , "PROB_OF_TOUCHING", "VT")</f>
        <v>N/A</v>
      </c>
      <c r="W734" t="str">
        <f>RTD("tos.rtd", , "STRIKE", "VT")</f>
        <v>N/A</v>
      </c>
    </row>
    <row r="735" spans="1:23" x14ac:dyDescent="0.45">
      <c r="A735" t="s">
        <v>756</v>
      </c>
      <c r="B735" t="str">
        <f>RTD("tos.rtd", , "DESCRIPTION", ".VT201120C86")</f>
        <v>N/A</v>
      </c>
      <c r="C735" t="str">
        <f>RTD("tos.rtd", , "PUT_CALL_RATIO", ".VT201120C86")</f>
        <v>N/A</v>
      </c>
      <c r="D735" t="str">
        <f>RTD("tos.rtd", , "IMPL_VOL", ".VT201120C86")</f>
        <v>N/A</v>
      </c>
      <c r="E735">
        <f>RTD("tos.rtd", , "LAST", ".VT201120C86")</f>
        <v>1.4</v>
      </c>
      <c r="F735">
        <f>RTD("tos.rtd", , "VOLUME", ".VT201120C86")</f>
        <v>0</v>
      </c>
      <c r="G735" t="str">
        <f>RTD("tos.rtd", , "OPEN_INT", ".VT201120C86")</f>
        <v>N/A</v>
      </c>
      <c r="H735">
        <f>RTD("tos.rtd", , "BID", ".VT201120C86")</f>
        <v>0.8</v>
      </c>
      <c r="I735">
        <f>RTD("tos.rtd", , "ASK", ".VT201120C86")</f>
        <v>1.2</v>
      </c>
      <c r="J735" t="str">
        <f>RTD("tos.rtd", , "HIGH", ".VT201120C86")</f>
        <v>N/A</v>
      </c>
      <c r="K735" t="str">
        <f>RTD("tos.rtd", , "LOW", ".VT201120C86")</f>
        <v>N/A</v>
      </c>
      <c r="L735" t="str">
        <f>RTD("tos.rtd", , "OPEN", ".VT201120C86")</f>
        <v>N/A</v>
      </c>
      <c r="M735" t="str">
        <f>RTD("tos.rtd", , "DELTA", ".VT201120C86")</f>
        <v>N/A</v>
      </c>
      <c r="N735" t="str">
        <f>RTD("tos.rtd", , "GAMMA", ".VT201120C86")</f>
        <v>N/A</v>
      </c>
      <c r="O735" t="str">
        <f>RTD("tos.rtd", , "THETA", ".VT201120C86")</f>
        <v>N/A</v>
      </c>
      <c r="P735" t="str">
        <f>RTD("tos.rtd", , "VEGA", ".VT201120C86")</f>
        <v>N/A</v>
      </c>
      <c r="Q735" t="str">
        <f>RTD("tos.rtd", , "RHO", ".VT201120C86")</f>
        <v>N/A</v>
      </c>
      <c r="R735" t="str">
        <f>RTD("tos.rtd", , "INTRINSIC", ".VT201120C86")</f>
        <v>N/A</v>
      </c>
      <c r="S735" t="str">
        <f>RTD("tos.rtd", , "EXTRINSIC", ".VT201120C86")</f>
        <v>N/A</v>
      </c>
      <c r="T735" t="str">
        <f>RTD("tos.rtd", , "PROB_OF_EXPIRING", ".VT201120C86")</f>
        <v>N/A</v>
      </c>
      <c r="U735" t="str">
        <f>RTD("tos.rtd", , "PROB_OTM", ".VT201120C86")</f>
        <v>N/A</v>
      </c>
      <c r="V735" t="str">
        <f>RTD("tos.rtd", , "PROB_OF_TOUCHING", ".VT201120C86")</f>
        <v>N/A</v>
      </c>
      <c r="W735" t="str">
        <f>RTD("tos.rtd", , "STRIKE", ".VT201120C86")</f>
        <v>N/A</v>
      </c>
    </row>
    <row r="736" spans="1:23" x14ac:dyDescent="0.45">
      <c r="A736" t="s">
        <v>757</v>
      </c>
      <c r="B736" t="str">
        <f>RTD("tos.rtd", , "DESCRIPTION", ".VT201120P86")</f>
        <v>N/A</v>
      </c>
      <c r="C736" t="str">
        <f>RTD("tos.rtd", , "PUT_CALL_RATIO", ".VT201120P86")</f>
        <v>N/A</v>
      </c>
      <c r="D736" t="str">
        <f>RTD("tos.rtd", , "IMPL_VOL", ".VT201120P86")</f>
        <v>N/A</v>
      </c>
      <c r="E736">
        <f>RTD("tos.rtd", , "LAST", ".VT201120P86")</f>
        <v>0</v>
      </c>
      <c r="F736">
        <f>RTD("tos.rtd", , "VOLUME", ".VT201120P86")</f>
        <v>0</v>
      </c>
      <c r="G736">
        <f>RTD("tos.rtd", , "OPEN_INT", ".VT201120P86")</f>
        <v>0</v>
      </c>
      <c r="H736">
        <f>RTD("tos.rtd", , "BID", ".VT201120P86")</f>
        <v>0.95</v>
      </c>
      <c r="I736">
        <f>RTD("tos.rtd", , "ASK", ".VT201120P86")</f>
        <v>1.3</v>
      </c>
      <c r="J736">
        <f>RTD("tos.rtd", , "HIGH", ".VT201120P86")</f>
        <v>0</v>
      </c>
      <c r="K736">
        <f>RTD("tos.rtd", , "LOW", ".VT201120P86")</f>
        <v>0</v>
      </c>
      <c r="L736">
        <f>RTD("tos.rtd", , "OPEN", ".VT201120P86")</f>
        <v>0</v>
      </c>
      <c r="M736" t="str">
        <f>RTD("tos.rtd", , "DELTA", ".VT201120P86")</f>
        <v>N/A</v>
      </c>
      <c r="N736" t="str">
        <f>RTD("tos.rtd", , "GAMMA", ".VT201120P86")</f>
        <v>N/A</v>
      </c>
      <c r="O736" t="str">
        <f>RTD("tos.rtd", , "THETA", ".VT201120P86")</f>
        <v>N/A</v>
      </c>
      <c r="P736" t="str">
        <f>RTD("tos.rtd", , "VEGA", ".VT201120P86")</f>
        <v>N/A</v>
      </c>
      <c r="Q736" t="str">
        <f>RTD("tos.rtd", , "RHO", ".VT201120P86")</f>
        <v>N/A</v>
      </c>
      <c r="R736" t="str">
        <f>RTD("tos.rtd", , "INTRINSIC", ".VT201120P86")</f>
        <v>N/A</v>
      </c>
      <c r="S736" t="str">
        <f>RTD("tos.rtd", , "EXTRINSIC", ".VT201120P86")</f>
        <v>N/A</v>
      </c>
      <c r="T736" t="str">
        <f>RTD("tos.rtd", , "PROB_OF_EXPIRING", ".VT201120P86")</f>
        <v>N/A</v>
      </c>
      <c r="U736" t="str">
        <f>RTD("tos.rtd", , "PROB_OTM", ".VT201120P86")</f>
        <v>N/A</v>
      </c>
      <c r="V736" t="str">
        <f>RTD("tos.rtd", , "PROB_OF_TOUCHING", ".VT201120P86")</f>
        <v>N/A</v>
      </c>
      <c r="W736" t="str">
        <f>RTD("tos.rtd", , "STRIKE", ".VT201120P86")</f>
        <v>N/A</v>
      </c>
    </row>
    <row r="737" spans="1:23" x14ac:dyDescent="0.45">
      <c r="A737" t="s">
        <v>758</v>
      </c>
      <c r="B737" t="str">
        <f>RTD("tos.rtd", , "DESCRIPTION", ".VT201120C87")</f>
        <v>N/A</v>
      </c>
      <c r="C737" t="str">
        <f>RTD("tos.rtd", , "PUT_CALL_RATIO", ".VT201120C87")</f>
        <v>N/A</v>
      </c>
      <c r="D737" t="str">
        <f>RTD("tos.rtd", , "IMPL_VOL", ".VT201120C87")</f>
        <v>N/A</v>
      </c>
      <c r="E737">
        <f>RTD("tos.rtd", , "LAST", ".VT201120C87")</f>
        <v>0.95</v>
      </c>
      <c r="F737">
        <f>RTD("tos.rtd", , "VOLUME", ".VT201120C87")</f>
        <v>0</v>
      </c>
      <c r="G737">
        <f>RTD("tos.rtd", , "OPEN_INT", ".VT201120C87")</f>
        <v>45</v>
      </c>
      <c r="H737">
        <f>RTD("tos.rtd", , "BID", ".VT201120C87")</f>
        <v>0.35</v>
      </c>
      <c r="I737">
        <f>RTD("tos.rtd", , "ASK", ".VT201120C87")</f>
        <v>0.7</v>
      </c>
      <c r="J737">
        <f>RTD("tos.rtd", , "HIGH", ".VT201120C87")</f>
        <v>0</v>
      </c>
      <c r="K737">
        <f>RTD("tos.rtd", , "LOW", ".VT201120C87")</f>
        <v>0</v>
      </c>
      <c r="L737">
        <f>RTD("tos.rtd", , "OPEN", ".VT201120C87")</f>
        <v>0</v>
      </c>
      <c r="M737" t="str">
        <f>RTD("tos.rtd", , "DELTA", ".VT201120C87")</f>
        <v>N/A</v>
      </c>
      <c r="N737" t="str">
        <f>RTD("tos.rtd", , "GAMMA", ".VT201120C87")</f>
        <v>N/A</v>
      </c>
      <c r="O737" t="str">
        <f>RTD("tos.rtd", , "THETA", ".VT201120C87")</f>
        <v>N/A</v>
      </c>
      <c r="P737" t="str">
        <f>RTD("tos.rtd", , "VEGA", ".VT201120C87")</f>
        <v>N/A</v>
      </c>
      <c r="Q737" t="str">
        <f>RTD("tos.rtd", , "RHO", ".VT201120C87")</f>
        <v>N/A</v>
      </c>
      <c r="R737" t="str">
        <f>RTD("tos.rtd", , "INTRINSIC", ".VT201120C87")</f>
        <v>N/A</v>
      </c>
      <c r="S737" t="str">
        <f>RTD("tos.rtd", , "EXTRINSIC", ".VT201120C87")</f>
        <v>N/A</v>
      </c>
      <c r="T737" t="str">
        <f>RTD("tos.rtd", , "PROB_OF_EXPIRING", ".VT201120C87")</f>
        <v>N/A</v>
      </c>
      <c r="U737" t="str">
        <f>RTD("tos.rtd", , "PROB_OTM", ".VT201120C87")</f>
        <v>N/A</v>
      </c>
      <c r="V737" t="str">
        <f>RTD("tos.rtd", , "PROB_OF_TOUCHING", ".VT201120C87")</f>
        <v>N/A</v>
      </c>
      <c r="W737" t="str">
        <f>RTD("tos.rtd", , "STRIKE", ".VT201120C87")</f>
        <v>N/A</v>
      </c>
    </row>
    <row r="738" spans="1:23" x14ac:dyDescent="0.45">
      <c r="A738" t="s">
        <v>759</v>
      </c>
      <c r="B738" t="str">
        <f>RTD("tos.rtd", , "DESCRIPTION", ".VT201120P87")</f>
        <v>N/A</v>
      </c>
      <c r="C738" t="str">
        <f>RTD("tos.rtd", , "PUT_CALL_RATIO", ".VT201120P87")</f>
        <v>N/A</v>
      </c>
      <c r="D738" t="str">
        <f>RTD("tos.rtd", , "IMPL_VOL", ".VT201120P87")</f>
        <v>N/A</v>
      </c>
      <c r="E738">
        <f>RTD("tos.rtd", , "LAST", ".VT201120P87")</f>
        <v>0</v>
      </c>
      <c r="F738">
        <f>RTD("tos.rtd", , "VOLUME", ".VT201120P87")</f>
        <v>0</v>
      </c>
      <c r="G738">
        <f>RTD("tos.rtd", , "OPEN_INT", ".VT201120P87")</f>
        <v>0</v>
      </c>
      <c r="H738">
        <f>RTD("tos.rtd", , "BID", ".VT201120P87")</f>
        <v>1.55</v>
      </c>
      <c r="I738">
        <f>RTD("tos.rtd", , "ASK", ".VT201120P87")</f>
        <v>1.8</v>
      </c>
      <c r="J738">
        <f>RTD("tos.rtd", , "HIGH", ".VT201120P87")</f>
        <v>0</v>
      </c>
      <c r="K738">
        <f>RTD("tos.rtd", , "LOW", ".VT201120P87")</f>
        <v>0</v>
      </c>
      <c r="L738">
        <f>RTD("tos.rtd", , "OPEN", ".VT201120P87")</f>
        <v>0</v>
      </c>
      <c r="M738" t="str">
        <f>RTD("tos.rtd", , "DELTA", ".VT201120P87")</f>
        <v>N/A</v>
      </c>
      <c r="N738" t="str">
        <f>RTD("tos.rtd", , "GAMMA", ".VT201120P87")</f>
        <v>N/A</v>
      </c>
      <c r="O738" t="str">
        <f>RTD("tos.rtd", , "THETA", ".VT201120P87")</f>
        <v>N/A</v>
      </c>
      <c r="P738" t="str">
        <f>RTD("tos.rtd", , "VEGA", ".VT201120P87")</f>
        <v>N/A</v>
      </c>
      <c r="Q738" t="str">
        <f>RTD("tos.rtd", , "RHO", ".VT201120P87")</f>
        <v>N/A</v>
      </c>
      <c r="R738" t="str">
        <f>RTD("tos.rtd", , "INTRINSIC", ".VT201120P87")</f>
        <v>N/A</v>
      </c>
      <c r="S738" t="str">
        <f>RTD("tos.rtd", , "EXTRINSIC", ".VT201120P87")</f>
        <v>N/A</v>
      </c>
      <c r="T738" t="str">
        <f>RTD("tos.rtd", , "PROB_OF_EXPIRING", ".VT201120P87")</f>
        <v>N/A</v>
      </c>
      <c r="U738" t="str">
        <f>RTD("tos.rtd", , "PROB_OTM", ".VT201120P87")</f>
        <v>N/A</v>
      </c>
      <c r="V738" t="str">
        <f>RTD("tos.rtd", , "PROB_OF_TOUCHING", ".VT201120P87")</f>
        <v>N/A</v>
      </c>
      <c r="W738" t="str">
        <f>RTD("tos.rtd", , "STRIKE", ".VT201120P87")</f>
        <v>N/A</v>
      </c>
    </row>
    <row r="739" spans="1:23" x14ac:dyDescent="0.45">
      <c r="A739" t="s">
        <v>760</v>
      </c>
      <c r="B739" t="str">
        <f>RTD("tos.rtd", , "DESCRIPTION", "VTI")</f>
        <v>N/A</v>
      </c>
      <c r="C739">
        <f>RTD("tos.rtd", , "PUT_CALL_RATIO", "VTI")</f>
        <v>0.57499999999999996</v>
      </c>
      <c r="D739" t="str">
        <f>RTD("tos.rtd", , "IMPL_VOL", "VTI")</f>
        <v>24.94%</v>
      </c>
      <c r="E739">
        <f>RTD("tos.rtd", , "LAST", "VTI")</f>
        <v>180.76</v>
      </c>
      <c r="F739">
        <f>RTD("tos.rtd", , "VOLUME", "VTI")</f>
        <v>3325799</v>
      </c>
      <c r="G739">
        <f>RTD("tos.rtd", , "OPEN_INT", "VTI")</f>
        <v>0</v>
      </c>
      <c r="H739">
        <f>RTD("tos.rtd", , "BID", "VTI")</f>
        <v>179.9</v>
      </c>
      <c r="I739">
        <f>RTD("tos.rtd", , "ASK", "VTI")</f>
        <v>181.71</v>
      </c>
      <c r="J739">
        <f>RTD("tos.rtd", , "HIGH", "VTI")</f>
        <v>182.40440000000001</v>
      </c>
      <c r="K739">
        <f>RTD("tos.rtd", , "LOW", "VTI")</f>
        <v>179.7</v>
      </c>
      <c r="L739">
        <f>RTD("tos.rtd", , "OPEN", "VTI")</f>
        <v>181.95</v>
      </c>
      <c r="M739">
        <f>RTD("tos.rtd", , "DELTA", "VTI")</f>
        <v>1</v>
      </c>
      <c r="N739">
        <f>RTD("tos.rtd", , "GAMMA", "VTI")</f>
        <v>0</v>
      </c>
      <c r="O739">
        <f>RTD("tos.rtd", , "THETA", "VTI")</f>
        <v>0</v>
      </c>
      <c r="P739">
        <f>RTD("tos.rtd", , "VEGA", "VTI")</f>
        <v>0</v>
      </c>
      <c r="Q739">
        <f>RTD("tos.rtd", , "RHO", "VTI")</f>
        <v>0</v>
      </c>
      <c r="R739" t="str">
        <f>RTD("tos.rtd", , "INTRINSIC", "VTI")</f>
        <v>N/A</v>
      </c>
      <c r="S739" t="str">
        <f>RTD("tos.rtd", , "EXTRINSIC", "VTI")</f>
        <v>N/A</v>
      </c>
      <c r="T739" t="str">
        <f>RTD("tos.rtd", , "PROB_OF_EXPIRING", "VTI")</f>
        <v>N/A</v>
      </c>
      <c r="U739" t="str">
        <f>RTD("tos.rtd", , "PROB_OTM", "VTI")</f>
        <v>N/A</v>
      </c>
      <c r="V739" t="str">
        <f>RTD("tos.rtd", , "PROB_OF_TOUCHING", "VTI")</f>
        <v>N/A</v>
      </c>
      <c r="W739" t="str">
        <f>RTD("tos.rtd", , "STRIKE", "VTI")</f>
        <v>N/A</v>
      </c>
    </row>
    <row r="740" spans="1:23" x14ac:dyDescent="0.45">
      <c r="A740" t="s">
        <v>761</v>
      </c>
      <c r="B740" t="str">
        <f>RTD("tos.rtd", , "DESCRIPTION", ".VTI201120C181")</f>
        <v>N/A</v>
      </c>
      <c r="C740" t="str">
        <f>RTD("tos.rtd", , "PUT_CALL_RATIO", ".VTI201120C181")</f>
        <v>N/A</v>
      </c>
      <c r="D740" t="str">
        <f>RTD("tos.rtd", , "IMPL_VOL", ".VTI201120C181")</f>
        <v>N/A</v>
      </c>
      <c r="E740" t="str">
        <f>RTD("tos.rtd", , "LAST", ".VTI201120C181")</f>
        <v>N/A</v>
      </c>
      <c r="F740" t="str">
        <f>RTD("tos.rtd", , "VOLUME", ".VTI201120C181")</f>
        <v>N/A</v>
      </c>
      <c r="G740" t="str">
        <f>RTD("tos.rtd", , "OPEN_INT", ".VTI201120C181")</f>
        <v>N/A</v>
      </c>
      <c r="H740" t="str">
        <f>RTD("tos.rtd", , "BID", ".VTI201120C181")</f>
        <v>N/A</v>
      </c>
      <c r="I740" t="str">
        <f>RTD("tos.rtd", , "ASK", ".VTI201120C181")</f>
        <v>N/A</v>
      </c>
      <c r="J740" t="str">
        <f>RTD("tos.rtd", , "HIGH", ".VTI201120C181")</f>
        <v>N/A</v>
      </c>
      <c r="K740" t="str">
        <f>RTD("tos.rtd", , "LOW", ".VTI201120C181")</f>
        <v>N/A</v>
      </c>
      <c r="L740" t="str">
        <f>RTD("tos.rtd", , "OPEN", ".VTI201120C181")</f>
        <v>N/A</v>
      </c>
      <c r="M740" t="str">
        <f>RTD("tos.rtd", , "DELTA", ".VTI201120C181")</f>
        <v>N/A</v>
      </c>
      <c r="N740" t="str">
        <f>RTD("tos.rtd", , "GAMMA", ".VTI201120C181")</f>
        <v>N/A</v>
      </c>
      <c r="O740" t="str">
        <f>RTD("tos.rtd", , "THETA", ".VTI201120C181")</f>
        <v>N/A</v>
      </c>
      <c r="P740" t="str">
        <f>RTD("tos.rtd", , "VEGA", ".VTI201120C181")</f>
        <v>N/A</v>
      </c>
      <c r="Q740" t="str">
        <f>RTD("tos.rtd", , "RHO", ".VTI201120C181")</f>
        <v>N/A</v>
      </c>
      <c r="R740" t="str">
        <f>RTD("tos.rtd", , "INTRINSIC", ".VTI201120C181")</f>
        <v>N/A</v>
      </c>
      <c r="S740" t="str">
        <f>RTD("tos.rtd", , "EXTRINSIC", ".VTI201120C181")</f>
        <v>N/A</v>
      </c>
      <c r="T740" t="str">
        <f>RTD("tos.rtd", , "PROB_OF_EXPIRING", ".VTI201120C181")</f>
        <v>N/A</v>
      </c>
      <c r="U740" t="str">
        <f>RTD("tos.rtd", , "PROB_OTM", ".VTI201120C181")</f>
        <v>N/A</v>
      </c>
      <c r="V740" t="str">
        <f>RTD("tos.rtd", , "PROB_OF_TOUCHING", ".VTI201120C181")</f>
        <v>N/A</v>
      </c>
      <c r="W740" t="str">
        <f>RTD("tos.rtd", , "STRIKE", ".VTI201120C181")</f>
        <v>N/A</v>
      </c>
    </row>
    <row r="741" spans="1:23" x14ac:dyDescent="0.45">
      <c r="A741" t="s">
        <v>762</v>
      </c>
      <c r="B741" t="str">
        <f>RTD("tos.rtd", , "DESCRIPTION", ".VTI201120P181")</f>
        <v>N/A</v>
      </c>
      <c r="C741" t="str">
        <f>RTD("tos.rtd", , "PUT_CALL_RATIO", ".VTI201120P181")</f>
        <v>N/A</v>
      </c>
      <c r="D741" t="str">
        <f>RTD("tos.rtd", , "IMPL_VOL", ".VTI201120P181")</f>
        <v>N/A</v>
      </c>
      <c r="E741" t="str">
        <f>RTD("tos.rtd", , "LAST", ".VTI201120P181")</f>
        <v>N/A</v>
      </c>
      <c r="F741" t="str">
        <f>RTD("tos.rtd", , "VOLUME", ".VTI201120P181")</f>
        <v>N/A</v>
      </c>
      <c r="G741" t="str">
        <f>RTD("tos.rtd", , "OPEN_INT", ".VTI201120P181")</f>
        <v>N/A</v>
      </c>
      <c r="H741" t="str">
        <f>RTD("tos.rtd", , "BID", ".VTI201120P181")</f>
        <v>N/A</v>
      </c>
      <c r="I741" t="str">
        <f>RTD("tos.rtd", , "ASK", ".VTI201120P181")</f>
        <v>N/A</v>
      </c>
      <c r="J741" t="str">
        <f>RTD("tos.rtd", , "HIGH", ".VTI201120P181")</f>
        <v>N/A</v>
      </c>
      <c r="K741" t="str">
        <f>RTD("tos.rtd", , "LOW", ".VTI201120P181")</f>
        <v>N/A</v>
      </c>
      <c r="L741" t="str">
        <f>RTD("tos.rtd", , "OPEN", ".VTI201120P181")</f>
        <v>N/A</v>
      </c>
      <c r="M741" t="str">
        <f>RTD("tos.rtd", , "DELTA", ".VTI201120P181")</f>
        <v>N/A</v>
      </c>
      <c r="N741" t="str">
        <f>RTD("tos.rtd", , "GAMMA", ".VTI201120P181")</f>
        <v>N/A</v>
      </c>
      <c r="O741" t="str">
        <f>RTD("tos.rtd", , "THETA", ".VTI201120P181")</f>
        <v>N/A</v>
      </c>
      <c r="P741" t="str">
        <f>RTD("tos.rtd", , "VEGA", ".VTI201120P181")</f>
        <v>N/A</v>
      </c>
      <c r="Q741" t="str">
        <f>RTD("tos.rtd", , "RHO", ".VTI201120P181")</f>
        <v>N/A</v>
      </c>
      <c r="R741" t="str">
        <f>RTD("tos.rtd", , "INTRINSIC", ".VTI201120P181")</f>
        <v>N/A</v>
      </c>
      <c r="S741" t="str">
        <f>RTD("tos.rtd", , "EXTRINSIC", ".VTI201120P181")</f>
        <v>N/A</v>
      </c>
      <c r="T741" t="str">
        <f>RTD("tos.rtd", , "PROB_OF_EXPIRING", ".VTI201120P181")</f>
        <v>N/A</v>
      </c>
      <c r="U741" t="str">
        <f>RTD("tos.rtd", , "PROB_OTM", ".VTI201120P181")</f>
        <v>N/A</v>
      </c>
      <c r="V741" t="str">
        <f>RTD("tos.rtd", , "PROB_OF_TOUCHING", ".VTI201120P181")</f>
        <v>N/A</v>
      </c>
      <c r="W741" t="str">
        <f>RTD("tos.rtd", , "STRIKE", ".VTI201120P181")</f>
        <v>N/A</v>
      </c>
    </row>
    <row r="742" spans="1:23" x14ac:dyDescent="0.45">
      <c r="A742" t="s">
        <v>763</v>
      </c>
      <c r="B742" t="str">
        <f>RTD("tos.rtd", , "DESCRIPTION", ".VTI201120C182")</f>
        <v>N/A</v>
      </c>
      <c r="C742" t="str">
        <f>RTD("tos.rtd", , "PUT_CALL_RATIO", ".VTI201120C182")</f>
        <v>N/A</v>
      </c>
      <c r="D742" t="str">
        <f>RTD("tos.rtd", , "IMPL_VOL", ".VTI201120C182")</f>
        <v>N/A</v>
      </c>
      <c r="E742" t="str">
        <f>RTD("tos.rtd", , "LAST", ".VTI201120C182")</f>
        <v>N/A</v>
      </c>
      <c r="F742" t="str">
        <f>RTD("tos.rtd", , "VOLUME", ".VTI201120C182")</f>
        <v>N/A</v>
      </c>
      <c r="G742" t="str">
        <f>RTD("tos.rtd", , "OPEN_INT", ".VTI201120C182")</f>
        <v>N/A</v>
      </c>
      <c r="H742" t="str">
        <f>RTD("tos.rtd", , "BID", ".VTI201120C182")</f>
        <v>N/A</v>
      </c>
      <c r="I742" t="str">
        <f>RTD("tos.rtd", , "ASK", ".VTI201120C182")</f>
        <v>N/A</v>
      </c>
      <c r="J742" t="str">
        <f>RTD("tos.rtd", , "HIGH", ".VTI201120C182")</f>
        <v>N/A</v>
      </c>
      <c r="K742" t="str">
        <f>RTD("tos.rtd", , "LOW", ".VTI201120C182")</f>
        <v>N/A</v>
      </c>
      <c r="L742" t="str">
        <f>RTD("tos.rtd", , "OPEN", ".VTI201120C182")</f>
        <v>N/A</v>
      </c>
      <c r="M742" t="str">
        <f>RTD("tos.rtd", , "DELTA", ".VTI201120C182")</f>
        <v>N/A</v>
      </c>
      <c r="N742" t="str">
        <f>RTD("tos.rtd", , "GAMMA", ".VTI201120C182")</f>
        <v>N/A</v>
      </c>
      <c r="O742" t="str">
        <f>RTD("tos.rtd", , "THETA", ".VTI201120C182")</f>
        <v>N/A</v>
      </c>
      <c r="P742" t="str">
        <f>RTD("tos.rtd", , "VEGA", ".VTI201120C182")</f>
        <v>N/A</v>
      </c>
      <c r="Q742" t="str">
        <f>RTD("tos.rtd", , "RHO", ".VTI201120C182")</f>
        <v>N/A</v>
      </c>
      <c r="R742" t="str">
        <f>RTD("tos.rtd", , "INTRINSIC", ".VTI201120C182")</f>
        <v>N/A</v>
      </c>
      <c r="S742" t="str">
        <f>RTD("tos.rtd", , "EXTRINSIC", ".VTI201120C182")</f>
        <v>N/A</v>
      </c>
      <c r="T742" t="str">
        <f>RTD("tos.rtd", , "PROB_OF_EXPIRING", ".VTI201120C182")</f>
        <v>N/A</v>
      </c>
      <c r="U742" t="str">
        <f>RTD("tos.rtd", , "PROB_OTM", ".VTI201120C182")</f>
        <v>N/A</v>
      </c>
      <c r="V742" t="str">
        <f>RTD("tos.rtd", , "PROB_OF_TOUCHING", ".VTI201120C182")</f>
        <v>N/A</v>
      </c>
      <c r="W742" t="str">
        <f>RTD("tos.rtd", , "STRIKE", ".VTI201120C182")</f>
        <v>N/A</v>
      </c>
    </row>
    <row r="743" spans="1:23" x14ac:dyDescent="0.45">
      <c r="A743" t="s">
        <v>764</v>
      </c>
      <c r="B743" t="str">
        <f>RTD("tos.rtd", , "DESCRIPTION", ".VTI201120P182")</f>
        <v>N/A</v>
      </c>
      <c r="C743" t="str">
        <f>RTD("tos.rtd", , "PUT_CALL_RATIO", ".VTI201120P182")</f>
        <v>N/A</v>
      </c>
      <c r="D743" t="str">
        <f>RTD("tos.rtd", , "IMPL_VOL", ".VTI201120P182")</f>
        <v>N/A</v>
      </c>
      <c r="E743" t="str">
        <f>RTD("tos.rtd", , "LAST", ".VTI201120P182")</f>
        <v>N/A</v>
      </c>
      <c r="F743" t="str">
        <f>RTD("tos.rtd", , "VOLUME", ".VTI201120P182")</f>
        <v>N/A</v>
      </c>
      <c r="G743" t="str">
        <f>RTD("tos.rtd", , "OPEN_INT", ".VTI201120P182")</f>
        <v>N/A</v>
      </c>
      <c r="H743" t="str">
        <f>RTD("tos.rtd", , "BID", ".VTI201120P182")</f>
        <v>N/A</v>
      </c>
      <c r="I743" t="str">
        <f>RTD("tos.rtd", , "ASK", ".VTI201120P182")</f>
        <v>N/A</v>
      </c>
      <c r="J743" t="str">
        <f>RTD("tos.rtd", , "HIGH", ".VTI201120P182")</f>
        <v>N/A</v>
      </c>
      <c r="K743" t="str">
        <f>RTD("tos.rtd", , "LOW", ".VTI201120P182")</f>
        <v>N/A</v>
      </c>
      <c r="L743" t="str">
        <f>RTD("tos.rtd", , "OPEN", ".VTI201120P182")</f>
        <v>N/A</v>
      </c>
      <c r="M743" t="str">
        <f>RTD("tos.rtd", , "DELTA", ".VTI201120P182")</f>
        <v>N/A</v>
      </c>
      <c r="N743" t="str">
        <f>RTD("tos.rtd", , "GAMMA", ".VTI201120P182")</f>
        <v>N/A</v>
      </c>
      <c r="O743" t="str">
        <f>RTD("tos.rtd", , "THETA", ".VTI201120P182")</f>
        <v>N/A</v>
      </c>
      <c r="P743" t="str">
        <f>RTD("tos.rtd", , "VEGA", ".VTI201120P182")</f>
        <v>N/A</v>
      </c>
      <c r="Q743" t="str">
        <f>RTD("tos.rtd", , "RHO", ".VTI201120P182")</f>
        <v>N/A</v>
      </c>
      <c r="R743" t="str">
        <f>RTD("tos.rtd", , "INTRINSIC", ".VTI201120P182")</f>
        <v>N/A</v>
      </c>
      <c r="S743" t="str">
        <f>RTD("tos.rtd", , "EXTRINSIC", ".VTI201120P182")</f>
        <v>N/A</v>
      </c>
      <c r="T743" t="str">
        <f>RTD("tos.rtd", , "PROB_OF_EXPIRING", ".VTI201120P182")</f>
        <v>N/A</v>
      </c>
      <c r="U743" t="str">
        <f>RTD("tos.rtd", , "PROB_OTM", ".VTI201120P182")</f>
        <v>N/A</v>
      </c>
      <c r="V743" t="str">
        <f>RTD("tos.rtd", , "PROB_OF_TOUCHING", ".VTI201120P182")</f>
        <v>N/A</v>
      </c>
      <c r="W743" t="str">
        <f>RTD("tos.rtd", , "STRIKE", ".VTI201120P182")</f>
        <v>N/A</v>
      </c>
    </row>
    <row r="744" spans="1:23" x14ac:dyDescent="0.45">
      <c r="A744" t="s">
        <v>765</v>
      </c>
      <c r="B744" t="str">
        <f>RTD("tos.rtd", , "DESCRIPTION", ".VTI201120C183")</f>
        <v>N/A</v>
      </c>
      <c r="C744" t="str">
        <f>RTD("tos.rtd", , "PUT_CALL_RATIO", ".VTI201120C183")</f>
        <v>N/A</v>
      </c>
      <c r="D744" t="str">
        <f>RTD("tos.rtd", , "IMPL_VOL", ".VTI201120C183")</f>
        <v>N/A</v>
      </c>
      <c r="E744" t="str">
        <f>RTD("tos.rtd", , "LAST", ".VTI201120C183")</f>
        <v>N/A</v>
      </c>
      <c r="F744" t="str">
        <f>RTD("tos.rtd", , "VOLUME", ".VTI201120C183")</f>
        <v>N/A</v>
      </c>
      <c r="G744" t="str">
        <f>RTD("tos.rtd", , "OPEN_INT", ".VTI201120C183")</f>
        <v>N/A</v>
      </c>
      <c r="H744" t="str">
        <f>RTD("tos.rtd", , "BID", ".VTI201120C183")</f>
        <v>N/A</v>
      </c>
      <c r="I744" t="str">
        <f>RTD("tos.rtd", , "ASK", ".VTI201120C183")</f>
        <v>N/A</v>
      </c>
      <c r="J744" t="str">
        <f>RTD("tos.rtd", , "HIGH", ".VTI201120C183")</f>
        <v>N/A</v>
      </c>
      <c r="K744" t="str">
        <f>RTD("tos.rtd", , "LOW", ".VTI201120C183")</f>
        <v>N/A</v>
      </c>
      <c r="L744" t="str">
        <f>RTD("tos.rtd", , "OPEN", ".VTI201120C183")</f>
        <v>N/A</v>
      </c>
      <c r="M744" t="str">
        <f>RTD("tos.rtd", , "DELTA", ".VTI201120C183")</f>
        <v>N/A</v>
      </c>
      <c r="N744" t="str">
        <f>RTD("tos.rtd", , "GAMMA", ".VTI201120C183")</f>
        <v>N/A</v>
      </c>
      <c r="O744" t="str">
        <f>RTD("tos.rtd", , "THETA", ".VTI201120C183")</f>
        <v>N/A</v>
      </c>
      <c r="P744" t="str">
        <f>RTD("tos.rtd", , "VEGA", ".VTI201120C183")</f>
        <v>N/A</v>
      </c>
      <c r="Q744" t="str">
        <f>RTD("tos.rtd", , "RHO", ".VTI201120C183")</f>
        <v>N/A</v>
      </c>
      <c r="R744" t="str">
        <f>RTD("tos.rtd", , "INTRINSIC", ".VTI201120C183")</f>
        <v>N/A</v>
      </c>
      <c r="S744" t="str">
        <f>RTD("tos.rtd", , "EXTRINSIC", ".VTI201120C183")</f>
        <v>N/A</v>
      </c>
      <c r="T744" t="str">
        <f>RTD("tos.rtd", , "PROB_OF_EXPIRING", ".VTI201120C183")</f>
        <v>N/A</v>
      </c>
      <c r="U744" t="str">
        <f>RTD("tos.rtd", , "PROB_OTM", ".VTI201120C183")</f>
        <v>N/A</v>
      </c>
      <c r="V744" t="str">
        <f>RTD("tos.rtd", , "PROB_OF_TOUCHING", ".VTI201120C183")</f>
        <v>N/A</v>
      </c>
      <c r="W744" t="str">
        <f>RTD("tos.rtd", , "STRIKE", ".VTI201120C183")</f>
        <v>N/A</v>
      </c>
    </row>
    <row r="745" spans="1:23" x14ac:dyDescent="0.45">
      <c r="A745" t="s">
        <v>766</v>
      </c>
      <c r="B745" t="str">
        <f>RTD("tos.rtd", , "DESCRIPTION", ".VTI201120P183")</f>
        <v>N/A</v>
      </c>
      <c r="C745" t="str">
        <f>RTD("tos.rtd", , "PUT_CALL_RATIO", ".VTI201120P183")</f>
        <v>N/A</v>
      </c>
      <c r="D745" t="str">
        <f>RTD("tos.rtd", , "IMPL_VOL", ".VTI201120P183")</f>
        <v>N/A</v>
      </c>
      <c r="E745" t="str">
        <f>RTD("tos.rtd", , "LAST", ".VTI201120P183")</f>
        <v>N/A</v>
      </c>
      <c r="F745" t="str">
        <f>RTD("tos.rtd", , "VOLUME", ".VTI201120P183")</f>
        <v>N/A</v>
      </c>
      <c r="G745" t="str">
        <f>RTD("tos.rtd", , "OPEN_INT", ".VTI201120P183")</f>
        <v>N/A</v>
      </c>
      <c r="H745" t="str">
        <f>RTD("tos.rtd", , "BID", ".VTI201120P183")</f>
        <v>N/A</v>
      </c>
      <c r="I745" t="str">
        <f>RTD("tos.rtd", , "ASK", ".VTI201120P183")</f>
        <v>N/A</v>
      </c>
      <c r="J745" t="str">
        <f>RTD("tos.rtd", , "HIGH", ".VTI201120P183")</f>
        <v>N/A</v>
      </c>
      <c r="K745" t="str">
        <f>RTD("tos.rtd", , "LOW", ".VTI201120P183")</f>
        <v>N/A</v>
      </c>
      <c r="L745" t="str">
        <f>RTD("tos.rtd", , "OPEN", ".VTI201120P183")</f>
        <v>N/A</v>
      </c>
      <c r="M745" t="str">
        <f>RTD("tos.rtd", , "DELTA", ".VTI201120P183")</f>
        <v>N/A</v>
      </c>
      <c r="N745" t="str">
        <f>RTD("tos.rtd", , "GAMMA", ".VTI201120P183")</f>
        <v>N/A</v>
      </c>
      <c r="O745" t="str">
        <f>RTD("tos.rtd", , "THETA", ".VTI201120P183")</f>
        <v>N/A</v>
      </c>
      <c r="P745" t="str">
        <f>RTD("tos.rtd", , "VEGA", ".VTI201120P183")</f>
        <v>N/A</v>
      </c>
      <c r="Q745" t="str">
        <f>RTD("tos.rtd", , "RHO", ".VTI201120P183")</f>
        <v>N/A</v>
      </c>
      <c r="R745" t="str">
        <f>RTD("tos.rtd", , "INTRINSIC", ".VTI201120P183")</f>
        <v>N/A</v>
      </c>
      <c r="S745" t="str">
        <f>RTD("tos.rtd", , "EXTRINSIC", ".VTI201120P183")</f>
        <v>N/A</v>
      </c>
      <c r="T745" t="str">
        <f>RTD("tos.rtd", , "PROB_OF_EXPIRING", ".VTI201120P183")</f>
        <v>N/A</v>
      </c>
      <c r="U745" t="str">
        <f>RTD("tos.rtd", , "PROB_OTM", ".VTI201120P183")</f>
        <v>N/A</v>
      </c>
      <c r="V745" t="str">
        <f>RTD("tos.rtd", , "PROB_OF_TOUCHING", ".VTI201120P183")</f>
        <v>N/A</v>
      </c>
      <c r="W745" t="str">
        <f>RTD("tos.rtd", , "STRIKE", ".VTI201120P183")</f>
        <v>N/A</v>
      </c>
    </row>
    <row r="746" spans="1:23" x14ac:dyDescent="0.45">
      <c r="A746" t="s">
        <v>767</v>
      </c>
      <c r="B746" t="str">
        <f>RTD("tos.rtd", , "DESCRIPTION", ".VTI201120C184")</f>
        <v>N/A</v>
      </c>
      <c r="C746" t="str">
        <f>RTD("tos.rtd", , "PUT_CALL_RATIO", ".VTI201120C184")</f>
        <v>N/A</v>
      </c>
      <c r="D746" t="str">
        <f>RTD("tos.rtd", , "IMPL_VOL", ".VTI201120C184")</f>
        <v>N/A</v>
      </c>
      <c r="E746" t="str">
        <f>RTD("tos.rtd", , "LAST", ".VTI201120C184")</f>
        <v>N/A</v>
      </c>
      <c r="F746" t="str">
        <f>RTD("tos.rtd", , "VOLUME", ".VTI201120C184")</f>
        <v>N/A</v>
      </c>
      <c r="G746" t="str">
        <f>RTD("tos.rtd", , "OPEN_INT", ".VTI201120C184")</f>
        <v>N/A</v>
      </c>
      <c r="H746" t="str">
        <f>RTD("tos.rtd", , "BID", ".VTI201120C184")</f>
        <v>N/A</v>
      </c>
      <c r="I746" t="str">
        <f>RTD("tos.rtd", , "ASK", ".VTI201120C184")</f>
        <v>N/A</v>
      </c>
      <c r="J746" t="str">
        <f>RTD("tos.rtd", , "HIGH", ".VTI201120C184")</f>
        <v>N/A</v>
      </c>
      <c r="K746" t="str">
        <f>RTD("tos.rtd", , "LOW", ".VTI201120C184")</f>
        <v>N/A</v>
      </c>
      <c r="L746" t="str">
        <f>RTD("tos.rtd", , "OPEN", ".VTI201120C184")</f>
        <v>N/A</v>
      </c>
      <c r="M746" t="str">
        <f>RTD("tos.rtd", , "DELTA", ".VTI201120C184")</f>
        <v>N/A</v>
      </c>
      <c r="N746" t="str">
        <f>RTD("tos.rtd", , "GAMMA", ".VTI201120C184")</f>
        <v>N/A</v>
      </c>
      <c r="O746" t="str">
        <f>RTD("tos.rtd", , "THETA", ".VTI201120C184")</f>
        <v>N/A</v>
      </c>
      <c r="P746" t="str">
        <f>RTD("tos.rtd", , "VEGA", ".VTI201120C184")</f>
        <v>N/A</v>
      </c>
      <c r="Q746" t="str">
        <f>RTD("tos.rtd", , "RHO", ".VTI201120C184")</f>
        <v>N/A</v>
      </c>
      <c r="R746" t="str">
        <f>RTD("tos.rtd", , "INTRINSIC", ".VTI201120C184")</f>
        <v>N/A</v>
      </c>
      <c r="S746" t="str">
        <f>RTD("tos.rtd", , "EXTRINSIC", ".VTI201120C184")</f>
        <v>N/A</v>
      </c>
      <c r="T746" t="str">
        <f>RTD("tos.rtd", , "PROB_OF_EXPIRING", ".VTI201120C184")</f>
        <v>N/A</v>
      </c>
      <c r="U746" t="str">
        <f>RTD("tos.rtd", , "PROB_OTM", ".VTI201120C184")</f>
        <v>N/A</v>
      </c>
      <c r="V746" t="str">
        <f>RTD("tos.rtd", , "PROB_OF_TOUCHING", ".VTI201120C184")</f>
        <v>N/A</v>
      </c>
      <c r="W746" t="str">
        <f>RTD("tos.rtd", , "STRIKE", ".VTI201120C184")</f>
        <v>N/A</v>
      </c>
    </row>
    <row r="747" spans="1:23" x14ac:dyDescent="0.45">
      <c r="A747" t="s">
        <v>768</v>
      </c>
      <c r="B747" t="str">
        <f>RTD("tos.rtd", , "DESCRIPTION", ".VTI201120P184")</f>
        <v>N/A</v>
      </c>
      <c r="C747" t="str">
        <f>RTD("tos.rtd", , "PUT_CALL_RATIO", ".VTI201120P184")</f>
        <v>N/A</v>
      </c>
      <c r="D747" t="str">
        <f>RTD("tos.rtd", , "IMPL_VOL", ".VTI201120P184")</f>
        <v>N/A</v>
      </c>
      <c r="E747">
        <f>RTD("tos.rtd", , "LAST", ".VTI201120P184")</f>
        <v>5.5</v>
      </c>
      <c r="F747">
        <f>RTD("tos.rtd", , "VOLUME", ".VTI201120P184")</f>
        <v>0</v>
      </c>
      <c r="G747">
        <f>RTD("tos.rtd", , "OPEN_INT", ".VTI201120P184")</f>
        <v>14</v>
      </c>
      <c r="H747">
        <f>RTD("tos.rtd", , "BID", ".VTI201120P184")</f>
        <v>3.9</v>
      </c>
      <c r="I747">
        <f>RTD("tos.rtd", , "ASK", ".VTI201120P184")</f>
        <v>4.4000000000000004</v>
      </c>
      <c r="J747">
        <f>RTD("tos.rtd", , "HIGH", ".VTI201120P184")</f>
        <v>0</v>
      </c>
      <c r="K747">
        <f>RTD("tos.rtd", , "LOW", ".VTI201120P184")</f>
        <v>0</v>
      </c>
      <c r="L747">
        <f>RTD("tos.rtd", , "OPEN", ".VTI201120P184")</f>
        <v>0</v>
      </c>
      <c r="M747" t="str">
        <f>RTD("tos.rtd", , "DELTA", ".VTI201120P184")</f>
        <v>N/A</v>
      </c>
      <c r="N747" t="str">
        <f>RTD("tos.rtd", , "GAMMA", ".VTI201120P184")</f>
        <v>N/A</v>
      </c>
      <c r="O747" t="str">
        <f>RTD("tos.rtd", , "THETA", ".VTI201120P184")</f>
        <v>N/A</v>
      </c>
      <c r="P747" t="str">
        <f>RTD("tos.rtd", , "VEGA", ".VTI201120P184")</f>
        <v>N/A</v>
      </c>
      <c r="Q747" t="str">
        <f>RTD("tos.rtd", , "RHO", ".VTI201120P184")</f>
        <v>N/A</v>
      </c>
      <c r="R747" t="str">
        <f>RTD("tos.rtd", , "INTRINSIC", ".VTI201120P184")</f>
        <v>N/A</v>
      </c>
      <c r="S747" t="str">
        <f>RTD("tos.rtd", , "EXTRINSIC", ".VTI201120P184")</f>
        <v>N/A</v>
      </c>
      <c r="T747" t="str">
        <f>RTD("tos.rtd", , "PROB_OF_EXPIRING", ".VTI201120P184")</f>
        <v>N/A</v>
      </c>
      <c r="U747" t="str">
        <f>RTD("tos.rtd", , "PROB_OTM", ".VTI201120P184")</f>
        <v>N/A</v>
      </c>
      <c r="V747" t="str">
        <f>RTD("tos.rtd", , "PROB_OF_TOUCHING", ".VTI201120P184")</f>
        <v>N/A</v>
      </c>
      <c r="W747" t="str">
        <f>RTD("tos.rtd", , "STRIKE", ".VTI201120P184")</f>
        <v>N/A</v>
      </c>
    </row>
    <row r="748" spans="1:23" x14ac:dyDescent="0.45">
      <c r="A748" t="s">
        <v>769</v>
      </c>
      <c r="B748" t="str">
        <f>RTD("tos.rtd", , "DESCRIPTION", "VWO")</f>
        <v>N/A</v>
      </c>
      <c r="C748">
        <f>RTD("tos.rtd", , "PUT_CALL_RATIO", "VWO")</f>
        <v>0.63500000000000001</v>
      </c>
      <c r="D748" t="str">
        <f>RTD("tos.rtd", , "IMPL_VOL", "VWO")</f>
        <v>21.15%</v>
      </c>
      <c r="E748">
        <f>RTD("tos.rtd", , "LAST", "VWO")</f>
        <v>46.54</v>
      </c>
      <c r="F748">
        <f>RTD("tos.rtd", , "VOLUME", "VWO")</f>
        <v>9333416</v>
      </c>
      <c r="G748">
        <f>RTD("tos.rtd", , "OPEN_INT", "VWO")</f>
        <v>0</v>
      </c>
      <c r="H748">
        <f>RTD("tos.rtd", , "BID", "VWO")</f>
        <v>46.4</v>
      </c>
      <c r="I748">
        <f>RTD("tos.rtd", , "ASK", "VWO")</f>
        <v>47.19</v>
      </c>
      <c r="J748">
        <f>RTD("tos.rtd", , "HIGH", "VWO")</f>
        <v>47.155799999999999</v>
      </c>
      <c r="K748">
        <f>RTD("tos.rtd", , "LOW", "VWO")</f>
        <v>46.43</v>
      </c>
      <c r="L748">
        <f>RTD("tos.rtd", , "OPEN", "VWO")</f>
        <v>47</v>
      </c>
      <c r="M748">
        <f>RTD("tos.rtd", , "DELTA", "VWO")</f>
        <v>1</v>
      </c>
      <c r="N748">
        <f>RTD("tos.rtd", , "GAMMA", "VWO")</f>
        <v>0</v>
      </c>
      <c r="O748">
        <f>RTD("tos.rtd", , "THETA", "VWO")</f>
        <v>0</v>
      </c>
      <c r="P748">
        <f>RTD("tos.rtd", , "VEGA", "VWO")</f>
        <v>0</v>
      </c>
      <c r="Q748">
        <f>RTD("tos.rtd", , "RHO", "VWO")</f>
        <v>0</v>
      </c>
      <c r="R748" t="str">
        <f>RTD("tos.rtd", , "INTRINSIC", "VWO")</f>
        <v>N/A</v>
      </c>
      <c r="S748" t="str">
        <f>RTD("tos.rtd", , "EXTRINSIC", "VWO")</f>
        <v>N/A</v>
      </c>
      <c r="T748" t="str">
        <f>RTD("tos.rtd", , "PROB_OF_EXPIRING", "VWO")</f>
        <v>N/A</v>
      </c>
      <c r="U748" t="str">
        <f>RTD("tos.rtd", , "PROB_OTM", "VWO")</f>
        <v>N/A</v>
      </c>
      <c r="V748" t="str">
        <f>RTD("tos.rtd", , "PROB_OF_TOUCHING", "VWO")</f>
        <v>N/A</v>
      </c>
      <c r="W748" t="str">
        <f>RTD("tos.rtd", , "STRIKE", "VWO")</f>
        <v>N/A</v>
      </c>
    </row>
    <row r="749" spans="1:23" x14ac:dyDescent="0.45">
      <c r="A749" t="s">
        <v>770</v>
      </c>
      <c r="B749" t="str">
        <f>RTD("tos.rtd", , "DESCRIPTION", ".VWO201120C46.5")</f>
        <v>N/A</v>
      </c>
      <c r="C749" t="str">
        <f>RTD("tos.rtd", , "PUT_CALL_RATIO", ".VWO201120C46.5")</f>
        <v>N/A</v>
      </c>
      <c r="D749" t="str">
        <f>RTD("tos.rtd", , "IMPL_VOL", ".VWO201120C46.5")</f>
        <v>N/A</v>
      </c>
      <c r="E749">
        <f>RTD("tos.rtd", , "LAST", ".VWO201120C46.5")</f>
        <v>0.68</v>
      </c>
      <c r="F749">
        <f>RTD("tos.rtd", , "VOLUME", ".VWO201120C46.5")</f>
        <v>0</v>
      </c>
      <c r="G749">
        <f>RTD("tos.rtd", , "OPEN_INT", ".VWO201120C46.5")</f>
        <v>686</v>
      </c>
      <c r="H749">
        <f>RTD("tos.rtd", , "BID", ".VWO201120C46.5")</f>
        <v>0.45</v>
      </c>
      <c r="I749">
        <f>RTD("tos.rtd", , "ASK", ".VWO201120C46.5")</f>
        <v>0.6</v>
      </c>
      <c r="J749">
        <f>RTD("tos.rtd", , "HIGH", ".VWO201120C46.5")</f>
        <v>0</v>
      </c>
      <c r="K749">
        <f>RTD("tos.rtd", , "LOW", ".VWO201120C46.5")</f>
        <v>0</v>
      </c>
      <c r="L749">
        <f>RTD("tos.rtd", , "OPEN", ".VWO201120C46.5")</f>
        <v>0</v>
      </c>
      <c r="M749" t="str">
        <f>RTD("tos.rtd", , "DELTA", ".VWO201120C46.5")</f>
        <v>N/A</v>
      </c>
      <c r="N749" t="str">
        <f>RTD("tos.rtd", , "GAMMA", ".VWO201120C46.5")</f>
        <v>N/A</v>
      </c>
      <c r="O749" t="str">
        <f>RTD("tos.rtd", , "THETA", ".VWO201120C46.5")</f>
        <v>N/A</v>
      </c>
      <c r="P749" t="str">
        <f>RTD("tos.rtd", , "VEGA", ".VWO201120C46.5")</f>
        <v>N/A</v>
      </c>
      <c r="Q749" t="str">
        <f>RTD("tos.rtd", , "RHO", ".VWO201120C46.5")</f>
        <v>N/A</v>
      </c>
      <c r="R749" t="str">
        <f>RTD("tos.rtd", , "INTRINSIC", ".VWO201120C46.5")</f>
        <v>N/A</v>
      </c>
      <c r="S749" t="str">
        <f>RTD("tos.rtd", , "EXTRINSIC", ".VWO201120C46.5")</f>
        <v>N/A</v>
      </c>
      <c r="T749" t="str">
        <f>RTD("tos.rtd", , "PROB_OF_EXPIRING", ".VWO201120C46.5")</f>
        <v>N/A</v>
      </c>
      <c r="U749" t="str">
        <f>RTD("tos.rtd", , "PROB_OTM", ".VWO201120C46.5")</f>
        <v>N/A</v>
      </c>
      <c r="V749" t="str">
        <f>RTD("tos.rtd", , "PROB_OF_TOUCHING", ".VWO201120C46.5")</f>
        <v>N/A</v>
      </c>
      <c r="W749" t="str">
        <f>RTD("tos.rtd", , "STRIKE", ".VWO201120C46.5")</f>
        <v>N/A</v>
      </c>
    </row>
    <row r="750" spans="1:23" x14ac:dyDescent="0.45">
      <c r="A750" t="s">
        <v>771</v>
      </c>
      <c r="B750" t="str">
        <f>RTD("tos.rtd", , "DESCRIPTION", ".VWO201120P46.5")</f>
        <v>N/A</v>
      </c>
      <c r="C750" t="str">
        <f>RTD("tos.rtd", , "PUT_CALL_RATIO", ".VWO201120P46.5")</f>
        <v>N/A</v>
      </c>
      <c r="D750" t="str">
        <f>RTD("tos.rtd", , "IMPL_VOL", ".VWO201120P46.5")</f>
        <v>N/A</v>
      </c>
      <c r="E750">
        <f>RTD("tos.rtd", , "LAST", ".VWO201120P46.5")</f>
        <v>0.4</v>
      </c>
      <c r="F750">
        <f>RTD("tos.rtd", , "VOLUME", ".VWO201120P46.5")</f>
        <v>0</v>
      </c>
      <c r="G750">
        <f>RTD("tos.rtd", , "OPEN_INT", ".VWO201120P46.5")</f>
        <v>27</v>
      </c>
      <c r="H750">
        <f>RTD("tos.rtd", , "BID", ".VWO201120P46.5")</f>
        <v>0.45</v>
      </c>
      <c r="I750">
        <f>RTD("tos.rtd", , "ASK", ".VWO201120P46.5")</f>
        <v>0.6</v>
      </c>
      <c r="J750">
        <f>RTD("tos.rtd", , "HIGH", ".VWO201120P46.5")</f>
        <v>0</v>
      </c>
      <c r="K750">
        <f>RTD("tos.rtd", , "LOW", ".VWO201120P46.5")</f>
        <v>0</v>
      </c>
      <c r="L750">
        <f>RTD("tos.rtd", , "OPEN", ".VWO201120P46.5")</f>
        <v>0</v>
      </c>
      <c r="M750" t="str">
        <f>RTD("tos.rtd", , "DELTA", ".VWO201120P46.5")</f>
        <v>N/A</v>
      </c>
      <c r="N750" t="str">
        <f>RTD("tos.rtd", , "GAMMA", ".VWO201120P46.5")</f>
        <v>N/A</v>
      </c>
      <c r="O750" t="str">
        <f>RTD("tos.rtd", , "THETA", ".VWO201120P46.5")</f>
        <v>N/A</v>
      </c>
      <c r="P750" t="str">
        <f>RTD("tos.rtd", , "VEGA", ".VWO201120P46.5")</f>
        <v>N/A</v>
      </c>
      <c r="Q750" t="str">
        <f>RTD("tos.rtd", , "RHO", ".VWO201120P46.5")</f>
        <v>N/A</v>
      </c>
      <c r="R750" t="str">
        <f>RTD("tos.rtd", , "INTRINSIC", ".VWO201120P46.5")</f>
        <v>N/A</v>
      </c>
      <c r="S750" t="str">
        <f>RTD("tos.rtd", , "EXTRINSIC", ".VWO201120P46.5")</f>
        <v>N/A</v>
      </c>
      <c r="T750" t="str">
        <f>RTD("tos.rtd", , "PROB_OF_EXPIRING", ".VWO201120P46.5")</f>
        <v>N/A</v>
      </c>
      <c r="U750" t="str">
        <f>RTD("tos.rtd", , "PROB_OTM", ".VWO201120P46.5")</f>
        <v>N/A</v>
      </c>
      <c r="V750" t="str">
        <f>RTD("tos.rtd", , "PROB_OF_TOUCHING", ".VWO201120P46.5")</f>
        <v>N/A</v>
      </c>
      <c r="W750" t="str">
        <f>RTD("tos.rtd", , "STRIKE", ".VWO201120P46.5")</f>
        <v>N/A</v>
      </c>
    </row>
    <row r="751" spans="1:23" x14ac:dyDescent="0.45">
      <c r="A751" t="s">
        <v>772</v>
      </c>
      <c r="B751" t="str">
        <f>RTD("tos.rtd", , "DESCRIPTION", ".VWO201120C47")</f>
        <v>N/A</v>
      </c>
      <c r="C751" t="str">
        <f>RTD("tos.rtd", , "PUT_CALL_RATIO", ".VWO201120C47")</f>
        <v>N/A</v>
      </c>
      <c r="D751" t="str">
        <f>RTD("tos.rtd", , "IMPL_VOL", ".VWO201120C47")</f>
        <v>N/A</v>
      </c>
      <c r="E751" t="str">
        <f>RTD("tos.rtd", , "LAST", ".VWO201120C47")</f>
        <v>N/A</v>
      </c>
      <c r="F751" t="str">
        <f>RTD("tos.rtd", , "VOLUME", ".VWO201120C47")</f>
        <v>N/A</v>
      </c>
      <c r="G751" t="str">
        <f>RTD("tos.rtd", , "OPEN_INT", ".VWO201120C47")</f>
        <v>N/A</v>
      </c>
      <c r="H751" t="str">
        <f>RTD("tos.rtd", , "BID", ".VWO201120C47")</f>
        <v>N/A</v>
      </c>
      <c r="I751" t="str">
        <f>RTD("tos.rtd", , "ASK", ".VWO201120C47")</f>
        <v>N/A</v>
      </c>
      <c r="J751" t="str">
        <f>RTD("tos.rtd", , "HIGH", ".VWO201120C47")</f>
        <v>N/A</v>
      </c>
      <c r="K751" t="str">
        <f>RTD("tos.rtd", , "LOW", ".VWO201120C47")</f>
        <v>N/A</v>
      </c>
      <c r="L751" t="str">
        <f>RTD("tos.rtd", , "OPEN", ".VWO201120C47")</f>
        <v>N/A</v>
      </c>
      <c r="M751" t="str">
        <f>RTD("tos.rtd", , "DELTA", ".VWO201120C47")</f>
        <v>N/A</v>
      </c>
      <c r="N751" t="str">
        <f>RTD("tos.rtd", , "GAMMA", ".VWO201120C47")</f>
        <v>N/A</v>
      </c>
      <c r="O751" t="str">
        <f>RTD("tos.rtd", , "THETA", ".VWO201120C47")</f>
        <v>N/A</v>
      </c>
      <c r="P751" t="str">
        <f>RTD("tos.rtd", , "VEGA", ".VWO201120C47")</f>
        <v>N/A</v>
      </c>
      <c r="Q751" t="str">
        <f>RTD("tos.rtd", , "RHO", ".VWO201120C47")</f>
        <v>N/A</v>
      </c>
      <c r="R751" t="str">
        <f>RTD("tos.rtd", , "INTRINSIC", ".VWO201120C47")</f>
        <v>N/A</v>
      </c>
      <c r="S751" t="str">
        <f>RTD("tos.rtd", , "EXTRINSIC", ".VWO201120C47")</f>
        <v>N/A</v>
      </c>
      <c r="T751" t="str">
        <f>RTD("tos.rtd", , "PROB_OF_EXPIRING", ".VWO201120C47")</f>
        <v>N/A</v>
      </c>
      <c r="U751" t="str">
        <f>RTD("tos.rtd", , "PROB_OTM", ".VWO201120C47")</f>
        <v>N/A</v>
      </c>
      <c r="V751" t="str">
        <f>RTD("tos.rtd", , "PROB_OF_TOUCHING", ".VWO201120C47")</f>
        <v>N/A</v>
      </c>
      <c r="W751" t="str">
        <f>RTD("tos.rtd", , "STRIKE", ".VWO201120C47")</f>
        <v>N/A</v>
      </c>
    </row>
    <row r="752" spans="1:23" x14ac:dyDescent="0.45">
      <c r="A752" t="s">
        <v>773</v>
      </c>
      <c r="B752" t="str">
        <f>RTD("tos.rtd", , "DESCRIPTION", ".VWO201120P47")</f>
        <v>N/A</v>
      </c>
      <c r="C752" t="str">
        <f>RTD("tos.rtd", , "PUT_CALL_RATIO", ".VWO201120P47")</f>
        <v>N/A</v>
      </c>
      <c r="D752" t="str">
        <f>RTD("tos.rtd", , "IMPL_VOL", ".VWO201120P47")</f>
        <v>N/A</v>
      </c>
      <c r="E752" t="str">
        <f>RTD("tos.rtd", , "LAST", ".VWO201120P47")</f>
        <v>N/A</v>
      </c>
      <c r="F752" t="str">
        <f>RTD("tos.rtd", , "VOLUME", ".VWO201120P47")</f>
        <v>N/A</v>
      </c>
      <c r="G752" t="str">
        <f>RTD("tos.rtd", , "OPEN_INT", ".VWO201120P47")</f>
        <v>N/A</v>
      </c>
      <c r="H752" t="str">
        <f>RTD("tos.rtd", , "BID", ".VWO201120P47")</f>
        <v>N/A</v>
      </c>
      <c r="I752" t="str">
        <f>RTD("tos.rtd", , "ASK", ".VWO201120P47")</f>
        <v>N/A</v>
      </c>
      <c r="J752" t="str">
        <f>RTD("tos.rtd", , "HIGH", ".VWO201120P47")</f>
        <v>N/A</v>
      </c>
      <c r="K752" t="str">
        <f>RTD("tos.rtd", , "LOW", ".VWO201120P47")</f>
        <v>N/A</v>
      </c>
      <c r="L752" t="str">
        <f>RTD("tos.rtd", , "OPEN", ".VWO201120P47")</f>
        <v>N/A</v>
      </c>
      <c r="M752" t="str">
        <f>RTD("tos.rtd", , "DELTA", ".VWO201120P47")</f>
        <v>N/A</v>
      </c>
      <c r="N752" t="str">
        <f>RTD("tos.rtd", , "GAMMA", ".VWO201120P47")</f>
        <v>N/A</v>
      </c>
      <c r="O752" t="str">
        <f>RTD("tos.rtd", , "THETA", ".VWO201120P47")</f>
        <v>N/A</v>
      </c>
      <c r="P752" t="str">
        <f>RTD("tos.rtd", , "VEGA", ".VWO201120P47")</f>
        <v>N/A</v>
      </c>
      <c r="Q752" t="str">
        <f>RTD("tos.rtd", , "RHO", ".VWO201120P47")</f>
        <v>N/A</v>
      </c>
      <c r="R752" t="str">
        <f>RTD("tos.rtd", , "INTRINSIC", ".VWO201120P47")</f>
        <v>N/A</v>
      </c>
      <c r="S752" t="str">
        <f>RTD("tos.rtd", , "EXTRINSIC", ".VWO201120P47")</f>
        <v>N/A</v>
      </c>
      <c r="T752" t="str">
        <f>RTD("tos.rtd", , "PROB_OF_EXPIRING", ".VWO201120P47")</f>
        <v>N/A</v>
      </c>
      <c r="U752" t="str">
        <f>RTD("tos.rtd", , "PROB_OTM", ".VWO201120P47")</f>
        <v>N/A</v>
      </c>
      <c r="V752" t="str">
        <f>RTD("tos.rtd", , "PROB_OF_TOUCHING", ".VWO201120P47")</f>
        <v>N/A</v>
      </c>
      <c r="W752" t="str">
        <f>RTD("tos.rtd", , "STRIKE", ".VWO201120P47")</f>
        <v>N/A</v>
      </c>
    </row>
    <row r="753" spans="1:23" x14ac:dyDescent="0.45">
      <c r="A753" t="s">
        <v>774</v>
      </c>
      <c r="B753" t="str">
        <f>RTD("tos.rtd", , "DESCRIPTION", "VXUS")</f>
        <v>N/A</v>
      </c>
      <c r="C753">
        <f>RTD("tos.rtd", , "PUT_CALL_RATIO", "VXUS")</f>
        <v>3.5</v>
      </c>
      <c r="D753" t="str">
        <f>RTD("tos.rtd", , "IMPL_VOL", "VXUS")</f>
        <v>19.01%</v>
      </c>
      <c r="E753">
        <f>RTD("tos.rtd", , "LAST", "VXUS")</f>
        <v>55.79</v>
      </c>
      <c r="F753">
        <f>RTD("tos.rtd", , "VOLUME", "VXUS")</f>
        <v>3027345</v>
      </c>
      <c r="G753">
        <f>RTD("tos.rtd", , "OPEN_INT", "VXUS")</f>
        <v>0</v>
      </c>
      <c r="H753">
        <f>RTD("tos.rtd", , "BID", "VXUS")</f>
        <v>55.5</v>
      </c>
      <c r="I753">
        <f>RTD("tos.rtd", , "ASK", "VXUS")</f>
        <v>57.09</v>
      </c>
      <c r="J753">
        <f>RTD("tos.rtd", , "HIGH", "VXUS")</f>
        <v>56.39</v>
      </c>
      <c r="K753">
        <f>RTD("tos.rtd", , "LOW", "VXUS")</f>
        <v>55.685000000000002</v>
      </c>
      <c r="L753">
        <f>RTD("tos.rtd", , "OPEN", "VXUS")</f>
        <v>56.26</v>
      </c>
      <c r="M753">
        <f>RTD("tos.rtd", , "DELTA", "VXUS")</f>
        <v>1</v>
      </c>
      <c r="N753">
        <f>RTD("tos.rtd", , "GAMMA", "VXUS")</f>
        <v>0</v>
      </c>
      <c r="O753">
        <f>RTD("tos.rtd", , "THETA", "VXUS")</f>
        <v>0</v>
      </c>
      <c r="P753">
        <f>RTD("tos.rtd", , "VEGA", "VXUS")</f>
        <v>0</v>
      </c>
      <c r="Q753">
        <f>RTD("tos.rtd", , "RHO", "VXUS")</f>
        <v>0</v>
      </c>
      <c r="R753" t="str">
        <f>RTD("tos.rtd", , "INTRINSIC", "VXUS")</f>
        <v>N/A</v>
      </c>
      <c r="S753" t="str">
        <f>RTD("tos.rtd", , "EXTRINSIC", "VXUS")</f>
        <v>N/A</v>
      </c>
      <c r="T753" t="str">
        <f>RTD("tos.rtd", , "PROB_OF_EXPIRING", "VXUS")</f>
        <v>N/A</v>
      </c>
      <c r="U753" t="str">
        <f>RTD("tos.rtd", , "PROB_OTM", "VXUS")</f>
        <v>N/A</v>
      </c>
      <c r="V753" t="str">
        <f>RTD("tos.rtd", , "PROB_OF_TOUCHING", "VXUS")</f>
        <v>N/A</v>
      </c>
      <c r="W753" t="str">
        <f>RTD("tos.rtd", , "STRIKE", "VXUS")</f>
        <v>N/A</v>
      </c>
    </row>
    <row r="754" spans="1:23" x14ac:dyDescent="0.45">
      <c r="A754" t="s">
        <v>775</v>
      </c>
      <c r="B754" t="str">
        <f>RTD("tos.rtd", , "DESCRIPTION", ".VXUS201120C56")</f>
        <v>N/A</v>
      </c>
      <c r="C754" t="str">
        <f>RTD("tos.rtd", , "PUT_CALL_RATIO", ".VXUS201120C56")</f>
        <v>N/A</v>
      </c>
      <c r="D754" t="str">
        <f>RTD("tos.rtd", , "IMPL_VOL", ".VXUS201120C56")</f>
        <v>N/A</v>
      </c>
      <c r="E754" t="str">
        <f>RTD("tos.rtd", , "LAST", ".VXUS201120C56")</f>
        <v>N/A</v>
      </c>
      <c r="F754" t="str">
        <f>RTD("tos.rtd", , "VOLUME", ".VXUS201120C56")</f>
        <v>N/A</v>
      </c>
      <c r="G754" t="str">
        <f>RTD("tos.rtd", , "OPEN_INT", ".VXUS201120C56")</f>
        <v>N/A</v>
      </c>
      <c r="H754" t="str">
        <f>RTD("tos.rtd", , "BID", ".VXUS201120C56")</f>
        <v>N/A</v>
      </c>
      <c r="I754" t="str">
        <f>RTD("tos.rtd", , "ASK", ".VXUS201120C56")</f>
        <v>N/A</v>
      </c>
      <c r="J754" t="str">
        <f>RTD("tos.rtd", , "HIGH", ".VXUS201120C56")</f>
        <v>N/A</v>
      </c>
      <c r="K754" t="str">
        <f>RTD("tos.rtd", , "LOW", ".VXUS201120C56")</f>
        <v>N/A</v>
      </c>
      <c r="L754" t="str">
        <f>RTD("tos.rtd", , "OPEN", ".VXUS201120C56")</f>
        <v>N/A</v>
      </c>
      <c r="M754" t="str">
        <f>RTD("tos.rtd", , "DELTA", ".VXUS201120C56")</f>
        <v>N/A</v>
      </c>
      <c r="N754" t="str">
        <f>RTD("tos.rtd", , "GAMMA", ".VXUS201120C56")</f>
        <v>N/A</v>
      </c>
      <c r="O754" t="str">
        <f>RTD("tos.rtd", , "THETA", ".VXUS201120C56")</f>
        <v>N/A</v>
      </c>
      <c r="P754" t="str">
        <f>RTD("tos.rtd", , "VEGA", ".VXUS201120C56")</f>
        <v>N/A</v>
      </c>
      <c r="Q754" t="str">
        <f>RTD("tos.rtd", , "RHO", ".VXUS201120C56")</f>
        <v>N/A</v>
      </c>
      <c r="R754" t="str">
        <f>RTD("tos.rtd", , "INTRINSIC", ".VXUS201120C56")</f>
        <v>N/A</v>
      </c>
      <c r="S754" t="str">
        <f>RTD("tos.rtd", , "EXTRINSIC", ".VXUS201120C56")</f>
        <v>N/A</v>
      </c>
      <c r="T754" t="str">
        <f>RTD("tos.rtd", , "PROB_OF_EXPIRING", ".VXUS201120C56")</f>
        <v>N/A</v>
      </c>
      <c r="U754" t="str">
        <f>RTD("tos.rtd", , "PROB_OTM", ".VXUS201120C56")</f>
        <v>N/A</v>
      </c>
      <c r="V754" t="str">
        <f>RTD("tos.rtd", , "PROB_OF_TOUCHING", ".VXUS201120C56")</f>
        <v>N/A</v>
      </c>
      <c r="W754" t="str">
        <f>RTD("tos.rtd", , "STRIKE", ".VXUS201120C56")</f>
        <v>N/A</v>
      </c>
    </row>
    <row r="755" spans="1:23" x14ac:dyDescent="0.45">
      <c r="A755" t="s">
        <v>776</v>
      </c>
      <c r="B755" t="str">
        <f>RTD("tos.rtd", , "DESCRIPTION", ".VXUS201120P56")</f>
        <v>N/A</v>
      </c>
      <c r="C755" t="str">
        <f>RTD("tos.rtd", , "PUT_CALL_RATIO", ".VXUS201120P56")</f>
        <v>N/A</v>
      </c>
      <c r="D755" t="str">
        <f>RTD("tos.rtd", , "IMPL_VOL", ".VXUS201120P56")</f>
        <v>N/A</v>
      </c>
      <c r="E755" t="str">
        <f>RTD("tos.rtd", , "LAST", ".VXUS201120P56")</f>
        <v>N/A</v>
      </c>
      <c r="F755" t="str">
        <f>RTD("tos.rtd", , "VOLUME", ".VXUS201120P56")</f>
        <v>N/A</v>
      </c>
      <c r="G755" t="str">
        <f>RTD("tos.rtd", , "OPEN_INT", ".VXUS201120P56")</f>
        <v>N/A</v>
      </c>
      <c r="H755" t="str">
        <f>RTD("tos.rtd", , "BID", ".VXUS201120P56")</f>
        <v>N/A</v>
      </c>
      <c r="I755" t="str">
        <f>RTD("tos.rtd", , "ASK", ".VXUS201120P56")</f>
        <v>N/A</v>
      </c>
      <c r="J755" t="str">
        <f>RTD("tos.rtd", , "HIGH", ".VXUS201120P56")</f>
        <v>N/A</v>
      </c>
      <c r="K755" t="str">
        <f>RTD("tos.rtd", , "LOW", ".VXUS201120P56")</f>
        <v>N/A</v>
      </c>
      <c r="L755" t="str">
        <f>RTD("tos.rtd", , "OPEN", ".VXUS201120P56")</f>
        <v>N/A</v>
      </c>
      <c r="M755" t="str">
        <f>RTD("tos.rtd", , "DELTA", ".VXUS201120P56")</f>
        <v>N/A</v>
      </c>
      <c r="N755" t="str">
        <f>RTD("tos.rtd", , "GAMMA", ".VXUS201120P56")</f>
        <v>N/A</v>
      </c>
      <c r="O755" t="str">
        <f>RTD("tos.rtd", , "THETA", ".VXUS201120P56")</f>
        <v>N/A</v>
      </c>
      <c r="P755" t="str">
        <f>RTD("tos.rtd", , "VEGA", ".VXUS201120P56")</f>
        <v>N/A</v>
      </c>
      <c r="Q755" t="str">
        <f>RTD("tos.rtd", , "RHO", ".VXUS201120P56")</f>
        <v>N/A</v>
      </c>
      <c r="R755" t="str">
        <f>RTD("tos.rtd", , "INTRINSIC", ".VXUS201120P56")</f>
        <v>N/A</v>
      </c>
      <c r="S755" t="str">
        <f>RTD("tos.rtd", , "EXTRINSIC", ".VXUS201120P56")</f>
        <v>N/A</v>
      </c>
      <c r="T755" t="str">
        <f>RTD("tos.rtd", , "PROB_OF_EXPIRING", ".VXUS201120P56")</f>
        <v>N/A</v>
      </c>
      <c r="U755" t="str">
        <f>RTD("tos.rtd", , "PROB_OTM", ".VXUS201120P56")</f>
        <v>N/A</v>
      </c>
      <c r="V755" t="str">
        <f>RTD("tos.rtd", , "PROB_OF_TOUCHING", ".VXUS201120P56")</f>
        <v>N/A</v>
      </c>
      <c r="W755" t="str">
        <f>RTD("tos.rtd", , "STRIKE", ".VXUS201120P56")</f>
        <v>N/A</v>
      </c>
    </row>
    <row r="756" spans="1:23" x14ac:dyDescent="0.45">
      <c r="A756" t="s">
        <v>777</v>
      </c>
      <c r="B756" t="str">
        <f>RTD("tos.rtd", , "DESCRIPTION", ".VXUS201120C57")</f>
        <v>N/A</v>
      </c>
      <c r="C756" t="str">
        <f>RTD("tos.rtd", , "PUT_CALL_RATIO", ".VXUS201120C57")</f>
        <v>N/A</v>
      </c>
      <c r="D756" t="str">
        <f>RTD("tos.rtd", , "IMPL_VOL", ".VXUS201120C57")</f>
        <v>N/A</v>
      </c>
      <c r="E756" t="str">
        <f>RTD("tos.rtd", , "LAST", ".VXUS201120C57")</f>
        <v>N/A</v>
      </c>
      <c r="F756" t="str">
        <f>RTD("tos.rtd", , "VOLUME", ".VXUS201120C57")</f>
        <v>N/A</v>
      </c>
      <c r="G756" t="str">
        <f>RTD("tos.rtd", , "OPEN_INT", ".VXUS201120C57")</f>
        <v>N/A</v>
      </c>
      <c r="H756" t="str">
        <f>RTD("tos.rtd", , "BID", ".VXUS201120C57")</f>
        <v>N/A</v>
      </c>
      <c r="I756" t="str">
        <f>RTD("tos.rtd", , "ASK", ".VXUS201120C57")</f>
        <v>N/A</v>
      </c>
      <c r="J756" t="str">
        <f>RTD("tos.rtd", , "HIGH", ".VXUS201120C57")</f>
        <v>N/A</v>
      </c>
      <c r="K756" t="str">
        <f>RTD("tos.rtd", , "LOW", ".VXUS201120C57")</f>
        <v>N/A</v>
      </c>
      <c r="L756" t="str">
        <f>RTD("tos.rtd", , "OPEN", ".VXUS201120C57")</f>
        <v>N/A</v>
      </c>
      <c r="M756" t="str">
        <f>RTD("tos.rtd", , "DELTA", ".VXUS201120C57")</f>
        <v>N/A</v>
      </c>
      <c r="N756" t="str">
        <f>RTD("tos.rtd", , "GAMMA", ".VXUS201120C57")</f>
        <v>N/A</v>
      </c>
      <c r="O756" t="str">
        <f>RTD("tos.rtd", , "THETA", ".VXUS201120C57")</f>
        <v>N/A</v>
      </c>
      <c r="P756" t="str">
        <f>RTD("tos.rtd", , "VEGA", ".VXUS201120C57")</f>
        <v>N/A</v>
      </c>
      <c r="Q756" t="str">
        <f>RTD("tos.rtd", , "RHO", ".VXUS201120C57")</f>
        <v>N/A</v>
      </c>
      <c r="R756" t="str">
        <f>RTD("tos.rtd", , "INTRINSIC", ".VXUS201120C57")</f>
        <v>N/A</v>
      </c>
      <c r="S756" t="str">
        <f>RTD("tos.rtd", , "EXTRINSIC", ".VXUS201120C57")</f>
        <v>N/A</v>
      </c>
      <c r="T756" t="str">
        <f>RTD("tos.rtd", , "PROB_OF_EXPIRING", ".VXUS201120C57")</f>
        <v>N/A</v>
      </c>
      <c r="U756" t="str">
        <f>RTD("tos.rtd", , "PROB_OTM", ".VXUS201120C57")</f>
        <v>N/A</v>
      </c>
      <c r="V756" t="str">
        <f>RTD("tos.rtd", , "PROB_OF_TOUCHING", ".VXUS201120C57")</f>
        <v>N/A</v>
      </c>
      <c r="W756" t="str">
        <f>RTD("tos.rtd", , "STRIKE", ".VXUS201120C57")</f>
        <v>N/A</v>
      </c>
    </row>
    <row r="757" spans="1:23" x14ac:dyDescent="0.45">
      <c r="A757" t="s">
        <v>778</v>
      </c>
      <c r="B757" t="str">
        <f>RTD("tos.rtd", , "DESCRIPTION", ".VXUS201120P57")</f>
        <v>N/A</v>
      </c>
      <c r="C757" t="str">
        <f>RTD("tos.rtd", , "PUT_CALL_RATIO", ".VXUS201120P57")</f>
        <v>N/A</v>
      </c>
      <c r="D757" t="str">
        <f>RTD("tos.rtd", , "IMPL_VOL", ".VXUS201120P57")</f>
        <v>N/A</v>
      </c>
      <c r="E757" t="str">
        <f>RTD("tos.rtd", , "LAST", ".VXUS201120P57")</f>
        <v>N/A</v>
      </c>
      <c r="F757" t="str">
        <f>RTD("tos.rtd", , "VOLUME", ".VXUS201120P57")</f>
        <v>N/A</v>
      </c>
      <c r="G757" t="str">
        <f>RTD("tos.rtd", , "OPEN_INT", ".VXUS201120P57")</f>
        <v>N/A</v>
      </c>
      <c r="H757" t="str">
        <f>RTD("tos.rtd", , "BID", ".VXUS201120P57")</f>
        <v>N/A</v>
      </c>
      <c r="I757" t="str">
        <f>RTD("tos.rtd", , "ASK", ".VXUS201120P57")</f>
        <v>N/A</v>
      </c>
      <c r="J757" t="str">
        <f>RTD("tos.rtd", , "HIGH", ".VXUS201120P57")</f>
        <v>N/A</v>
      </c>
      <c r="K757" t="str">
        <f>RTD("tos.rtd", , "LOW", ".VXUS201120P57")</f>
        <v>N/A</v>
      </c>
      <c r="L757" t="str">
        <f>RTD("tos.rtd", , "OPEN", ".VXUS201120P57")</f>
        <v>N/A</v>
      </c>
      <c r="M757" t="str">
        <f>RTD("tos.rtd", , "DELTA", ".VXUS201120P57")</f>
        <v>N/A</v>
      </c>
      <c r="N757" t="str">
        <f>RTD("tos.rtd", , "GAMMA", ".VXUS201120P57")</f>
        <v>N/A</v>
      </c>
      <c r="O757" t="str">
        <f>RTD("tos.rtd", , "THETA", ".VXUS201120P57")</f>
        <v>N/A</v>
      </c>
      <c r="P757" t="str">
        <f>RTD("tos.rtd", , "VEGA", ".VXUS201120P57")</f>
        <v>N/A</v>
      </c>
      <c r="Q757" t="str">
        <f>RTD("tos.rtd", , "RHO", ".VXUS201120P57")</f>
        <v>N/A</v>
      </c>
      <c r="R757" t="str">
        <f>RTD("tos.rtd", , "INTRINSIC", ".VXUS201120P57")</f>
        <v>N/A</v>
      </c>
      <c r="S757" t="str">
        <f>RTD("tos.rtd", , "EXTRINSIC", ".VXUS201120P57")</f>
        <v>N/A</v>
      </c>
      <c r="T757" t="str">
        <f>RTD("tos.rtd", , "PROB_OF_EXPIRING", ".VXUS201120P57")</f>
        <v>N/A</v>
      </c>
      <c r="U757" t="str">
        <f>RTD("tos.rtd", , "PROB_OTM", ".VXUS201120P57")</f>
        <v>N/A</v>
      </c>
      <c r="V757" t="str">
        <f>RTD("tos.rtd", , "PROB_OF_TOUCHING", ".VXUS201120P57")</f>
        <v>N/A</v>
      </c>
      <c r="W757" t="str">
        <f>RTD("tos.rtd", , "STRIKE", ".VXUS201120P57")</f>
        <v>N/A</v>
      </c>
    </row>
    <row r="758" spans="1:23" x14ac:dyDescent="0.45">
      <c r="A758" t="s">
        <v>779</v>
      </c>
      <c r="B758" t="str">
        <f>RTD("tos.rtd", , "DESCRIPTION", "VYM")</f>
        <v>N/A</v>
      </c>
      <c r="C758">
        <f>RTD("tos.rtd", , "PUT_CALL_RATIO", "VYM")</f>
        <v>0.88600000000000001</v>
      </c>
      <c r="D758" t="str">
        <f>RTD("tos.rtd", , "IMPL_VOL", "VYM")</f>
        <v>20.70%</v>
      </c>
      <c r="E758">
        <f>RTD("tos.rtd", , "LAST", "VYM")</f>
        <v>86.35</v>
      </c>
      <c r="F758">
        <f>RTD("tos.rtd", , "VOLUME", "VYM")</f>
        <v>2780083</v>
      </c>
      <c r="G758">
        <f>RTD("tos.rtd", , "OPEN_INT", "VYM")</f>
        <v>0</v>
      </c>
      <c r="H758">
        <f>RTD("tos.rtd", , "BID", "VYM")</f>
        <v>85.94</v>
      </c>
      <c r="I758">
        <f>RTD("tos.rtd", , "ASK", "VYM")</f>
        <v>86.81</v>
      </c>
      <c r="J758">
        <f>RTD("tos.rtd", , "HIGH", "VYM")</f>
        <v>87.09</v>
      </c>
      <c r="K758">
        <f>RTD("tos.rtd", , "LOW", "VYM")</f>
        <v>85.7</v>
      </c>
      <c r="L758">
        <f>RTD("tos.rtd", , "OPEN", "VYM")</f>
        <v>87.09</v>
      </c>
      <c r="M758">
        <f>RTD("tos.rtd", , "DELTA", "VYM")</f>
        <v>1</v>
      </c>
      <c r="N758">
        <f>RTD("tos.rtd", , "GAMMA", "VYM")</f>
        <v>0</v>
      </c>
      <c r="O758">
        <f>RTD("tos.rtd", , "THETA", "VYM")</f>
        <v>0</v>
      </c>
      <c r="P758">
        <f>RTD("tos.rtd", , "VEGA", "VYM")</f>
        <v>0</v>
      </c>
      <c r="Q758">
        <f>RTD("tos.rtd", , "RHO", "VYM")</f>
        <v>0</v>
      </c>
      <c r="R758" t="str">
        <f>RTD("tos.rtd", , "INTRINSIC", "VYM")</f>
        <v>N/A</v>
      </c>
      <c r="S758" t="str">
        <f>RTD("tos.rtd", , "EXTRINSIC", "VYM")</f>
        <v>N/A</v>
      </c>
      <c r="T758" t="str">
        <f>RTD("tos.rtd", , "PROB_OF_EXPIRING", "VYM")</f>
        <v>N/A</v>
      </c>
      <c r="U758" t="str">
        <f>RTD("tos.rtd", , "PROB_OTM", "VYM")</f>
        <v>N/A</v>
      </c>
      <c r="V758" t="str">
        <f>RTD("tos.rtd", , "PROB_OF_TOUCHING", "VYM")</f>
        <v>N/A</v>
      </c>
      <c r="W758" t="str">
        <f>RTD("tos.rtd", , "STRIKE", "VYM")</f>
        <v>N/A</v>
      </c>
    </row>
    <row r="759" spans="1:23" x14ac:dyDescent="0.45">
      <c r="A759" t="s">
        <v>780</v>
      </c>
      <c r="B759" t="str">
        <f>RTD("tos.rtd", , "DESCRIPTION", ".VYM201120C87")</f>
        <v>N/A</v>
      </c>
      <c r="C759" t="str">
        <f>RTD("tos.rtd", , "PUT_CALL_RATIO", ".VYM201120C87")</f>
        <v>N/A</v>
      </c>
      <c r="D759" t="str">
        <f>RTD("tos.rtd", , "IMPL_VOL", ".VYM201120C87")</f>
        <v>N/A</v>
      </c>
      <c r="E759" t="str">
        <f>RTD("tos.rtd", , "LAST", ".VYM201120C87")</f>
        <v>N/A</v>
      </c>
      <c r="F759" t="str">
        <f>RTD("tos.rtd", , "VOLUME", ".VYM201120C87")</f>
        <v>N/A</v>
      </c>
      <c r="G759" t="str">
        <f>RTD("tos.rtd", , "OPEN_INT", ".VYM201120C87")</f>
        <v>N/A</v>
      </c>
      <c r="H759" t="str">
        <f>RTD("tos.rtd", , "BID", ".VYM201120C87")</f>
        <v>N/A</v>
      </c>
      <c r="I759" t="str">
        <f>RTD("tos.rtd", , "ASK", ".VYM201120C87")</f>
        <v>N/A</v>
      </c>
      <c r="J759" t="str">
        <f>RTD("tos.rtd", , "HIGH", ".VYM201120C87")</f>
        <v>N/A</v>
      </c>
      <c r="K759" t="str">
        <f>RTD("tos.rtd", , "LOW", ".VYM201120C87")</f>
        <v>N/A</v>
      </c>
      <c r="L759" t="str">
        <f>RTD("tos.rtd", , "OPEN", ".VYM201120C87")</f>
        <v>N/A</v>
      </c>
      <c r="M759" t="str">
        <f>RTD("tos.rtd", , "DELTA", ".VYM201120C87")</f>
        <v>N/A</v>
      </c>
      <c r="N759" t="str">
        <f>RTD("tos.rtd", , "GAMMA", ".VYM201120C87")</f>
        <v>N/A</v>
      </c>
      <c r="O759" t="str">
        <f>RTD("tos.rtd", , "THETA", ".VYM201120C87")</f>
        <v>N/A</v>
      </c>
      <c r="P759" t="str">
        <f>RTD("tos.rtd", , "VEGA", ".VYM201120C87")</f>
        <v>N/A</v>
      </c>
      <c r="Q759" t="str">
        <f>RTD("tos.rtd", , "RHO", ".VYM201120C87")</f>
        <v>N/A</v>
      </c>
      <c r="R759" t="str">
        <f>RTD("tos.rtd", , "INTRINSIC", ".VYM201120C87")</f>
        <v>N/A</v>
      </c>
      <c r="S759" t="str">
        <f>RTD("tos.rtd", , "EXTRINSIC", ".VYM201120C87")</f>
        <v>N/A</v>
      </c>
      <c r="T759" t="str">
        <f>RTD("tos.rtd", , "PROB_OF_EXPIRING", ".VYM201120C87")</f>
        <v>N/A</v>
      </c>
      <c r="U759" t="str">
        <f>RTD("tos.rtd", , "PROB_OTM", ".VYM201120C87")</f>
        <v>N/A</v>
      </c>
      <c r="V759" t="str">
        <f>RTD("tos.rtd", , "PROB_OF_TOUCHING", ".VYM201120C87")</f>
        <v>N/A</v>
      </c>
      <c r="W759" t="str">
        <f>RTD("tos.rtd", , "STRIKE", ".VYM201120C87")</f>
        <v>N/A</v>
      </c>
    </row>
    <row r="760" spans="1:23" x14ac:dyDescent="0.45">
      <c r="A760" t="s">
        <v>781</v>
      </c>
      <c r="B760" t="str">
        <f>RTD("tos.rtd", , "DESCRIPTION", ".VYM201120P87")</f>
        <v>N/A</v>
      </c>
      <c r="C760" t="str">
        <f>RTD("tos.rtd", , "PUT_CALL_RATIO", ".VYM201120P87")</f>
        <v>N/A</v>
      </c>
      <c r="D760" t="str">
        <f>RTD("tos.rtd", , "IMPL_VOL", ".VYM201120P87")</f>
        <v>N/A</v>
      </c>
      <c r="E760" t="str">
        <f>RTD("tos.rtd", , "LAST", ".VYM201120P87")</f>
        <v>N/A</v>
      </c>
      <c r="F760" t="str">
        <f>RTD("tos.rtd", , "VOLUME", ".VYM201120P87")</f>
        <v>N/A</v>
      </c>
      <c r="G760" t="str">
        <f>RTD("tos.rtd", , "OPEN_INT", ".VYM201120P87")</f>
        <v>N/A</v>
      </c>
      <c r="H760" t="str">
        <f>RTD("tos.rtd", , "BID", ".VYM201120P87")</f>
        <v>N/A</v>
      </c>
      <c r="I760" t="str">
        <f>RTD("tos.rtd", , "ASK", ".VYM201120P87")</f>
        <v>N/A</v>
      </c>
      <c r="J760" t="str">
        <f>RTD("tos.rtd", , "HIGH", ".VYM201120P87")</f>
        <v>N/A</v>
      </c>
      <c r="K760" t="str">
        <f>RTD("tos.rtd", , "LOW", ".VYM201120P87")</f>
        <v>N/A</v>
      </c>
      <c r="L760" t="str">
        <f>RTD("tos.rtd", , "OPEN", ".VYM201120P87")</f>
        <v>N/A</v>
      </c>
      <c r="M760" t="str">
        <f>RTD("tos.rtd", , "DELTA", ".VYM201120P87")</f>
        <v>N/A</v>
      </c>
      <c r="N760" t="str">
        <f>RTD("tos.rtd", , "GAMMA", ".VYM201120P87")</f>
        <v>N/A</v>
      </c>
      <c r="O760" t="str">
        <f>RTD("tos.rtd", , "THETA", ".VYM201120P87")</f>
        <v>N/A</v>
      </c>
      <c r="P760" t="str">
        <f>RTD("tos.rtd", , "VEGA", ".VYM201120P87")</f>
        <v>N/A</v>
      </c>
      <c r="Q760" t="str">
        <f>RTD("tos.rtd", , "RHO", ".VYM201120P87")</f>
        <v>N/A</v>
      </c>
      <c r="R760" t="str">
        <f>RTD("tos.rtd", , "INTRINSIC", ".VYM201120P87")</f>
        <v>N/A</v>
      </c>
      <c r="S760" t="str">
        <f>RTD("tos.rtd", , "EXTRINSIC", ".VYM201120P87")</f>
        <v>N/A</v>
      </c>
      <c r="T760" t="str">
        <f>RTD("tos.rtd", , "PROB_OF_EXPIRING", ".VYM201120P87")</f>
        <v>N/A</v>
      </c>
      <c r="U760" t="str">
        <f>RTD("tos.rtd", , "PROB_OTM", ".VYM201120P87")</f>
        <v>N/A</v>
      </c>
      <c r="V760" t="str">
        <f>RTD("tos.rtd", , "PROB_OF_TOUCHING", ".VYM201120P87")</f>
        <v>N/A</v>
      </c>
      <c r="W760" t="str">
        <f>RTD("tos.rtd", , "STRIKE", ".VYM201120P87")</f>
        <v>N/A</v>
      </c>
    </row>
    <row r="761" spans="1:23" x14ac:dyDescent="0.45">
      <c r="A761" t="s">
        <v>782</v>
      </c>
      <c r="B761" t="str">
        <f>RTD("tos.rtd", , "DESCRIPTION", ".VYM201120C88")</f>
        <v>N/A</v>
      </c>
      <c r="C761" t="str">
        <f>RTD("tos.rtd", , "PUT_CALL_RATIO", ".VYM201120C88")</f>
        <v>N/A</v>
      </c>
      <c r="D761" t="str">
        <f>RTD("tos.rtd", , "IMPL_VOL", ".VYM201120C88")</f>
        <v>N/A</v>
      </c>
      <c r="E761" t="str">
        <f>RTD("tos.rtd", , "LAST", ".VYM201120C88")</f>
        <v>N/A</v>
      </c>
      <c r="F761" t="str">
        <f>RTD("tos.rtd", , "VOLUME", ".VYM201120C88")</f>
        <v>N/A</v>
      </c>
      <c r="G761" t="str">
        <f>RTD("tos.rtd", , "OPEN_INT", ".VYM201120C88")</f>
        <v>N/A</v>
      </c>
      <c r="H761" t="str">
        <f>RTD("tos.rtd", , "BID", ".VYM201120C88")</f>
        <v>N/A</v>
      </c>
      <c r="I761" t="str">
        <f>RTD("tos.rtd", , "ASK", ".VYM201120C88")</f>
        <v>N/A</v>
      </c>
      <c r="J761" t="str">
        <f>RTD("tos.rtd", , "HIGH", ".VYM201120C88")</f>
        <v>N/A</v>
      </c>
      <c r="K761" t="str">
        <f>RTD("tos.rtd", , "LOW", ".VYM201120C88")</f>
        <v>N/A</v>
      </c>
      <c r="L761" t="str">
        <f>RTD("tos.rtd", , "OPEN", ".VYM201120C88")</f>
        <v>N/A</v>
      </c>
      <c r="M761" t="str">
        <f>RTD("tos.rtd", , "DELTA", ".VYM201120C88")</f>
        <v>N/A</v>
      </c>
      <c r="N761" t="str">
        <f>RTD("tos.rtd", , "GAMMA", ".VYM201120C88")</f>
        <v>N/A</v>
      </c>
      <c r="O761" t="str">
        <f>RTD("tos.rtd", , "THETA", ".VYM201120C88")</f>
        <v>N/A</v>
      </c>
      <c r="P761" t="str">
        <f>RTD("tos.rtd", , "VEGA", ".VYM201120C88")</f>
        <v>N/A</v>
      </c>
      <c r="Q761" t="str">
        <f>RTD("tos.rtd", , "RHO", ".VYM201120C88")</f>
        <v>N/A</v>
      </c>
      <c r="R761" t="str">
        <f>RTD("tos.rtd", , "INTRINSIC", ".VYM201120C88")</f>
        <v>N/A</v>
      </c>
      <c r="S761" t="str">
        <f>RTD("tos.rtd", , "EXTRINSIC", ".VYM201120C88")</f>
        <v>N/A</v>
      </c>
      <c r="T761" t="str">
        <f>RTD("tos.rtd", , "PROB_OF_EXPIRING", ".VYM201120C88")</f>
        <v>N/A</v>
      </c>
      <c r="U761" t="str">
        <f>RTD("tos.rtd", , "PROB_OTM", ".VYM201120C88")</f>
        <v>N/A</v>
      </c>
      <c r="V761" t="str">
        <f>RTD("tos.rtd", , "PROB_OF_TOUCHING", ".VYM201120C88")</f>
        <v>N/A</v>
      </c>
      <c r="W761" t="str">
        <f>RTD("tos.rtd", , "STRIKE", ".VYM201120C88")</f>
        <v>N/A</v>
      </c>
    </row>
    <row r="762" spans="1:23" x14ac:dyDescent="0.45">
      <c r="A762" t="s">
        <v>783</v>
      </c>
      <c r="B762" t="str">
        <f>RTD("tos.rtd", , "DESCRIPTION", ".VYM201120P88")</f>
        <v>N/A</v>
      </c>
      <c r="C762" t="str">
        <f>RTD("tos.rtd", , "PUT_CALL_RATIO", ".VYM201120P88")</f>
        <v>N/A</v>
      </c>
      <c r="D762" t="str">
        <f>RTD("tos.rtd", , "IMPL_VOL", ".VYM201120P88")</f>
        <v>N/A</v>
      </c>
      <c r="E762" t="str">
        <f>RTD("tos.rtd", , "LAST", ".VYM201120P88")</f>
        <v>N/A</v>
      </c>
      <c r="F762" t="str">
        <f>RTD("tos.rtd", , "VOLUME", ".VYM201120P88")</f>
        <v>N/A</v>
      </c>
      <c r="G762" t="str">
        <f>RTD("tos.rtd", , "OPEN_INT", ".VYM201120P88")</f>
        <v>N/A</v>
      </c>
      <c r="H762" t="str">
        <f>RTD("tos.rtd", , "BID", ".VYM201120P88")</f>
        <v>N/A</v>
      </c>
      <c r="I762" t="str">
        <f>RTD("tos.rtd", , "ASK", ".VYM201120P88")</f>
        <v>N/A</v>
      </c>
      <c r="J762" t="str">
        <f>RTD("tos.rtd", , "HIGH", ".VYM201120P88")</f>
        <v>N/A</v>
      </c>
      <c r="K762" t="str">
        <f>RTD("tos.rtd", , "LOW", ".VYM201120P88")</f>
        <v>N/A</v>
      </c>
      <c r="L762" t="str">
        <f>RTD("tos.rtd", , "OPEN", ".VYM201120P88")</f>
        <v>N/A</v>
      </c>
      <c r="M762" t="str">
        <f>RTD("tos.rtd", , "DELTA", ".VYM201120P88")</f>
        <v>N/A</v>
      </c>
      <c r="N762" t="str">
        <f>RTD("tos.rtd", , "GAMMA", ".VYM201120P88")</f>
        <v>N/A</v>
      </c>
      <c r="O762" t="str">
        <f>RTD("tos.rtd", , "THETA", ".VYM201120P88")</f>
        <v>N/A</v>
      </c>
      <c r="P762" t="str">
        <f>RTD("tos.rtd", , "VEGA", ".VYM201120P88")</f>
        <v>N/A</v>
      </c>
      <c r="Q762" t="str">
        <f>RTD("tos.rtd", , "RHO", ".VYM201120P88")</f>
        <v>N/A</v>
      </c>
      <c r="R762" t="str">
        <f>RTD("tos.rtd", , "INTRINSIC", ".VYM201120P88")</f>
        <v>N/A</v>
      </c>
      <c r="S762" t="str">
        <f>RTD("tos.rtd", , "EXTRINSIC", ".VYM201120P88")</f>
        <v>N/A</v>
      </c>
      <c r="T762" t="str">
        <f>RTD("tos.rtd", , "PROB_OF_EXPIRING", ".VYM201120P88")</f>
        <v>N/A</v>
      </c>
      <c r="U762" t="str">
        <f>RTD("tos.rtd", , "PROB_OTM", ".VYM201120P88")</f>
        <v>N/A</v>
      </c>
      <c r="V762" t="str">
        <f>RTD("tos.rtd", , "PROB_OF_TOUCHING", ".VYM201120P88")</f>
        <v>N/A</v>
      </c>
      <c r="W762" t="str">
        <f>RTD("tos.rtd", , "STRIKE", ".VYM201120P88")</f>
        <v>N/A</v>
      </c>
    </row>
    <row r="763" spans="1:23" x14ac:dyDescent="0.45">
      <c r="A763" t="s">
        <v>784</v>
      </c>
      <c r="B763" t="str">
        <f>RTD("tos.rtd", , "DESCRIPTION", "XBI")</f>
        <v>SPDR SERIES TRUST S&amp;P BIOTECH ETF</v>
      </c>
      <c r="C763">
        <f>RTD("tos.rtd", , "PUT_CALL_RATIO", "XBI")</f>
        <v>3.012</v>
      </c>
      <c r="D763" t="str">
        <f>RTD("tos.rtd", , "IMPL_VOL", "XBI")</f>
        <v>33.61%</v>
      </c>
      <c r="E763">
        <f>RTD("tos.rtd", , "LAST", "XBI")</f>
        <v>123.73</v>
      </c>
      <c r="F763">
        <f>RTD("tos.rtd", , "VOLUME", "XBI")</f>
        <v>4938317</v>
      </c>
      <c r="G763">
        <f>RTD("tos.rtd", , "OPEN_INT", "XBI")</f>
        <v>0</v>
      </c>
      <c r="H763">
        <f>RTD("tos.rtd", , "BID", "XBI")</f>
        <v>122.78</v>
      </c>
      <c r="I763">
        <f>RTD("tos.rtd", , "ASK", "XBI")</f>
        <v>123.73</v>
      </c>
      <c r="J763">
        <f>RTD("tos.rtd", , "HIGH", "XBI")</f>
        <v>125.52</v>
      </c>
      <c r="K763">
        <f>RTD("tos.rtd", , "LOW", "XBI")</f>
        <v>122.6</v>
      </c>
      <c r="L763">
        <f>RTD("tos.rtd", , "OPEN", "XBI")</f>
        <v>123.71</v>
      </c>
      <c r="M763">
        <f>RTD("tos.rtd", , "DELTA", "XBI")</f>
        <v>1</v>
      </c>
      <c r="N763">
        <f>RTD("tos.rtd", , "GAMMA", "XBI")</f>
        <v>0</v>
      </c>
      <c r="O763">
        <f>RTD("tos.rtd", , "THETA", "XBI")</f>
        <v>0</v>
      </c>
      <c r="P763">
        <f>RTD("tos.rtd", , "VEGA", "XBI")</f>
        <v>0</v>
      </c>
      <c r="Q763">
        <f>RTD("tos.rtd", , "RHO", "XBI")</f>
        <v>0</v>
      </c>
      <c r="R763" t="str">
        <f>RTD("tos.rtd", , "INTRINSIC", "XBI")</f>
        <v>N/A</v>
      </c>
      <c r="S763" t="str">
        <f>RTD("tos.rtd", , "EXTRINSIC", "XBI")</f>
        <v>N/A</v>
      </c>
      <c r="T763" t="str">
        <f>RTD("tos.rtd", , "PROB_OF_EXPIRING", "XBI")</f>
        <v>N/A</v>
      </c>
      <c r="U763" t="str">
        <f>RTD("tos.rtd", , "PROB_OTM", "XBI")</f>
        <v>N/A</v>
      </c>
      <c r="V763" t="str">
        <f>RTD("tos.rtd", , "PROB_OF_TOUCHING", "XBI")</f>
        <v>N/A</v>
      </c>
      <c r="W763" t="str">
        <f>RTD("tos.rtd", , "STRIKE", "XBI")</f>
        <v>N/A</v>
      </c>
    </row>
    <row r="764" spans="1:23" x14ac:dyDescent="0.45">
      <c r="A764" t="s">
        <v>785</v>
      </c>
      <c r="B764" t="str">
        <f>RTD("tos.rtd", , "DESCRIPTION", ".XBI201120C122")</f>
        <v>N/A</v>
      </c>
      <c r="C764" t="str">
        <f>RTD("tos.rtd", , "PUT_CALL_RATIO", ".XBI201120C122")</f>
        <v>N/A</v>
      </c>
      <c r="D764" t="str">
        <f>RTD("tos.rtd", , "IMPL_VOL", ".XBI201120C122")</f>
        <v>N/A</v>
      </c>
      <c r="E764">
        <f>RTD("tos.rtd", , "LAST", ".XBI201120C122")</f>
        <v>3.18</v>
      </c>
      <c r="F764">
        <f>RTD("tos.rtd", , "VOLUME", ".XBI201120C122")</f>
        <v>20</v>
      </c>
      <c r="G764">
        <f>RTD("tos.rtd", , "OPEN_INT", ".XBI201120C122")</f>
        <v>239</v>
      </c>
      <c r="H764">
        <f>RTD("tos.rtd", , "BID", ".XBI201120C122")</f>
        <v>3.25</v>
      </c>
      <c r="I764">
        <f>RTD("tos.rtd", , "ASK", ".XBI201120C122")</f>
        <v>3.5</v>
      </c>
      <c r="J764">
        <f>RTD("tos.rtd", , "HIGH", ".XBI201120C122")</f>
        <v>4.5</v>
      </c>
      <c r="K764">
        <f>RTD("tos.rtd", , "LOW", ".XBI201120C122")</f>
        <v>2.76</v>
      </c>
      <c r="L764">
        <f>RTD("tos.rtd", , "OPEN", ".XBI201120C122")</f>
        <v>4.3</v>
      </c>
      <c r="M764" t="str">
        <f>RTD("tos.rtd", , "DELTA", ".XBI201120C122")</f>
        <v>N/A</v>
      </c>
      <c r="N764" t="str">
        <f>RTD("tos.rtd", , "GAMMA", ".XBI201120C122")</f>
        <v>N/A</v>
      </c>
      <c r="O764" t="str">
        <f>RTD("tos.rtd", , "THETA", ".XBI201120C122")</f>
        <v>N/A</v>
      </c>
      <c r="P764" t="str">
        <f>RTD("tos.rtd", , "VEGA", ".XBI201120C122")</f>
        <v>N/A</v>
      </c>
      <c r="Q764" t="str">
        <f>RTD("tos.rtd", , "RHO", ".XBI201120C122")</f>
        <v>N/A</v>
      </c>
      <c r="R764" t="str">
        <f>RTD("tos.rtd", , "INTRINSIC", ".XBI201120C122")</f>
        <v>N/A</v>
      </c>
      <c r="S764" t="str">
        <f>RTD("tos.rtd", , "EXTRINSIC", ".XBI201120C122")</f>
        <v>N/A</v>
      </c>
      <c r="T764" t="str">
        <f>RTD("tos.rtd", , "PROB_OF_EXPIRING", ".XBI201120C122")</f>
        <v>N/A</v>
      </c>
      <c r="U764" t="str">
        <f>RTD("tos.rtd", , "PROB_OTM", ".XBI201120C122")</f>
        <v>N/A</v>
      </c>
      <c r="V764" t="str">
        <f>RTD("tos.rtd", , "PROB_OF_TOUCHING", ".XBI201120C122")</f>
        <v>N/A</v>
      </c>
      <c r="W764" t="str">
        <f>RTD("tos.rtd", , "STRIKE", ".XBI201120C122")</f>
        <v>N/A</v>
      </c>
    </row>
    <row r="765" spans="1:23" x14ac:dyDescent="0.45">
      <c r="A765" t="s">
        <v>786</v>
      </c>
      <c r="B765" t="str">
        <f>RTD("tos.rtd", , "DESCRIPTION", ".XBI201120P122")</f>
        <v>N/A</v>
      </c>
      <c r="C765" t="str">
        <f>RTD("tos.rtd", , "PUT_CALL_RATIO", ".XBI201120P122")</f>
        <v>N/A</v>
      </c>
      <c r="D765" t="str">
        <f>RTD("tos.rtd", , "IMPL_VOL", ".XBI201120P122")</f>
        <v>N/A</v>
      </c>
      <c r="E765">
        <f>RTD("tos.rtd", , "LAST", ".XBI201120P122")</f>
        <v>1.7</v>
      </c>
      <c r="F765">
        <f>RTD("tos.rtd", , "VOLUME", ".XBI201120P122")</f>
        <v>283</v>
      </c>
      <c r="G765">
        <f>RTD("tos.rtd", , "OPEN_INT", ".XBI201120P122")</f>
        <v>91</v>
      </c>
      <c r="H765">
        <f>RTD("tos.rtd", , "BID", ".XBI201120P122")</f>
        <v>1.65</v>
      </c>
      <c r="I765">
        <f>RTD("tos.rtd", , "ASK", ".XBI201120P122")</f>
        <v>1.86</v>
      </c>
      <c r="J765">
        <f>RTD("tos.rtd", , "HIGH", ".XBI201120P122")</f>
        <v>1.95</v>
      </c>
      <c r="K765">
        <f>RTD("tos.rtd", , "LOW", ".XBI201120P122")</f>
        <v>1.17</v>
      </c>
      <c r="L765">
        <f>RTD("tos.rtd", , "OPEN", ".XBI201120P122")</f>
        <v>1.63</v>
      </c>
      <c r="M765" t="str">
        <f>RTD("tos.rtd", , "DELTA", ".XBI201120P122")</f>
        <v>N/A</v>
      </c>
      <c r="N765" t="str">
        <f>RTD("tos.rtd", , "GAMMA", ".XBI201120P122")</f>
        <v>N/A</v>
      </c>
      <c r="O765" t="str">
        <f>RTD("tos.rtd", , "THETA", ".XBI201120P122")</f>
        <v>N/A</v>
      </c>
      <c r="P765" t="str">
        <f>RTD("tos.rtd", , "VEGA", ".XBI201120P122")</f>
        <v>N/A</v>
      </c>
      <c r="Q765" t="str">
        <f>RTD("tos.rtd", , "RHO", ".XBI201120P122")</f>
        <v>N/A</v>
      </c>
      <c r="R765" t="str">
        <f>RTD("tos.rtd", , "INTRINSIC", ".XBI201120P122")</f>
        <v>N/A</v>
      </c>
      <c r="S765" t="str">
        <f>RTD("tos.rtd", , "EXTRINSIC", ".XBI201120P122")</f>
        <v>N/A</v>
      </c>
      <c r="T765" t="str">
        <f>RTD("tos.rtd", , "PROB_OF_EXPIRING", ".XBI201120P122")</f>
        <v>N/A</v>
      </c>
      <c r="U765" t="str">
        <f>RTD("tos.rtd", , "PROB_OTM", ".XBI201120P122")</f>
        <v>N/A</v>
      </c>
      <c r="V765" t="str">
        <f>RTD("tos.rtd", , "PROB_OF_TOUCHING", ".XBI201120P122")</f>
        <v>N/A</v>
      </c>
      <c r="W765" t="str">
        <f>RTD("tos.rtd", , "STRIKE", ".XBI201120P122")</f>
        <v>N/A</v>
      </c>
    </row>
    <row r="766" spans="1:23" x14ac:dyDescent="0.45">
      <c r="A766" t="s">
        <v>787</v>
      </c>
      <c r="B766" t="str">
        <f>RTD("tos.rtd", , "DESCRIPTION", ".XBI201120C122.5")</f>
        <v>N/A</v>
      </c>
      <c r="C766" t="str">
        <f>RTD("tos.rtd", , "PUT_CALL_RATIO", ".XBI201120C122.5")</f>
        <v>N/A</v>
      </c>
      <c r="D766" t="str">
        <f>RTD("tos.rtd", , "IMPL_VOL", ".XBI201120C122.5")</f>
        <v>N/A</v>
      </c>
      <c r="E766">
        <f>RTD("tos.rtd", , "LAST", ".XBI201120C122.5")</f>
        <v>3.8</v>
      </c>
      <c r="F766">
        <f>RTD("tos.rtd", , "VOLUME", ".XBI201120C122.5")</f>
        <v>2</v>
      </c>
      <c r="G766">
        <f>RTD("tos.rtd", , "OPEN_INT", ".XBI201120C122.5")</f>
        <v>82</v>
      </c>
      <c r="H766">
        <f>RTD("tos.rtd", , "BID", ".XBI201120C122.5")</f>
        <v>2.91</v>
      </c>
      <c r="I766">
        <f>RTD("tos.rtd", , "ASK", ".XBI201120C122.5")</f>
        <v>3.15</v>
      </c>
      <c r="J766">
        <f>RTD("tos.rtd", , "HIGH", ".XBI201120C122.5")</f>
        <v>3.8</v>
      </c>
      <c r="K766">
        <f>RTD("tos.rtd", , "LOW", ".XBI201120C122.5")</f>
        <v>3.8</v>
      </c>
      <c r="L766">
        <f>RTD("tos.rtd", , "OPEN", ".XBI201120C122.5")</f>
        <v>3.8</v>
      </c>
      <c r="M766" t="str">
        <f>RTD("tos.rtd", , "DELTA", ".XBI201120C122.5")</f>
        <v>N/A</v>
      </c>
      <c r="N766" t="str">
        <f>RTD("tos.rtd", , "GAMMA", ".XBI201120C122.5")</f>
        <v>N/A</v>
      </c>
      <c r="O766" t="str">
        <f>RTD("tos.rtd", , "THETA", ".XBI201120C122.5")</f>
        <v>N/A</v>
      </c>
      <c r="P766" t="str">
        <f>RTD("tos.rtd", , "VEGA", ".XBI201120C122.5")</f>
        <v>N/A</v>
      </c>
      <c r="Q766" t="str">
        <f>RTD("tos.rtd", , "RHO", ".XBI201120C122.5")</f>
        <v>N/A</v>
      </c>
      <c r="R766" t="str">
        <f>RTD("tos.rtd", , "INTRINSIC", ".XBI201120C122.5")</f>
        <v>N/A</v>
      </c>
      <c r="S766" t="str">
        <f>RTD("tos.rtd", , "EXTRINSIC", ".XBI201120C122.5")</f>
        <v>N/A</v>
      </c>
      <c r="T766" t="str">
        <f>RTD("tos.rtd", , "PROB_OF_EXPIRING", ".XBI201120C122.5")</f>
        <v>N/A</v>
      </c>
      <c r="U766" t="str">
        <f>RTD("tos.rtd", , "PROB_OTM", ".XBI201120C122.5")</f>
        <v>N/A</v>
      </c>
      <c r="V766" t="str">
        <f>RTD("tos.rtd", , "PROB_OF_TOUCHING", ".XBI201120C122.5")</f>
        <v>N/A</v>
      </c>
      <c r="W766" t="str">
        <f>RTD("tos.rtd", , "STRIKE", ".XBI201120C122.5")</f>
        <v>N/A</v>
      </c>
    </row>
    <row r="767" spans="1:23" x14ac:dyDescent="0.45">
      <c r="A767" t="s">
        <v>788</v>
      </c>
      <c r="B767" t="str">
        <f>RTD("tos.rtd", , "DESCRIPTION", ".XBI201120P122.5")</f>
        <v>N/A</v>
      </c>
      <c r="C767" t="str">
        <f>RTD("tos.rtd", , "PUT_CALL_RATIO", ".XBI201120P122.5")</f>
        <v>N/A</v>
      </c>
      <c r="D767" t="str">
        <f>RTD("tos.rtd", , "IMPL_VOL", ".XBI201120P122.5")</f>
        <v>N/A</v>
      </c>
      <c r="E767">
        <f>RTD("tos.rtd", , "LAST", ".XBI201120P122.5")</f>
        <v>2.16</v>
      </c>
      <c r="F767">
        <f>RTD("tos.rtd", , "VOLUME", ".XBI201120P122.5")</f>
        <v>199</v>
      </c>
      <c r="G767">
        <f>RTD("tos.rtd", , "OPEN_INT", ".XBI201120P122.5")</f>
        <v>108</v>
      </c>
      <c r="H767">
        <f>RTD("tos.rtd", , "BID", ".XBI201120P122.5")</f>
        <v>1.81</v>
      </c>
      <c r="I767">
        <f>RTD("tos.rtd", , "ASK", ".XBI201120P122.5")</f>
        <v>2.06</v>
      </c>
      <c r="J767">
        <f>RTD("tos.rtd", , "HIGH", ".XBI201120P122.5")</f>
        <v>2.16</v>
      </c>
      <c r="K767">
        <f>RTD("tos.rtd", , "LOW", ".XBI201120P122.5")</f>
        <v>1.3</v>
      </c>
      <c r="L767">
        <f>RTD("tos.rtd", , "OPEN", ".XBI201120P122.5")</f>
        <v>1.55</v>
      </c>
      <c r="M767" t="str">
        <f>RTD("tos.rtd", , "DELTA", ".XBI201120P122.5")</f>
        <v>N/A</v>
      </c>
      <c r="N767" t="str">
        <f>RTD("tos.rtd", , "GAMMA", ".XBI201120P122.5")</f>
        <v>N/A</v>
      </c>
      <c r="O767" t="str">
        <f>RTD("tos.rtd", , "THETA", ".XBI201120P122.5")</f>
        <v>N/A</v>
      </c>
      <c r="P767" t="str">
        <f>RTD("tos.rtd", , "VEGA", ".XBI201120P122.5")</f>
        <v>N/A</v>
      </c>
      <c r="Q767" t="str">
        <f>RTD("tos.rtd", , "RHO", ".XBI201120P122.5")</f>
        <v>N/A</v>
      </c>
      <c r="R767" t="str">
        <f>RTD("tos.rtd", , "INTRINSIC", ".XBI201120P122.5")</f>
        <v>N/A</v>
      </c>
      <c r="S767" t="str">
        <f>RTD("tos.rtd", , "EXTRINSIC", ".XBI201120P122.5")</f>
        <v>N/A</v>
      </c>
      <c r="T767" t="str">
        <f>RTD("tos.rtd", , "PROB_OF_EXPIRING", ".XBI201120P122.5")</f>
        <v>N/A</v>
      </c>
      <c r="U767" t="str">
        <f>RTD("tos.rtd", , "PROB_OTM", ".XBI201120P122.5")</f>
        <v>N/A</v>
      </c>
      <c r="V767" t="str">
        <f>RTD("tos.rtd", , "PROB_OF_TOUCHING", ".XBI201120P122.5")</f>
        <v>N/A</v>
      </c>
      <c r="W767" t="str">
        <f>RTD("tos.rtd", , "STRIKE", ".XBI201120P122.5")</f>
        <v>N/A</v>
      </c>
    </row>
    <row r="768" spans="1:23" x14ac:dyDescent="0.45">
      <c r="A768" t="s">
        <v>789</v>
      </c>
      <c r="B768" t="str">
        <f>RTD("tos.rtd", , "DESCRIPTION", ".XBI201120C123")</f>
        <v>N/A</v>
      </c>
      <c r="C768" t="str">
        <f>RTD("tos.rtd", , "PUT_CALL_RATIO", ".XBI201120C123")</f>
        <v>N/A</v>
      </c>
      <c r="D768" t="str">
        <f>RTD("tos.rtd", , "IMPL_VOL", ".XBI201120C123")</f>
        <v>N/A</v>
      </c>
      <c r="E768">
        <f>RTD("tos.rtd", , "LAST", ".XBI201120C123")</f>
        <v>2.69</v>
      </c>
      <c r="F768">
        <f>RTD("tos.rtd", , "VOLUME", ".XBI201120C123")</f>
        <v>19</v>
      </c>
      <c r="G768">
        <f>RTD("tos.rtd", , "OPEN_INT", ".XBI201120C123")</f>
        <v>115</v>
      </c>
      <c r="H768">
        <f>RTD("tos.rtd", , "BID", ".XBI201120C123")</f>
        <v>2.57</v>
      </c>
      <c r="I768">
        <f>RTD("tos.rtd", , "ASK", ".XBI201120C123")</f>
        <v>2.84</v>
      </c>
      <c r="J768">
        <f>RTD("tos.rtd", , "HIGH", ".XBI201120C123")</f>
        <v>3.72</v>
      </c>
      <c r="K768">
        <f>RTD("tos.rtd", , "LOW", ".XBI201120C123")</f>
        <v>2.34</v>
      </c>
      <c r="L768">
        <f>RTD("tos.rtd", , "OPEN", ".XBI201120C123")</f>
        <v>3.28</v>
      </c>
      <c r="M768" t="str">
        <f>RTD("tos.rtd", , "DELTA", ".XBI201120C123")</f>
        <v>N/A</v>
      </c>
      <c r="N768" t="str">
        <f>RTD("tos.rtd", , "GAMMA", ".XBI201120C123")</f>
        <v>N/A</v>
      </c>
      <c r="O768" t="str">
        <f>RTD("tos.rtd", , "THETA", ".XBI201120C123")</f>
        <v>N/A</v>
      </c>
      <c r="P768" t="str">
        <f>RTD("tos.rtd", , "VEGA", ".XBI201120C123")</f>
        <v>N/A</v>
      </c>
      <c r="Q768" t="str">
        <f>RTD("tos.rtd", , "RHO", ".XBI201120C123")</f>
        <v>N/A</v>
      </c>
      <c r="R768" t="str">
        <f>RTD("tos.rtd", , "INTRINSIC", ".XBI201120C123")</f>
        <v>N/A</v>
      </c>
      <c r="S768" t="str">
        <f>RTD("tos.rtd", , "EXTRINSIC", ".XBI201120C123")</f>
        <v>N/A</v>
      </c>
      <c r="T768" t="str">
        <f>RTD("tos.rtd", , "PROB_OF_EXPIRING", ".XBI201120C123")</f>
        <v>N/A</v>
      </c>
      <c r="U768" t="str">
        <f>RTD("tos.rtd", , "PROB_OTM", ".XBI201120C123")</f>
        <v>N/A</v>
      </c>
      <c r="V768" t="str">
        <f>RTD("tos.rtd", , "PROB_OF_TOUCHING", ".XBI201120C123")</f>
        <v>N/A</v>
      </c>
      <c r="W768" t="str">
        <f>RTD("tos.rtd", , "STRIKE", ".XBI201120C123")</f>
        <v>N/A</v>
      </c>
    </row>
    <row r="769" spans="1:23" x14ac:dyDescent="0.45">
      <c r="A769" t="s">
        <v>790</v>
      </c>
      <c r="B769" t="str">
        <f>RTD("tos.rtd", , "DESCRIPTION", ".XBI201120P123")</f>
        <v>N/A</v>
      </c>
      <c r="C769" t="str">
        <f>RTD("tos.rtd", , "PUT_CALL_RATIO", ".XBI201120P123")</f>
        <v>N/A</v>
      </c>
      <c r="D769" t="str">
        <f>RTD("tos.rtd", , "IMPL_VOL", ".XBI201120P123")</f>
        <v>N/A</v>
      </c>
      <c r="E769">
        <f>RTD("tos.rtd", , "LAST", ".XBI201120P123")</f>
        <v>2.1</v>
      </c>
      <c r="F769">
        <f>RTD("tos.rtd", , "VOLUME", ".XBI201120P123")</f>
        <v>13</v>
      </c>
      <c r="G769">
        <f>RTD("tos.rtd", , "OPEN_INT", ".XBI201120P123")</f>
        <v>60</v>
      </c>
      <c r="H769">
        <f>RTD("tos.rtd", , "BID", ".XBI201120P123")</f>
        <v>2.0099999999999998</v>
      </c>
      <c r="I769">
        <f>RTD("tos.rtd", , "ASK", ".XBI201120P123")</f>
        <v>2.33</v>
      </c>
      <c r="J769">
        <f>RTD("tos.rtd", , "HIGH", ".XBI201120P123")</f>
        <v>2.1</v>
      </c>
      <c r="K769">
        <f>RTD("tos.rtd", , "LOW", ".XBI201120P123")</f>
        <v>1.5</v>
      </c>
      <c r="L769">
        <f>RTD("tos.rtd", , "OPEN", ".XBI201120P123")</f>
        <v>1.6</v>
      </c>
      <c r="M769" t="str">
        <f>RTD("tos.rtd", , "DELTA", ".XBI201120P123")</f>
        <v>N/A</v>
      </c>
      <c r="N769" t="str">
        <f>RTD("tos.rtd", , "GAMMA", ".XBI201120P123")</f>
        <v>N/A</v>
      </c>
      <c r="O769" t="str">
        <f>RTD("tos.rtd", , "THETA", ".XBI201120P123")</f>
        <v>N/A</v>
      </c>
      <c r="P769" t="str">
        <f>RTD("tos.rtd", , "VEGA", ".XBI201120P123")</f>
        <v>N/A</v>
      </c>
      <c r="Q769" t="str">
        <f>RTD("tos.rtd", , "RHO", ".XBI201120P123")</f>
        <v>N/A</v>
      </c>
      <c r="R769" t="str">
        <f>RTD("tos.rtd", , "INTRINSIC", ".XBI201120P123")</f>
        <v>N/A</v>
      </c>
      <c r="S769" t="str">
        <f>RTD("tos.rtd", , "EXTRINSIC", ".XBI201120P123")</f>
        <v>N/A</v>
      </c>
      <c r="T769" t="str">
        <f>RTD("tos.rtd", , "PROB_OF_EXPIRING", ".XBI201120P123")</f>
        <v>N/A</v>
      </c>
      <c r="U769" t="str">
        <f>RTD("tos.rtd", , "PROB_OTM", ".XBI201120P123")</f>
        <v>N/A</v>
      </c>
      <c r="V769" t="str">
        <f>RTD("tos.rtd", , "PROB_OF_TOUCHING", ".XBI201120P123")</f>
        <v>N/A</v>
      </c>
      <c r="W769" t="str">
        <f>RTD("tos.rtd", , "STRIKE", ".XBI201120P123")</f>
        <v>N/A</v>
      </c>
    </row>
    <row r="770" spans="1:23" x14ac:dyDescent="0.45">
      <c r="A770" t="s">
        <v>791</v>
      </c>
      <c r="B770" t="str">
        <f>RTD("tos.rtd", , "DESCRIPTION", ".XBI201120C123.5")</f>
        <v>N/A</v>
      </c>
      <c r="C770" t="str">
        <f>RTD("tos.rtd", , "PUT_CALL_RATIO", ".XBI201120C123.5")</f>
        <v>N/A</v>
      </c>
      <c r="D770" t="str">
        <f>RTD("tos.rtd", , "IMPL_VOL", ".XBI201120C123.5")</f>
        <v>N/A</v>
      </c>
      <c r="E770">
        <f>RTD("tos.rtd", , "LAST", ".XBI201120C123.5")</f>
        <v>2.81</v>
      </c>
      <c r="F770">
        <f>RTD("tos.rtd", , "VOLUME", ".XBI201120C123.5")</f>
        <v>6</v>
      </c>
      <c r="G770">
        <f>RTD("tos.rtd", , "OPEN_INT", ".XBI201120C123.5")</f>
        <v>580</v>
      </c>
      <c r="H770">
        <f>RTD("tos.rtd", , "BID", ".XBI201120C123.5")</f>
        <v>2.36</v>
      </c>
      <c r="I770">
        <f>RTD("tos.rtd", , "ASK", ".XBI201120C123.5")</f>
        <v>2.6</v>
      </c>
      <c r="J770">
        <f>RTD("tos.rtd", , "HIGH", ".XBI201120C123.5")</f>
        <v>3.15</v>
      </c>
      <c r="K770">
        <f>RTD("tos.rtd", , "LOW", ".XBI201120C123.5")</f>
        <v>2.81</v>
      </c>
      <c r="L770">
        <f>RTD("tos.rtd", , "OPEN", ".XBI201120C123.5")</f>
        <v>3.15</v>
      </c>
      <c r="M770" t="str">
        <f>RTD("tos.rtd", , "DELTA", ".XBI201120C123.5")</f>
        <v>N/A</v>
      </c>
      <c r="N770" t="str">
        <f>RTD("tos.rtd", , "GAMMA", ".XBI201120C123.5")</f>
        <v>N/A</v>
      </c>
      <c r="O770" t="str">
        <f>RTD("tos.rtd", , "THETA", ".XBI201120C123.5")</f>
        <v>N/A</v>
      </c>
      <c r="P770" t="str">
        <f>RTD("tos.rtd", , "VEGA", ".XBI201120C123.5")</f>
        <v>N/A</v>
      </c>
      <c r="Q770" t="str">
        <f>RTD("tos.rtd", , "RHO", ".XBI201120C123.5")</f>
        <v>N/A</v>
      </c>
      <c r="R770" t="str">
        <f>RTD("tos.rtd", , "INTRINSIC", ".XBI201120C123.5")</f>
        <v>N/A</v>
      </c>
      <c r="S770" t="str">
        <f>RTD("tos.rtd", , "EXTRINSIC", ".XBI201120C123.5")</f>
        <v>N/A</v>
      </c>
      <c r="T770" t="str">
        <f>RTD("tos.rtd", , "PROB_OF_EXPIRING", ".XBI201120C123.5")</f>
        <v>N/A</v>
      </c>
      <c r="U770" t="str">
        <f>RTD("tos.rtd", , "PROB_OTM", ".XBI201120C123.5")</f>
        <v>N/A</v>
      </c>
      <c r="V770" t="str">
        <f>RTD("tos.rtd", , "PROB_OF_TOUCHING", ".XBI201120C123.5")</f>
        <v>N/A</v>
      </c>
      <c r="W770" t="str">
        <f>RTD("tos.rtd", , "STRIKE", ".XBI201120C123.5")</f>
        <v>N/A</v>
      </c>
    </row>
    <row r="771" spans="1:23" x14ac:dyDescent="0.45">
      <c r="A771" t="s">
        <v>792</v>
      </c>
      <c r="B771" t="str">
        <f>RTD("tos.rtd", , "DESCRIPTION", ".XBI201120P123.5")</f>
        <v>N/A</v>
      </c>
      <c r="C771" t="str">
        <f>RTD("tos.rtd", , "PUT_CALL_RATIO", ".XBI201120P123.5")</f>
        <v>N/A</v>
      </c>
      <c r="D771" t="str">
        <f>RTD("tos.rtd", , "IMPL_VOL", ".XBI201120P123.5")</f>
        <v>N/A</v>
      </c>
      <c r="E771">
        <f>RTD("tos.rtd", , "LAST", ".XBI201120P123.5")</f>
        <v>2.38</v>
      </c>
      <c r="F771">
        <f>RTD("tos.rtd", , "VOLUME", ".XBI201120P123.5")</f>
        <v>31</v>
      </c>
      <c r="G771">
        <f>RTD("tos.rtd", , "OPEN_INT", ".XBI201120P123.5")</f>
        <v>15</v>
      </c>
      <c r="H771">
        <f>RTD("tos.rtd", , "BID", ".XBI201120P123.5")</f>
        <v>2.2200000000000002</v>
      </c>
      <c r="I771">
        <f>RTD("tos.rtd", , "ASK", ".XBI201120P123.5")</f>
        <v>2.52</v>
      </c>
      <c r="J771">
        <f>RTD("tos.rtd", , "HIGH", ".XBI201120P123.5")</f>
        <v>2.38</v>
      </c>
      <c r="K771">
        <f>RTD("tos.rtd", , "LOW", ".XBI201120P123.5")</f>
        <v>1.69</v>
      </c>
      <c r="L771">
        <f>RTD("tos.rtd", , "OPEN", ".XBI201120P123.5")</f>
        <v>1.76</v>
      </c>
      <c r="M771" t="str">
        <f>RTD("tos.rtd", , "DELTA", ".XBI201120P123.5")</f>
        <v>N/A</v>
      </c>
      <c r="N771" t="str">
        <f>RTD("tos.rtd", , "GAMMA", ".XBI201120P123.5")</f>
        <v>N/A</v>
      </c>
      <c r="O771" t="str">
        <f>RTD("tos.rtd", , "THETA", ".XBI201120P123.5")</f>
        <v>N/A</v>
      </c>
      <c r="P771" t="str">
        <f>RTD("tos.rtd", , "VEGA", ".XBI201120P123.5")</f>
        <v>N/A</v>
      </c>
      <c r="Q771" t="str">
        <f>RTD("tos.rtd", , "RHO", ".XBI201120P123.5")</f>
        <v>N/A</v>
      </c>
      <c r="R771" t="str">
        <f>RTD("tos.rtd", , "INTRINSIC", ".XBI201120P123.5")</f>
        <v>N/A</v>
      </c>
      <c r="S771" t="str">
        <f>RTD("tos.rtd", , "EXTRINSIC", ".XBI201120P123.5")</f>
        <v>N/A</v>
      </c>
      <c r="T771" t="str">
        <f>RTD("tos.rtd", , "PROB_OF_EXPIRING", ".XBI201120P123.5")</f>
        <v>N/A</v>
      </c>
      <c r="U771" t="str">
        <f>RTD("tos.rtd", , "PROB_OTM", ".XBI201120P123.5")</f>
        <v>N/A</v>
      </c>
      <c r="V771" t="str">
        <f>RTD("tos.rtd", , "PROB_OF_TOUCHING", ".XBI201120P123.5")</f>
        <v>N/A</v>
      </c>
      <c r="W771" t="str">
        <f>RTD("tos.rtd", , "STRIKE", ".XBI201120P123.5")</f>
        <v>N/A</v>
      </c>
    </row>
    <row r="772" spans="1:23" x14ac:dyDescent="0.45">
      <c r="A772" t="s">
        <v>793</v>
      </c>
      <c r="B772" t="str">
        <f>RTD("tos.rtd", , "DESCRIPTION", ".XBI201120C124")</f>
        <v>N/A</v>
      </c>
      <c r="C772" t="str">
        <f>RTD("tos.rtd", , "PUT_CALL_RATIO", ".XBI201120C124")</f>
        <v>N/A</v>
      </c>
      <c r="D772" t="str">
        <f>RTD("tos.rtd", , "IMPL_VOL", ".XBI201120C124")</f>
        <v>N/A</v>
      </c>
      <c r="E772">
        <f>RTD("tos.rtd", , "LAST", ".XBI201120C124")</f>
        <v>2.06</v>
      </c>
      <c r="F772">
        <f>RTD("tos.rtd", , "VOLUME", ".XBI201120C124")</f>
        <v>34</v>
      </c>
      <c r="G772">
        <f>RTD("tos.rtd", , "OPEN_INT", ".XBI201120C124")</f>
        <v>1837</v>
      </c>
      <c r="H772">
        <f>RTD("tos.rtd", , "BID", ".XBI201120C124")</f>
        <v>2.08</v>
      </c>
      <c r="I772">
        <f>RTD("tos.rtd", , "ASK", ".XBI201120C124")</f>
        <v>2.31</v>
      </c>
      <c r="J772">
        <f>RTD("tos.rtd", , "HIGH", ".XBI201120C124")</f>
        <v>3.15</v>
      </c>
      <c r="K772">
        <f>RTD("tos.rtd", , "LOW", ".XBI201120C124")</f>
        <v>1.95</v>
      </c>
      <c r="L772">
        <f>RTD("tos.rtd", , "OPEN", ".XBI201120C124")</f>
        <v>2.91</v>
      </c>
      <c r="M772" t="str">
        <f>RTD("tos.rtd", , "DELTA", ".XBI201120C124")</f>
        <v>N/A</v>
      </c>
      <c r="N772" t="str">
        <f>RTD("tos.rtd", , "GAMMA", ".XBI201120C124")</f>
        <v>N/A</v>
      </c>
      <c r="O772" t="str">
        <f>RTD("tos.rtd", , "THETA", ".XBI201120C124")</f>
        <v>N/A</v>
      </c>
      <c r="P772" t="str">
        <f>RTD("tos.rtd", , "VEGA", ".XBI201120C124")</f>
        <v>N/A</v>
      </c>
      <c r="Q772" t="str">
        <f>RTD("tos.rtd", , "RHO", ".XBI201120C124")</f>
        <v>N/A</v>
      </c>
      <c r="R772" t="str">
        <f>RTD("tos.rtd", , "INTRINSIC", ".XBI201120C124")</f>
        <v>N/A</v>
      </c>
      <c r="S772" t="str">
        <f>RTD("tos.rtd", , "EXTRINSIC", ".XBI201120C124")</f>
        <v>N/A</v>
      </c>
      <c r="T772" t="str">
        <f>RTD("tos.rtd", , "PROB_OF_EXPIRING", ".XBI201120C124")</f>
        <v>N/A</v>
      </c>
      <c r="U772" t="str">
        <f>RTD("tos.rtd", , "PROB_OTM", ".XBI201120C124")</f>
        <v>N/A</v>
      </c>
      <c r="V772" t="str">
        <f>RTD("tos.rtd", , "PROB_OF_TOUCHING", ".XBI201120C124")</f>
        <v>N/A</v>
      </c>
      <c r="W772" t="str">
        <f>RTD("tos.rtd", , "STRIKE", ".XBI201120C124")</f>
        <v>N/A</v>
      </c>
    </row>
    <row r="773" spans="1:23" x14ac:dyDescent="0.45">
      <c r="A773" t="s">
        <v>794</v>
      </c>
      <c r="B773" t="str">
        <f>RTD("tos.rtd", , "DESCRIPTION", ".XBI201120P124")</f>
        <v>N/A</v>
      </c>
      <c r="C773" t="str">
        <f>RTD("tos.rtd", , "PUT_CALL_RATIO", ".XBI201120P124")</f>
        <v>N/A</v>
      </c>
      <c r="D773" t="str">
        <f>RTD("tos.rtd", , "IMPL_VOL", ".XBI201120P124")</f>
        <v>N/A</v>
      </c>
      <c r="E773">
        <f>RTD("tos.rtd", , "LAST", ".XBI201120P124")</f>
        <v>2.3199999999999998</v>
      </c>
      <c r="F773">
        <f>RTD("tos.rtd", , "VOLUME", ".XBI201120P124")</f>
        <v>7</v>
      </c>
      <c r="G773">
        <f>RTD("tos.rtd", , "OPEN_INT", ".XBI201120P124")</f>
        <v>17</v>
      </c>
      <c r="H773">
        <f>RTD("tos.rtd", , "BID", ".XBI201120P124")</f>
        <v>2.41</v>
      </c>
      <c r="I773">
        <f>RTD("tos.rtd", , "ASK", ".XBI201120P124")</f>
        <v>2.79</v>
      </c>
      <c r="J773">
        <f>RTD("tos.rtd", , "HIGH", ".XBI201120P124")</f>
        <v>2.3199999999999998</v>
      </c>
      <c r="K773">
        <f>RTD("tos.rtd", , "LOW", ".XBI201120P124")</f>
        <v>1.84</v>
      </c>
      <c r="L773">
        <f>RTD("tos.rtd", , "OPEN", ".XBI201120P124")</f>
        <v>1.88</v>
      </c>
      <c r="M773" t="str">
        <f>RTD("tos.rtd", , "DELTA", ".XBI201120P124")</f>
        <v>N/A</v>
      </c>
      <c r="N773" t="str">
        <f>RTD("tos.rtd", , "GAMMA", ".XBI201120P124")</f>
        <v>N/A</v>
      </c>
      <c r="O773" t="str">
        <f>RTD("tos.rtd", , "THETA", ".XBI201120P124")</f>
        <v>N/A</v>
      </c>
      <c r="P773" t="str">
        <f>RTD("tos.rtd", , "VEGA", ".XBI201120P124")</f>
        <v>N/A</v>
      </c>
      <c r="Q773" t="str">
        <f>RTD("tos.rtd", , "RHO", ".XBI201120P124")</f>
        <v>N/A</v>
      </c>
      <c r="R773" t="str">
        <f>RTD("tos.rtd", , "INTRINSIC", ".XBI201120P124")</f>
        <v>N/A</v>
      </c>
      <c r="S773" t="str">
        <f>RTD("tos.rtd", , "EXTRINSIC", ".XBI201120P124")</f>
        <v>N/A</v>
      </c>
      <c r="T773" t="str">
        <f>RTD("tos.rtd", , "PROB_OF_EXPIRING", ".XBI201120P124")</f>
        <v>N/A</v>
      </c>
      <c r="U773" t="str">
        <f>RTD("tos.rtd", , "PROB_OTM", ".XBI201120P124")</f>
        <v>N/A</v>
      </c>
      <c r="V773" t="str">
        <f>RTD("tos.rtd", , "PROB_OF_TOUCHING", ".XBI201120P124")</f>
        <v>N/A</v>
      </c>
      <c r="W773" t="str">
        <f>RTD("tos.rtd", , "STRIKE", ".XBI201120P124")</f>
        <v>N/A</v>
      </c>
    </row>
    <row r="774" spans="1:23" x14ac:dyDescent="0.45">
      <c r="A774" t="s">
        <v>795</v>
      </c>
      <c r="B774" t="str">
        <f>RTD("tos.rtd", , "DESCRIPTION", ".XBI201120C124.5")</f>
        <v>N/A</v>
      </c>
      <c r="C774" t="str">
        <f>RTD("tos.rtd", , "PUT_CALL_RATIO", ".XBI201120C124.5")</f>
        <v>N/A</v>
      </c>
      <c r="D774" t="str">
        <f>RTD("tos.rtd", , "IMPL_VOL", ".XBI201120C124.5")</f>
        <v>N/A</v>
      </c>
      <c r="E774">
        <f>RTD("tos.rtd", , "LAST", ".XBI201120C124.5")</f>
        <v>2</v>
      </c>
      <c r="F774">
        <f>RTD("tos.rtd", , "VOLUME", ".XBI201120C124.5")</f>
        <v>5</v>
      </c>
      <c r="G774">
        <f>RTD("tos.rtd", , "OPEN_INT", ".XBI201120C124.5")</f>
        <v>7</v>
      </c>
      <c r="H774">
        <f>RTD("tos.rtd", , "BID", ".XBI201120C124.5")</f>
        <v>1.77</v>
      </c>
      <c r="I774">
        <f>RTD("tos.rtd", , "ASK", ".XBI201120C124.5")</f>
        <v>2.1</v>
      </c>
      <c r="J774">
        <f>RTD("tos.rtd", , "HIGH", ".XBI201120C124.5")</f>
        <v>2.87</v>
      </c>
      <c r="K774">
        <f>RTD("tos.rtd", , "LOW", ".XBI201120C124.5")</f>
        <v>2</v>
      </c>
      <c r="L774">
        <f>RTD("tos.rtd", , "OPEN", ".XBI201120C124.5")</f>
        <v>2.87</v>
      </c>
      <c r="M774" t="str">
        <f>RTD("tos.rtd", , "DELTA", ".XBI201120C124.5")</f>
        <v>N/A</v>
      </c>
      <c r="N774" t="str">
        <f>RTD("tos.rtd", , "GAMMA", ".XBI201120C124.5")</f>
        <v>N/A</v>
      </c>
      <c r="O774" t="str">
        <f>RTD("tos.rtd", , "THETA", ".XBI201120C124.5")</f>
        <v>N/A</v>
      </c>
      <c r="P774" t="str">
        <f>RTD("tos.rtd", , "VEGA", ".XBI201120C124.5")</f>
        <v>N/A</v>
      </c>
      <c r="Q774" t="str">
        <f>RTD("tos.rtd", , "RHO", ".XBI201120C124.5")</f>
        <v>N/A</v>
      </c>
      <c r="R774" t="str">
        <f>RTD("tos.rtd", , "INTRINSIC", ".XBI201120C124.5")</f>
        <v>N/A</v>
      </c>
      <c r="S774" t="str">
        <f>RTD("tos.rtd", , "EXTRINSIC", ".XBI201120C124.5")</f>
        <v>N/A</v>
      </c>
      <c r="T774" t="str">
        <f>RTD("tos.rtd", , "PROB_OF_EXPIRING", ".XBI201120C124.5")</f>
        <v>N/A</v>
      </c>
      <c r="U774" t="str">
        <f>RTD("tos.rtd", , "PROB_OTM", ".XBI201120C124.5")</f>
        <v>N/A</v>
      </c>
      <c r="V774" t="str">
        <f>RTD("tos.rtd", , "PROB_OF_TOUCHING", ".XBI201120C124.5")</f>
        <v>N/A</v>
      </c>
      <c r="W774" t="str">
        <f>RTD("tos.rtd", , "STRIKE", ".XBI201120C124.5")</f>
        <v>N/A</v>
      </c>
    </row>
    <row r="775" spans="1:23" x14ac:dyDescent="0.45">
      <c r="A775" t="s">
        <v>796</v>
      </c>
      <c r="B775" t="str">
        <f>RTD("tos.rtd", , "DESCRIPTION", ".XBI201120P124.5")</f>
        <v>N/A</v>
      </c>
      <c r="C775" t="str">
        <f>RTD("tos.rtd", , "PUT_CALL_RATIO", ".XBI201120P124.5")</f>
        <v>N/A</v>
      </c>
      <c r="D775" t="str">
        <f>RTD("tos.rtd", , "IMPL_VOL", ".XBI201120P124.5")</f>
        <v>N/A</v>
      </c>
      <c r="E775">
        <f>RTD("tos.rtd", , "LAST", ".XBI201120P124.5")</f>
        <v>2.89</v>
      </c>
      <c r="F775">
        <f>RTD("tos.rtd", , "VOLUME", ".XBI201120P124.5")</f>
        <v>14</v>
      </c>
      <c r="G775">
        <f>RTD("tos.rtd", , "OPEN_INT", ".XBI201120P124.5")</f>
        <v>8</v>
      </c>
      <c r="H775">
        <f>RTD("tos.rtd", , "BID", ".XBI201120P124.5")</f>
        <v>2.7</v>
      </c>
      <c r="I775">
        <f>RTD("tos.rtd", , "ASK", ".XBI201120P124.5")</f>
        <v>2.96</v>
      </c>
      <c r="J775">
        <f>RTD("tos.rtd", , "HIGH", ".XBI201120P124.5")</f>
        <v>2.99</v>
      </c>
      <c r="K775">
        <f>RTD("tos.rtd", , "LOW", ".XBI201120P124.5")</f>
        <v>2.14</v>
      </c>
      <c r="L775">
        <f>RTD("tos.rtd", , "OPEN", ".XBI201120P124.5")</f>
        <v>2.34</v>
      </c>
      <c r="M775" t="str">
        <f>RTD("tos.rtd", , "DELTA", ".XBI201120P124.5")</f>
        <v>N/A</v>
      </c>
      <c r="N775" t="str">
        <f>RTD("tos.rtd", , "GAMMA", ".XBI201120P124.5")</f>
        <v>N/A</v>
      </c>
      <c r="O775" t="str">
        <f>RTD("tos.rtd", , "THETA", ".XBI201120P124.5")</f>
        <v>N/A</v>
      </c>
      <c r="P775" t="str">
        <f>RTD("tos.rtd", , "VEGA", ".XBI201120P124.5")</f>
        <v>N/A</v>
      </c>
      <c r="Q775" t="str">
        <f>RTD("tos.rtd", , "RHO", ".XBI201120P124.5")</f>
        <v>N/A</v>
      </c>
      <c r="R775" t="str">
        <f>RTD("tos.rtd", , "INTRINSIC", ".XBI201120P124.5")</f>
        <v>N/A</v>
      </c>
      <c r="S775" t="str">
        <f>RTD("tos.rtd", , "EXTRINSIC", ".XBI201120P124.5")</f>
        <v>N/A</v>
      </c>
      <c r="T775" t="str">
        <f>RTD("tos.rtd", , "PROB_OF_EXPIRING", ".XBI201120P124.5")</f>
        <v>N/A</v>
      </c>
      <c r="U775" t="str">
        <f>RTD("tos.rtd", , "PROB_OTM", ".XBI201120P124.5")</f>
        <v>N/A</v>
      </c>
      <c r="V775" t="str">
        <f>RTD("tos.rtd", , "PROB_OF_TOUCHING", ".XBI201120P124.5")</f>
        <v>N/A</v>
      </c>
      <c r="W775" t="str">
        <f>RTD("tos.rtd", , "STRIKE", ".XBI201120P124.5")</f>
        <v>N/A</v>
      </c>
    </row>
    <row r="776" spans="1:23" x14ac:dyDescent="0.45">
      <c r="A776" t="s">
        <v>797</v>
      </c>
      <c r="B776" t="str">
        <f>RTD("tos.rtd", , "DESCRIPTION", ".XBI201120C125")</f>
        <v>N/A</v>
      </c>
      <c r="C776" t="str">
        <f>RTD("tos.rtd", , "PUT_CALL_RATIO", ".XBI201120C125")</f>
        <v>N/A</v>
      </c>
      <c r="D776" t="str">
        <f>RTD("tos.rtd", , "IMPL_VOL", ".XBI201120C125")</f>
        <v>N/A</v>
      </c>
      <c r="E776">
        <f>RTD("tos.rtd", , "LAST", ".XBI201120C125")</f>
        <v>1.68</v>
      </c>
      <c r="F776">
        <f>RTD("tos.rtd", , "VOLUME", ".XBI201120C125")</f>
        <v>357</v>
      </c>
      <c r="G776">
        <f>RTD("tos.rtd", , "OPEN_INT", ".XBI201120C125")</f>
        <v>4414</v>
      </c>
      <c r="H776">
        <f>RTD("tos.rtd", , "BID", ".XBI201120C125")</f>
        <v>1.68</v>
      </c>
      <c r="I776">
        <f>RTD("tos.rtd", , "ASK", ".XBI201120C125")</f>
        <v>1.84</v>
      </c>
      <c r="J776">
        <f>RTD("tos.rtd", , "HIGH", ".XBI201120C125")</f>
        <v>2.6</v>
      </c>
      <c r="K776">
        <f>RTD("tos.rtd", , "LOW", ".XBI201120C125")</f>
        <v>1.44</v>
      </c>
      <c r="L776">
        <f>RTD("tos.rtd", , "OPEN", ".XBI201120C125")</f>
        <v>2.09</v>
      </c>
      <c r="M776" t="str">
        <f>RTD("tos.rtd", , "DELTA", ".XBI201120C125")</f>
        <v>N/A</v>
      </c>
      <c r="N776" t="str">
        <f>RTD("tos.rtd", , "GAMMA", ".XBI201120C125")</f>
        <v>N/A</v>
      </c>
      <c r="O776" t="str">
        <f>RTD("tos.rtd", , "THETA", ".XBI201120C125")</f>
        <v>N/A</v>
      </c>
      <c r="P776" t="str">
        <f>RTD("tos.rtd", , "VEGA", ".XBI201120C125")</f>
        <v>N/A</v>
      </c>
      <c r="Q776" t="str">
        <f>RTD("tos.rtd", , "RHO", ".XBI201120C125")</f>
        <v>N/A</v>
      </c>
      <c r="R776" t="str">
        <f>RTD("tos.rtd", , "INTRINSIC", ".XBI201120C125")</f>
        <v>N/A</v>
      </c>
      <c r="S776" t="str">
        <f>RTD("tos.rtd", , "EXTRINSIC", ".XBI201120C125")</f>
        <v>N/A</v>
      </c>
      <c r="T776" t="str">
        <f>RTD("tos.rtd", , "PROB_OF_EXPIRING", ".XBI201120C125")</f>
        <v>N/A</v>
      </c>
      <c r="U776" t="str">
        <f>RTD("tos.rtd", , "PROB_OTM", ".XBI201120C125")</f>
        <v>N/A</v>
      </c>
      <c r="V776" t="str">
        <f>RTD("tos.rtd", , "PROB_OF_TOUCHING", ".XBI201120C125")</f>
        <v>N/A</v>
      </c>
      <c r="W776" t="str">
        <f>RTD("tos.rtd", , "STRIKE", ".XBI201120C125")</f>
        <v>N/A</v>
      </c>
    </row>
    <row r="777" spans="1:23" x14ac:dyDescent="0.45">
      <c r="A777" t="s">
        <v>798</v>
      </c>
      <c r="B777" t="str">
        <f>RTD("tos.rtd", , "DESCRIPTION", ".XBI201120P125")</f>
        <v>N/A</v>
      </c>
      <c r="C777" t="str">
        <f>RTD("tos.rtd", , "PUT_CALL_RATIO", ".XBI201120P125")</f>
        <v>N/A</v>
      </c>
      <c r="D777" t="str">
        <f>RTD("tos.rtd", , "IMPL_VOL", ".XBI201120P125")</f>
        <v>N/A</v>
      </c>
      <c r="E777">
        <f>RTD("tos.rtd", , "LAST", ".XBI201120P125")</f>
        <v>3.5</v>
      </c>
      <c r="F777">
        <f>RTD("tos.rtd", , "VOLUME", ".XBI201120P125")</f>
        <v>1107</v>
      </c>
      <c r="G777">
        <f>RTD("tos.rtd", , "OPEN_INT", ".XBI201120P125")</f>
        <v>172</v>
      </c>
      <c r="H777">
        <f>RTD("tos.rtd", , "BID", ".XBI201120P125")</f>
        <v>3</v>
      </c>
      <c r="I777">
        <f>RTD("tos.rtd", , "ASK", ".XBI201120P125")</f>
        <v>3.3</v>
      </c>
      <c r="J777">
        <f>RTD("tos.rtd", , "HIGH", ".XBI201120P125")</f>
        <v>3.5</v>
      </c>
      <c r="K777">
        <f>RTD("tos.rtd", , "LOW", ".XBI201120P125")</f>
        <v>2.23</v>
      </c>
      <c r="L777">
        <f>RTD("tos.rtd", , "OPEN", ".XBI201120P125")</f>
        <v>3</v>
      </c>
      <c r="M777" t="str">
        <f>RTD("tos.rtd", , "DELTA", ".XBI201120P125")</f>
        <v>N/A</v>
      </c>
      <c r="N777" t="str">
        <f>RTD("tos.rtd", , "GAMMA", ".XBI201120P125")</f>
        <v>N/A</v>
      </c>
      <c r="O777" t="str">
        <f>RTD("tos.rtd", , "THETA", ".XBI201120P125")</f>
        <v>N/A</v>
      </c>
      <c r="P777" t="str">
        <f>RTD("tos.rtd", , "VEGA", ".XBI201120P125")</f>
        <v>N/A</v>
      </c>
      <c r="Q777" t="str">
        <f>RTD("tos.rtd", , "RHO", ".XBI201120P125")</f>
        <v>N/A</v>
      </c>
      <c r="R777" t="str">
        <f>RTD("tos.rtd", , "INTRINSIC", ".XBI201120P125")</f>
        <v>N/A</v>
      </c>
      <c r="S777" t="str">
        <f>RTD("tos.rtd", , "EXTRINSIC", ".XBI201120P125")</f>
        <v>N/A</v>
      </c>
      <c r="T777" t="str">
        <f>RTD("tos.rtd", , "PROB_OF_EXPIRING", ".XBI201120P125")</f>
        <v>N/A</v>
      </c>
      <c r="U777" t="str">
        <f>RTD("tos.rtd", , "PROB_OTM", ".XBI201120P125")</f>
        <v>N/A</v>
      </c>
      <c r="V777" t="str">
        <f>RTD("tos.rtd", , "PROB_OF_TOUCHING", ".XBI201120P125")</f>
        <v>N/A</v>
      </c>
      <c r="W777" t="str">
        <f>RTD("tos.rtd", , "STRIKE", ".XBI201120P125")</f>
        <v>N/A</v>
      </c>
    </row>
    <row r="778" spans="1:23" x14ac:dyDescent="0.45">
      <c r="A778" t="s">
        <v>799</v>
      </c>
      <c r="B778" t="str">
        <f>RTD("tos.rtd", , "DESCRIPTION", ".XBI201120C125.5")</f>
        <v>N/A</v>
      </c>
      <c r="C778" t="str">
        <f>RTD("tos.rtd", , "PUT_CALL_RATIO", ".XBI201120C125.5")</f>
        <v>N/A</v>
      </c>
      <c r="D778" t="str">
        <f>RTD("tos.rtd", , "IMPL_VOL", ".XBI201120C125.5")</f>
        <v>N/A</v>
      </c>
      <c r="E778">
        <f>RTD("tos.rtd", , "LAST", ".XBI201120C125.5")</f>
        <v>1.53</v>
      </c>
      <c r="F778">
        <f>RTD("tos.rtd", , "VOLUME", ".XBI201120C125.5")</f>
        <v>5</v>
      </c>
      <c r="G778">
        <f>RTD("tos.rtd", , "OPEN_INT", ".XBI201120C125.5")</f>
        <v>0</v>
      </c>
      <c r="H778">
        <f>RTD("tos.rtd", , "BID", ".XBI201120C125.5")</f>
        <v>1.39</v>
      </c>
      <c r="I778">
        <f>RTD("tos.rtd", , "ASK", ".XBI201120C125.5")</f>
        <v>1.62</v>
      </c>
      <c r="J778">
        <f>RTD("tos.rtd", , "HIGH", ".XBI201120C125.5")</f>
        <v>2.2400000000000002</v>
      </c>
      <c r="K778">
        <f>RTD("tos.rtd", , "LOW", ".XBI201120C125.5")</f>
        <v>1.53</v>
      </c>
      <c r="L778">
        <f>RTD("tos.rtd", , "OPEN", ".XBI201120C125.5")</f>
        <v>1.7</v>
      </c>
      <c r="M778" t="str">
        <f>RTD("tos.rtd", , "DELTA", ".XBI201120C125.5")</f>
        <v>N/A</v>
      </c>
      <c r="N778" t="str">
        <f>RTD("tos.rtd", , "GAMMA", ".XBI201120C125.5")</f>
        <v>N/A</v>
      </c>
      <c r="O778" t="str">
        <f>RTD("tos.rtd", , "THETA", ".XBI201120C125.5")</f>
        <v>N/A</v>
      </c>
      <c r="P778" t="str">
        <f>RTD("tos.rtd", , "VEGA", ".XBI201120C125.5")</f>
        <v>N/A</v>
      </c>
      <c r="Q778" t="str">
        <f>RTD("tos.rtd", , "RHO", ".XBI201120C125.5")</f>
        <v>N/A</v>
      </c>
      <c r="R778" t="str">
        <f>RTD("tos.rtd", , "INTRINSIC", ".XBI201120C125.5")</f>
        <v>N/A</v>
      </c>
      <c r="S778" t="str">
        <f>RTD("tos.rtd", , "EXTRINSIC", ".XBI201120C125.5")</f>
        <v>N/A</v>
      </c>
      <c r="T778" t="str">
        <f>RTD("tos.rtd", , "PROB_OF_EXPIRING", ".XBI201120C125.5")</f>
        <v>N/A</v>
      </c>
      <c r="U778" t="str">
        <f>RTD("tos.rtd", , "PROB_OTM", ".XBI201120C125.5")</f>
        <v>N/A</v>
      </c>
      <c r="V778" t="str">
        <f>RTD("tos.rtd", , "PROB_OF_TOUCHING", ".XBI201120C125.5")</f>
        <v>N/A</v>
      </c>
      <c r="W778" t="str">
        <f>RTD("tos.rtd", , "STRIKE", ".XBI201120C125.5")</f>
        <v>N/A</v>
      </c>
    </row>
    <row r="779" spans="1:23" x14ac:dyDescent="0.45">
      <c r="A779" t="s">
        <v>800</v>
      </c>
      <c r="B779" t="str">
        <f>RTD("tos.rtd", , "DESCRIPTION", ".XBI201120P125.5")</f>
        <v>N/A</v>
      </c>
      <c r="C779" t="str">
        <f>RTD("tos.rtd", , "PUT_CALL_RATIO", ".XBI201120P125.5")</f>
        <v>N/A</v>
      </c>
      <c r="D779" t="str">
        <f>RTD("tos.rtd", , "IMPL_VOL", ".XBI201120P125.5")</f>
        <v>N/A</v>
      </c>
      <c r="E779">
        <f>RTD("tos.rtd", , "LAST", ".XBI201120P125.5")</f>
        <v>3.1</v>
      </c>
      <c r="F779">
        <f>RTD("tos.rtd", , "VOLUME", ".XBI201120P125.5")</f>
        <v>10</v>
      </c>
      <c r="G779">
        <f>RTD("tos.rtd", , "OPEN_INT", ".XBI201120P125.5")</f>
        <v>0</v>
      </c>
      <c r="H779">
        <f>RTD("tos.rtd", , "BID", ".XBI201120P125.5")</f>
        <v>3.2</v>
      </c>
      <c r="I779">
        <f>RTD("tos.rtd", , "ASK", ".XBI201120P125.5")</f>
        <v>3.55</v>
      </c>
      <c r="J779">
        <f>RTD("tos.rtd", , "HIGH", ".XBI201120P125.5")</f>
        <v>3.1</v>
      </c>
      <c r="K779">
        <f>RTD("tos.rtd", , "LOW", ".XBI201120P125.5")</f>
        <v>3.1</v>
      </c>
      <c r="L779">
        <f>RTD("tos.rtd", , "OPEN", ".XBI201120P125.5")</f>
        <v>3.1</v>
      </c>
      <c r="M779" t="str">
        <f>RTD("tos.rtd", , "DELTA", ".XBI201120P125.5")</f>
        <v>N/A</v>
      </c>
      <c r="N779" t="str">
        <f>RTD("tos.rtd", , "GAMMA", ".XBI201120P125.5")</f>
        <v>N/A</v>
      </c>
      <c r="O779" t="str">
        <f>RTD("tos.rtd", , "THETA", ".XBI201120P125.5")</f>
        <v>N/A</v>
      </c>
      <c r="P779" t="str">
        <f>RTD("tos.rtd", , "VEGA", ".XBI201120P125.5")</f>
        <v>N/A</v>
      </c>
      <c r="Q779" t="str">
        <f>RTD("tos.rtd", , "RHO", ".XBI201120P125.5")</f>
        <v>N/A</v>
      </c>
      <c r="R779" t="str">
        <f>RTD("tos.rtd", , "INTRINSIC", ".XBI201120P125.5")</f>
        <v>N/A</v>
      </c>
      <c r="S779" t="str">
        <f>RTD("tos.rtd", , "EXTRINSIC", ".XBI201120P125.5")</f>
        <v>N/A</v>
      </c>
      <c r="T779" t="str">
        <f>RTD("tos.rtd", , "PROB_OF_EXPIRING", ".XBI201120P125.5")</f>
        <v>N/A</v>
      </c>
      <c r="U779" t="str">
        <f>RTD("tos.rtd", , "PROB_OTM", ".XBI201120P125.5")</f>
        <v>N/A</v>
      </c>
      <c r="V779" t="str">
        <f>RTD("tos.rtd", , "PROB_OF_TOUCHING", ".XBI201120P125.5")</f>
        <v>N/A</v>
      </c>
      <c r="W779" t="str">
        <f>RTD("tos.rtd", , "STRIKE", ".XBI201120P125.5")</f>
        <v>N/A</v>
      </c>
    </row>
    <row r="780" spans="1:23" x14ac:dyDescent="0.45">
      <c r="A780" t="s">
        <v>801</v>
      </c>
      <c r="B780" t="str">
        <f>RTD("tos.rtd", , "DESCRIPTION", "XHB")</f>
        <v>SPDR SERIES TRUST S&amp;P HOMEBUILD ETF</v>
      </c>
      <c r="C780">
        <f>RTD("tos.rtd", , "PUT_CALL_RATIO", "XHB")</f>
        <v>2.177</v>
      </c>
      <c r="D780" t="str">
        <f>RTD("tos.rtd", , "IMPL_VOL", "XHB")</f>
        <v>28.35%</v>
      </c>
      <c r="E780">
        <f>RTD("tos.rtd", , "LAST", "XHB")</f>
        <v>54.72</v>
      </c>
      <c r="F780">
        <f>RTD("tos.rtd", , "VOLUME", "XHB")</f>
        <v>3052731</v>
      </c>
      <c r="G780">
        <f>RTD("tos.rtd", , "OPEN_INT", "XHB")</f>
        <v>0</v>
      </c>
      <c r="H780">
        <f>RTD("tos.rtd", , "BID", "XHB")</f>
        <v>53.75</v>
      </c>
      <c r="I780">
        <f>RTD("tos.rtd", , "ASK", "XHB")</f>
        <v>55</v>
      </c>
      <c r="J780">
        <f>RTD("tos.rtd", , "HIGH", "XHB")</f>
        <v>55.96</v>
      </c>
      <c r="K780">
        <f>RTD("tos.rtd", , "LOW", "XHB")</f>
        <v>54.23</v>
      </c>
      <c r="L780">
        <f>RTD("tos.rtd", , "OPEN", "XHB")</f>
        <v>55.6</v>
      </c>
      <c r="M780">
        <f>RTD("tos.rtd", , "DELTA", "XHB")</f>
        <v>1</v>
      </c>
      <c r="N780">
        <f>RTD("tos.rtd", , "GAMMA", "XHB")</f>
        <v>0</v>
      </c>
      <c r="O780">
        <f>RTD("tos.rtd", , "THETA", "XHB")</f>
        <v>0</v>
      </c>
      <c r="P780">
        <f>RTD("tos.rtd", , "VEGA", "XHB")</f>
        <v>0</v>
      </c>
      <c r="Q780">
        <f>RTD("tos.rtd", , "RHO", "XHB")</f>
        <v>0</v>
      </c>
      <c r="R780" t="str">
        <f>RTD("tos.rtd", , "INTRINSIC", "XHB")</f>
        <v>N/A</v>
      </c>
      <c r="S780" t="str">
        <f>RTD("tos.rtd", , "EXTRINSIC", "XHB")</f>
        <v>N/A</v>
      </c>
      <c r="T780" t="str">
        <f>RTD("tos.rtd", , "PROB_OF_EXPIRING", "XHB")</f>
        <v>N/A</v>
      </c>
      <c r="U780" t="str">
        <f>RTD("tos.rtd", , "PROB_OTM", "XHB")</f>
        <v>N/A</v>
      </c>
      <c r="V780" t="str">
        <f>RTD("tos.rtd", , "PROB_OF_TOUCHING", "XHB")</f>
        <v>N/A</v>
      </c>
      <c r="W780" t="str">
        <f>RTD("tos.rtd", , "STRIKE", "XHB")</f>
        <v>N/A</v>
      </c>
    </row>
    <row r="781" spans="1:23" x14ac:dyDescent="0.45">
      <c r="A781" t="s">
        <v>802</v>
      </c>
      <c r="B781" t="str">
        <f>RTD("tos.rtd", , "DESCRIPTION", ".XHB201120C55")</f>
        <v>N/A</v>
      </c>
      <c r="C781" t="str">
        <f>RTD("tos.rtd", , "PUT_CALL_RATIO", ".XHB201120C55")</f>
        <v>N/A</v>
      </c>
      <c r="D781" t="str">
        <f>RTD("tos.rtd", , "IMPL_VOL", ".XHB201120C55")</f>
        <v>N/A</v>
      </c>
      <c r="E781">
        <f>RTD("tos.rtd", , "LAST", ".XHB201120C55")</f>
        <v>1.56</v>
      </c>
      <c r="F781">
        <f>RTD("tos.rtd", , "VOLUME", ".XHB201120C55")</f>
        <v>3</v>
      </c>
      <c r="G781">
        <f>RTD("tos.rtd", , "OPEN_INT", ".XHB201120C55")</f>
        <v>2982</v>
      </c>
      <c r="H781">
        <f>RTD("tos.rtd", , "BID", ".XHB201120C55")</f>
        <v>0.7</v>
      </c>
      <c r="I781">
        <f>RTD("tos.rtd", , "ASK", ".XHB201120C55")</f>
        <v>1</v>
      </c>
      <c r="J781">
        <f>RTD("tos.rtd", , "HIGH", ".XHB201120C55")</f>
        <v>1.56</v>
      </c>
      <c r="K781">
        <f>RTD("tos.rtd", , "LOW", ".XHB201120C55")</f>
        <v>1.56</v>
      </c>
      <c r="L781">
        <f>RTD("tos.rtd", , "OPEN", ".XHB201120C55")</f>
        <v>1.56</v>
      </c>
      <c r="M781" t="str">
        <f>RTD("tos.rtd", , "DELTA", ".XHB201120C55")</f>
        <v>N/A</v>
      </c>
      <c r="N781" t="str">
        <f>RTD("tos.rtd", , "GAMMA", ".XHB201120C55")</f>
        <v>N/A</v>
      </c>
      <c r="O781" t="str">
        <f>RTD("tos.rtd", , "THETA", ".XHB201120C55")</f>
        <v>N/A</v>
      </c>
      <c r="P781" t="str">
        <f>RTD("tos.rtd", , "VEGA", ".XHB201120C55")</f>
        <v>N/A</v>
      </c>
      <c r="Q781" t="str">
        <f>RTD("tos.rtd", , "RHO", ".XHB201120C55")</f>
        <v>N/A</v>
      </c>
      <c r="R781" t="str">
        <f>RTD("tos.rtd", , "INTRINSIC", ".XHB201120C55")</f>
        <v>N/A</v>
      </c>
      <c r="S781" t="str">
        <f>RTD("tos.rtd", , "EXTRINSIC", ".XHB201120C55")</f>
        <v>N/A</v>
      </c>
      <c r="T781" t="str">
        <f>RTD("tos.rtd", , "PROB_OF_EXPIRING", ".XHB201120C55")</f>
        <v>N/A</v>
      </c>
      <c r="U781" t="str">
        <f>RTD("tos.rtd", , "PROB_OTM", ".XHB201120C55")</f>
        <v>N/A</v>
      </c>
      <c r="V781" t="str">
        <f>RTD("tos.rtd", , "PROB_OF_TOUCHING", ".XHB201120C55")</f>
        <v>N/A</v>
      </c>
      <c r="W781" t="str">
        <f>RTD("tos.rtd", , "STRIKE", ".XHB201120C55")</f>
        <v>N/A</v>
      </c>
    </row>
    <row r="782" spans="1:23" x14ac:dyDescent="0.45">
      <c r="A782" t="s">
        <v>803</v>
      </c>
      <c r="B782" t="str">
        <f>RTD("tos.rtd", , "DESCRIPTION", ".XHB201120P55")</f>
        <v>N/A</v>
      </c>
      <c r="C782" t="str">
        <f>RTD("tos.rtd", , "PUT_CALL_RATIO", ".XHB201120P55")</f>
        <v>N/A</v>
      </c>
      <c r="D782" t="str">
        <f>RTD("tos.rtd", , "IMPL_VOL", ".XHB201120P55")</f>
        <v>N/A</v>
      </c>
      <c r="E782">
        <f>RTD("tos.rtd", , "LAST", ".XHB201120P55")</f>
        <v>1.29</v>
      </c>
      <c r="F782">
        <f>RTD("tos.rtd", , "VOLUME", ".XHB201120P55")</f>
        <v>5</v>
      </c>
      <c r="G782">
        <f>RTD("tos.rtd", , "OPEN_INT", ".XHB201120P55")</f>
        <v>1621</v>
      </c>
      <c r="H782">
        <f>RTD("tos.rtd", , "BID", ".XHB201120P55")</f>
        <v>1</v>
      </c>
      <c r="I782">
        <f>RTD("tos.rtd", , "ASK", ".XHB201120P55")</f>
        <v>1.25</v>
      </c>
      <c r="J782">
        <f>RTD("tos.rtd", , "HIGH", ".XHB201120P55")</f>
        <v>1.29</v>
      </c>
      <c r="K782">
        <f>RTD("tos.rtd", , "LOW", ".XHB201120P55")</f>
        <v>0.68</v>
      </c>
      <c r="L782">
        <f>RTD("tos.rtd", , "OPEN", ".XHB201120P55")</f>
        <v>0.75</v>
      </c>
      <c r="M782" t="str">
        <f>RTD("tos.rtd", , "DELTA", ".XHB201120P55")</f>
        <v>N/A</v>
      </c>
      <c r="N782" t="str">
        <f>RTD("tos.rtd", , "GAMMA", ".XHB201120P55")</f>
        <v>N/A</v>
      </c>
      <c r="O782" t="str">
        <f>RTD("tos.rtd", , "THETA", ".XHB201120P55")</f>
        <v>N/A</v>
      </c>
      <c r="P782" t="str">
        <f>RTD("tos.rtd", , "VEGA", ".XHB201120P55")</f>
        <v>N/A</v>
      </c>
      <c r="Q782" t="str">
        <f>RTD("tos.rtd", , "RHO", ".XHB201120P55")</f>
        <v>N/A</v>
      </c>
      <c r="R782" t="str">
        <f>RTD("tos.rtd", , "INTRINSIC", ".XHB201120P55")</f>
        <v>N/A</v>
      </c>
      <c r="S782" t="str">
        <f>RTD("tos.rtd", , "EXTRINSIC", ".XHB201120P55")</f>
        <v>N/A</v>
      </c>
      <c r="T782" t="str">
        <f>RTD("tos.rtd", , "PROB_OF_EXPIRING", ".XHB201120P55")</f>
        <v>N/A</v>
      </c>
      <c r="U782" t="str">
        <f>RTD("tos.rtd", , "PROB_OTM", ".XHB201120P55")</f>
        <v>N/A</v>
      </c>
      <c r="V782" t="str">
        <f>RTD("tos.rtd", , "PROB_OF_TOUCHING", ".XHB201120P55")</f>
        <v>N/A</v>
      </c>
      <c r="W782" t="str">
        <f>RTD("tos.rtd", , "STRIKE", ".XHB201120P55")</f>
        <v>N/A</v>
      </c>
    </row>
    <row r="783" spans="1:23" x14ac:dyDescent="0.45">
      <c r="A783" t="s">
        <v>804</v>
      </c>
      <c r="B783" t="str">
        <f>RTD("tos.rtd", , "DESCRIPTION", ".XHB201120C55.5")</f>
        <v>N/A</v>
      </c>
      <c r="C783" t="str">
        <f>RTD("tos.rtd", , "PUT_CALL_RATIO", ".XHB201120C55.5")</f>
        <v>N/A</v>
      </c>
      <c r="D783" t="str">
        <f>RTD("tos.rtd", , "IMPL_VOL", ".XHB201120C55.5")</f>
        <v>N/A</v>
      </c>
      <c r="E783">
        <f>RTD("tos.rtd", , "LAST", ".XHB201120C55.5")</f>
        <v>0.95</v>
      </c>
      <c r="F783">
        <f>RTD("tos.rtd", , "VOLUME", ".XHB201120C55.5")</f>
        <v>1</v>
      </c>
      <c r="G783">
        <f>RTD("tos.rtd", , "OPEN_INT", ".XHB201120C55.5")</f>
        <v>63</v>
      </c>
      <c r="H783">
        <f>RTD("tos.rtd", , "BID", ".XHB201120C55.5")</f>
        <v>0.5</v>
      </c>
      <c r="I783">
        <f>RTD("tos.rtd", , "ASK", ".XHB201120C55.5")</f>
        <v>0.8</v>
      </c>
      <c r="J783">
        <f>RTD("tos.rtd", , "HIGH", ".XHB201120C55.5")</f>
        <v>0.95</v>
      </c>
      <c r="K783">
        <f>RTD("tos.rtd", , "LOW", ".XHB201120C55.5")</f>
        <v>0.95</v>
      </c>
      <c r="L783">
        <f>RTD("tos.rtd", , "OPEN", ".XHB201120C55.5")</f>
        <v>0.95</v>
      </c>
      <c r="M783" t="str">
        <f>RTD("tos.rtd", , "DELTA", ".XHB201120C55.5")</f>
        <v>N/A</v>
      </c>
      <c r="N783" t="str">
        <f>RTD("tos.rtd", , "GAMMA", ".XHB201120C55.5")</f>
        <v>N/A</v>
      </c>
      <c r="O783" t="str">
        <f>RTD("tos.rtd", , "THETA", ".XHB201120C55.5")</f>
        <v>N/A</v>
      </c>
      <c r="P783" t="str">
        <f>RTD("tos.rtd", , "VEGA", ".XHB201120C55.5")</f>
        <v>N/A</v>
      </c>
      <c r="Q783" t="str">
        <f>RTD("tos.rtd", , "RHO", ".XHB201120C55.5")</f>
        <v>N/A</v>
      </c>
      <c r="R783" t="str">
        <f>RTD("tos.rtd", , "INTRINSIC", ".XHB201120C55.5")</f>
        <v>N/A</v>
      </c>
      <c r="S783" t="str">
        <f>RTD("tos.rtd", , "EXTRINSIC", ".XHB201120C55.5")</f>
        <v>N/A</v>
      </c>
      <c r="T783" t="str">
        <f>RTD("tos.rtd", , "PROB_OF_EXPIRING", ".XHB201120C55.5")</f>
        <v>N/A</v>
      </c>
      <c r="U783" t="str">
        <f>RTD("tos.rtd", , "PROB_OTM", ".XHB201120C55.5")</f>
        <v>N/A</v>
      </c>
      <c r="V783" t="str">
        <f>RTD("tos.rtd", , "PROB_OF_TOUCHING", ".XHB201120C55.5")</f>
        <v>N/A</v>
      </c>
      <c r="W783" t="str">
        <f>RTD("tos.rtd", , "STRIKE", ".XHB201120C55.5")</f>
        <v>N/A</v>
      </c>
    </row>
    <row r="784" spans="1:23" x14ac:dyDescent="0.45">
      <c r="A784" t="s">
        <v>805</v>
      </c>
      <c r="B784" t="str">
        <f>RTD("tos.rtd", , "DESCRIPTION", ".XHB201120P55.5")</f>
        <v>N/A</v>
      </c>
      <c r="C784" t="str">
        <f>RTD("tos.rtd", , "PUT_CALL_RATIO", ".XHB201120P55.5")</f>
        <v>N/A</v>
      </c>
      <c r="D784" t="str">
        <f>RTD("tos.rtd", , "IMPL_VOL", ".XHB201120P55.5")</f>
        <v>N/A</v>
      </c>
      <c r="E784">
        <f>RTD("tos.rtd", , "LAST", ".XHB201120P55.5")</f>
        <v>1.4</v>
      </c>
      <c r="F784">
        <f>RTD("tos.rtd", , "VOLUME", ".XHB201120P55.5")</f>
        <v>58</v>
      </c>
      <c r="G784">
        <f>RTD("tos.rtd", , "OPEN_INT", ".XHB201120P55.5")</f>
        <v>90</v>
      </c>
      <c r="H784">
        <f>RTD("tos.rtd", , "BID", ".XHB201120P55.5")</f>
        <v>1.2</v>
      </c>
      <c r="I784">
        <f>RTD("tos.rtd", , "ASK", ".XHB201120P55.5")</f>
        <v>1.55</v>
      </c>
      <c r="J784">
        <f>RTD("tos.rtd", , "HIGH", ".XHB201120P55.5")</f>
        <v>1.41</v>
      </c>
      <c r="K784">
        <f>RTD("tos.rtd", , "LOW", ".XHB201120P55.5")</f>
        <v>0.8</v>
      </c>
      <c r="L784">
        <f>RTD("tos.rtd", , "OPEN", ".XHB201120P55.5")</f>
        <v>1.04</v>
      </c>
      <c r="M784" t="str">
        <f>RTD("tos.rtd", , "DELTA", ".XHB201120P55.5")</f>
        <v>N/A</v>
      </c>
      <c r="N784" t="str">
        <f>RTD("tos.rtd", , "GAMMA", ".XHB201120P55.5")</f>
        <v>N/A</v>
      </c>
      <c r="O784" t="str">
        <f>RTD("tos.rtd", , "THETA", ".XHB201120P55.5")</f>
        <v>N/A</v>
      </c>
      <c r="P784" t="str">
        <f>RTD("tos.rtd", , "VEGA", ".XHB201120P55.5")</f>
        <v>N/A</v>
      </c>
      <c r="Q784" t="str">
        <f>RTD("tos.rtd", , "RHO", ".XHB201120P55.5")</f>
        <v>N/A</v>
      </c>
      <c r="R784" t="str">
        <f>RTD("tos.rtd", , "INTRINSIC", ".XHB201120P55.5")</f>
        <v>N/A</v>
      </c>
      <c r="S784" t="str">
        <f>RTD("tos.rtd", , "EXTRINSIC", ".XHB201120P55.5")</f>
        <v>N/A</v>
      </c>
      <c r="T784" t="str">
        <f>RTD("tos.rtd", , "PROB_OF_EXPIRING", ".XHB201120P55.5")</f>
        <v>N/A</v>
      </c>
      <c r="U784" t="str">
        <f>RTD("tos.rtd", , "PROB_OTM", ".XHB201120P55.5")</f>
        <v>N/A</v>
      </c>
      <c r="V784" t="str">
        <f>RTD("tos.rtd", , "PROB_OF_TOUCHING", ".XHB201120P55.5")</f>
        <v>N/A</v>
      </c>
      <c r="W784" t="str">
        <f>RTD("tos.rtd", , "STRIKE", ".XHB201120P55.5")</f>
        <v>N/A</v>
      </c>
    </row>
    <row r="785" spans="1:23" x14ac:dyDescent="0.45">
      <c r="A785" t="s">
        <v>806</v>
      </c>
      <c r="B785" t="str">
        <f>RTD("tos.rtd", , "DESCRIPTION", ".XHB201120C56")</f>
        <v>N/A</v>
      </c>
      <c r="C785" t="str">
        <f>RTD("tos.rtd", , "PUT_CALL_RATIO", ".XHB201120C56")</f>
        <v>N/A</v>
      </c>
      <c r="D785" t="str">
        <f>RTD("tos.rtd", , "IMPL_VOL", ".XHB201120C56")</f>
        <v>N/A</v>
      </c>
      <c r="E785">
        <f>RTD("tos.rtd", , "LAST", ".XHB201120C56")</f>
        <v>0.95</v>
      </c>
      <c r="F785">
        <f>RTD("tos.rtd", , "VOLUME", ".XHB201120C56")</f>
        <v>5</v>
      </c>
      <c r="G785">
        <f>RTD("tos.rtd", , "OPEN_INT", ".XHB201120C56")</f>
        <v>619</v>
      </c>
      <c r="H785">
        <f>RTD("tos.rtd", , "BID", ".XHB201120C56")</f>
        <v>0.35</v>
      </c>
      <c r="I785">
        <f>RTD("tos.rtd", , "ASK", ".XHB201120C56")</f>
        <v>0.6</v>
      </c>
      <c r="J785">
        <f>RTD("tos.rtd", , "HIGH", ".XHB201120C56")</f>
        <v>0.95</v>
      </c>
      <c r="K785">
        <f>RTD("tos.rtd", , "LOW", ".XHB201120C56")</f>
        <v>0.95</v>
      </c>
      <c r="L785">
        <f>RTD("tos.rtd", , "OPEN", ".XHB201120C56")</f>
        <v>0.95</v>
      </c>
      <c r="M785" t="str">
        <f>RTD("tos.rtd", , "DELTA", ".XHB201120C56")</f>
        <v>N/A</v>
      </c>
      <c r="N785" t="str">
        <f>RTD("tos.rtd", , "GAMMA", ".XHB201120C56")</f>
        <v>N/A</v>
      </c>
      <c r="O785" t="str">
        <f>RTD("tos.rtd", , "THETA", ".XHB201120C56")</f>
        <v>N/A</v>
      </c>
      <c r="P785" t="str">
        <f>RTD("tos.rtd", , "VEGA", ".XHB201120C56")</f>
        <v>N/A</v>
      </c>
      <c r="Q785" t="str">
        <f>RTD("tos.rtd", , "RHO", ".XHB201120C56")</f>
        <v>N/A</v>
      </c>
      <c r="R785" t="str">
        <f>RTD("tos.rtd", , "INTRINSIC", ".XHB201120C56")</f>
        <v>N/A</v>
      </c>
      <c r="S785" t="str">
        <f>RTD("tos.rtd", , "EXTRINSIC", ".XHB201120C56")</f>
        <v>N/A</v>
      </c>
      <c r="T785" t="str">
        <f>RTD("tos.rtd", , "PROB_OF_EXPIRING", ".XHB201120C56")</f>
        <v>N/A</v>
      </c>
      <c r="U785" t="str">
        <f>RTD("tos.rtd", , "PROB_OTM", ".XHB201120C56")</f>
        <v>N/A</v>
      </c>
      <c r="V785" t="str">
        <f>RTD("tos.rtd", , "PROB_OF_TOUCHING", ".XHB201120C56")</f>
        <v>N/A</v>
      </c>
      <c r="W785" t="str">
        <f>RTD("tos.rtd", , "STRIKE", ".XHB201120C56")</f>
        <v>N/A</v>
      </c>
    </row>
    <row r="786" spans="1:23" x14ac:dyDescent="0.45">
      <c r="A786" t="s">
        <v>807</v>
      </c>
      <c r="B786" t="str">
        <f>RTD("tos.rtd", , "DESCRIPTION", ".XHB201120P56")</f>
        <v>N/A</v>
      </c>
      <c r="C786" t="str">
        <f>RTD("tos.rtd", , "PUT_CALL_RATIO", ".XHB201120P56")</f>
        <v>N/A</v>
      </c>
      <c r="D786" t="str">
        <f>RTD("tos.rtd", , "IMPL_VOL", ".XHB201120P56")</f>
        <v>N/A</v>
      </c>
      <c r="E786">
        <f>RTD("tos.rtd", , "LAST", ".XHB201120P56")</f>
        <v>1.1399999999999999</v>
      </c>
      <c r="F786">
        <f>RTD("tos.rtd", , "VOLUME", ".XHB201120P56")</f>
        <v>11</v>
      </c>
      <c r="G786">
        <f>RTD("tos.rtd", , "OPEN_INT", ".XHB201120P56")</f>
        <v>178</v>
      </c>
      <c r="H786">
        <f>RTD("tos.rtd", , "BID", ".XHB201120P56")</f>
        <v>1.5</v>
      </c>
      <c r="I786">
        <f>RTD("tos.rtd", , "ASK", ".XHB201120P56")</f>
        <v>1.9</v>
      </c>
      <c r="J786">
        <f>RTD("tos.rtd", , "HIGH", ".XHB201120P56")</f>
        <v>1.1399999999999999</v>
      </c>
      <c r="K786">
        <f>RTD("tos.rtd", , "LOW", ".XHB201120P56")</f>
        <v>1.1000000000000001</v>
      </c>
      <c r="L786">
        <f>RTD("tos.rtd", , "OPEN", ".XHB201120P56")</f>
        <v>1.1000000000000001</v>
      </c>
      <c r="M786" t="str">
        <f>RTD("tos.rtd", , "DELTA", ".XHB201120P56")</f>
        <v>N/A</v>
      </c>
      <c r="N786" t="str">
        <f>RTD("tos.rtd", , "GAMMA", ".XHB201120P56")</f>
        <v>N/A</v>
      </c>
      <c r="O786" t="str">
        <f>RTD("tos.rtd", , "THETA", ".XHB201120P56")</f>
        <v>N/A</v>
      </c>
      <c r="P786" t="str">
        <f>RTD("tos.rtd", , "VEGA", ".XHB201120P56")</f>
        <v>N/A</v>
      </c>
      <c r="Q786" t="str">
        <f>RTD("tos.rtd", , "RHO", ".XHB201120P56")</f>
        <v>N/A</v>
      </c>
      <c r="R786" t="str">
        <f>RTD("tos.rtd", , "INTRINSIC", ".XHB201120P56")</f>
        <v>N/A</v>
      </c>
      <c r="S786" t="str">
        <f>RTD("tos.rtd", , "EXTRINSIC", ".XHB201120P56")</f>
        <v>N/A</v>
      </c>
      <c r="T786" t="str">
        <f>RTD("tos.rtd", , "PROB_OF_EXPIRING", ".XHB201120P56")</f>
        <v>N/A</v>
      </c>
      <c r="U786" t="str">
        <f>RTD("tos.rtd", , "PROB_OTM", ".XHB201120P56")</f>
        <v>N/A</v>
      </c>
      <c r="V786" t="str">
        <f>RTD("tos.rtd", , "PROB_OF_TOUCHING", ".XHB201120P56")</f>
        <v>N/A</v>
      </c>
      <c r="W786" t="str">
        <f>RTD("tos.rtd", , "STRIKE", ".XHB201120P56")</f>
        <v>N/A</v>
      </c>
    </row>
    <row r="787" spans="1:23" x14ac:dyDescent="0.45">
      <c r="A787" t="s">
        <v>808</v>
      </c>
      <c r="B787" t="str">
        <f>RTD("tos.rtd", , "DESCRIPTION", "XLB")</f>
        <v>SELECT SECTOR SPDR TRUST SBI MATERIALS ETF</v>
      </c>
      <c r="C787">
        <f>RTD("tos.rtd", , "PUT_CALL_RATIO", "XLB")</f>
        <v>1.6439999999999999</v>
      </c>
      <c r="D787" t="str">
        <f>RTD("tos.rtd", , "IMPL_VOL", "XLB")</f>
        <v>27.21%</v>
      </c>
      <c r="E787">
        <f>RTD("tos.rtd", , "LAST", "XLB")</f>
        <v>67.84</v>
      </c>
      <c r="F787">
        <f>RTD("tos.rtd", , "VOLUME", "XLB")</f>
        <v>5526842</v>
      </c>
      <c r="G787">
        <f>RTD("tos.rtd", , "OPEN_INT", "XLB")</f>
        <v>0</v>
      </c>
      <c r="H787">
        <f>RTD("tos.rtd", , "BID", "XLB")</f>
        <v>67.45</v>
      </c>
      <c r="I787">
        <f>RTD("tos.rtd", , "ASK", "XLB")</f>
        <v>67.900000000000006</v>
      </c>
      <c r="J787">
        <f>RTD("tos.rtd", , "HIGH", "XLB")</f>
        <v>69.040000000000006</v>
      </c>
      <c r="K787">
        <f>RTD("tos.rtd", , "LOW", "XLB")</f>
        <v>67.400000000000006</v>
      </c>
      <c r="L787">
        <f>RTD("tos.rtd", , "OPEN", "XLB")</f>
        <v>68.989999999999995</v>
      </c>
      <c r="M787">
        <f>RTD("tos.rtd", , "DELTA", "XLB")</f>
        <v>1</v>
      </c>
      <c r="N787">
        <f>RTD("tos.rtd", , "GAMMA", "XLB")</f>
        <v>0</v>
      </c>
      <c r="O787">
        <f>RTD("tos.rtd", , "THETA", "XLB")</f>
        <v>0</v>
      </c>
      <c r="P787">
        <f>RTD("tos.rtd", , "VEGA", "XLB")</f>
        <v>0</v>
      </c>
      <c r="Q787">
        <f>RTD("tos.rtd", , "RHO", "XLB")</f>
        <v>0</v>
      </c>
      <c r="R787" t="str">
        <f>RTD("tos.rtd", , "INTRINSIC", "XLB")</f>
        <v>N/A</v>
      </c>
      <c r="S787" t="str">
        <f>RTD("tos.rtd", , "EXTRINSIC", "XLB")</f>
        <v>N/A</v>
      </c>
      <c r="T787" t="str">
        <f>RTD("tos.rtd", , "PROB_OF_EXPIRING", "XLB")</f>
        <v>N/A</v>
      </c>
      <c r="U787" t="str">
        <f>RTD("tos.rtd", , "PROB_OTM", "XLB")</f>
        <v>N/A</v>
      </c>
      <c r="V787" t="str">
        <f>RTD("tos.rtd", , "PROB_OF_TOUCHING", "XLB")</f>
        <v>N/A</v>
      </c>
      <c r="W787" t="str">
        <f>RTD("tos.rtd", , "STRIKE", "XLB")</f>
        <v>N/A</v>
      </c>
    </row>
    <row r="788" spans="1:23" x14ac:dyDescent="0.45">
      <c r="A788" t="s">
        <v>809</v>
      </c>
      <c r="B788" t="str">
        <f>RTD("tos.rtd", , "DESCRIPTION", ".XLB201120C68.5")</f>
        <v>N/A</v>
      </c>
      <c r="C788" t="str">
        <f>RTD("tos.rtd", , "PUT_CALL_RATIO", ".XLB201120C68.5")</f>
        <v>N/A</v>
      </c>
      <c r="D788" t="str">
        <f>RTD("tos.rtd", , "IMPL_VOL", ".XLB201120C68.5")</f>
        <v>N/A</v>
      </c>
      <c r="E788">
        <f>RTD("tos.rtd", , "LAST", ".XLB201120C68.5")</f>
        <v>0.66</v>
      </c>
      <c r="F788">
        <f>RTD("tos.rtd", , "VOLUME", ".XLB201120C68.5")</f>
        <v>8</v>
      </c>
      <c r="G788">
        <f>RTD("tos.rtd", , "OPEN_INT", ".XLB201120C68.5")</f>
        <v>28</v>
      </c>
      <c r="H788">
        <f>RTD("tos.rtd", , "BID", ".XLB201120C68.5")</f>
        <v>0.24</v>
      </c>
      <c r="I788">
        <f>RTD("tos.rtd", , "ASK", ".XLB201120C68.5")</f>
        <v>1.19</v>
      </c>
      <c r="J788">
        <f>RTD("tos.rtd", , "HIGH", ".XLB201120C68.5")</f>
        <v>0.66</v>
      </c>
      <c r="K788">
        <f>RTD("tos.rtd", , "LOW", ".XLB201120C68.5")</f>
        <v>0.66</v>
      </c>
      <c r="L788">
        <f>RTD("tos.rtd", , "OPEN", ".XLB201120C68.5")</f>
        <v>0.66</v>
      </c>
      <c r="M788" t="str">
        <f>RTD("tos.rtd", , "DELTA", ".XLB201120C68.5")</f>
        <v>N/A</v>
      </c>
      <c r="N788" t="str">
        <f>RTD("tos.rtd", , "GAMMA", ".XLB201120C68.5")</f>
        <v>N/A</v>
      </c>
      <c r="O788" t="str">
        <f>RTD("tos.rtd", , "THETA", ".XLB201120C68.5")</f>
        <v>N/A</v>
      </c>
      <c r="P788" t="str">
        <f>RTD("tos.rtd", , "VEGA", ".XLB201120C68.5")</f>
        <v>N/A</v>
      </c>
      <c r="Q788" t="str">
        <f>RTD("tos.rtd", , "RHO", ".XLB201120C68.5")</f>
        <v>N/A</v>
      </c>
      <c r="R788" t="str">
        <f>RTD("tos.rtd", , "INTRINSIC", ".XLB201120C68.5")</f>
        <v>N/A</v>
      </c>
      <c r="S788" t="str">
        <f>RTD("tos.rtd", , "EXTRINSIC", ".XLB201120C68.5")</f>
        <v>N/A</v>
      </c>
      <c r="T788" t="str">
        <f>RTD("tos.rtd", , "PROB_OF_EXPIRING", ".XLB201120C68.5")</f>
        <v>N/A</v>
      </c>
      <c r="U788" t="str">
        <f>RTD("tos.rtd", , "PROB_OTM", ".XLB201120C68.5")</f>
        <v>N/A</v>
      </c>
      <c r="V788" t="str">
        <f>RTD("tos.rtd", , "PROB_OF_TOUCHING", ".XLB201120C68.5")</f>
        <v>N/A</v>
      </c>
      <c r="W788" t="str">
        <f>RTD("tos.rtd", , "STRIKE", ".XLB201120C68.5")</f>
        <v>N/A</v>
      </c>
    </row>
    <row r="789" spans="1:23" x14ac:dyDescent="0.45">
      <c r="A789" t="s">
        <v>810</v>
      </c>
      <c r="B789" t="str">
        <f>RTD("tos.rtd", , "DESCRIPTION", ".XLB201120P68.5")</f>
        <v>N/A</v>
      </c>
      <c r="C789" t="str">
        <f>RTD("tos.rtd", , "PUT_CALL_RATIO", ".XLB201120P68.5")</f>
        <v>N/A</v>
      </c>
      <c r="D789" t="str">
        <f>RTD("tos.rtd", , "IMPL_VOL", ".XLB201120P68.5")</f>
        <v>N/A</v>
      </c>
      <c r="E789" t="str">
        <f>RTD("tos.rtd", , "LAST", ".XLB201120P68.5")</f>
        <v>N/A</v>
      </c>
      <c r="F789" t="str">
        <f>RTD("tos.rtd", , "VOLUME", ".XLB201120P68.5")</f>
        <v>N/A</v>
      </c>
      <c r="G789" t="str">
        <f>RTD("tos.rtd", , "OPEN_INT", ".XLB201120P68.5")</f>
        <v>N/A</v>
      </c>
      <c r="H789" t="str">
        <f>RTD("tos.rtd", , "BID", ".XLB201120P68.5")</f>
        <v>N/A</v>
      </c>
      <c r="I789" t="str">
        <f>RTD("tos.rtd", , "ASK", ".XLB201120P68.5")</f>
        <v>N/A</v>
      </c>
      <c r="J789" t="str">
        <f>RTD("tos.rtd", , "HIGH", ".XLB201120P68.5")</f>
        <v>N/A</v>
      </c>
      <c r="K789" t="str">
        <f>RTD("tos.rtd", , "LOW", ".XLB201120P68.5")</f>
        <v>N/A</v>
      </c>
      <c r="L789" t="str">
        <f>RTD("tos.rtd", , "OPEN", ".XLB201120P68.5")</f>
        <v>N/A</v>
      </c>
      <c r="M789" t="str">
        <f>RTD("tos.rtd", , "DELTA", ".XLB201120P68.5")</f>
        <v>N/A</v>
      </c>
      <c r="N789" t="str">
        <f>RTD("tos.rtd", , "GAMMA", ".XLB201120P68.5")</f>
        <v>N/A</v>
      </c>
      <c r="O789" t="str">
        <f>RTD("tos.rtd", , "THETA", ".XLB201120P68.5")</f>
        <v>N/A</v>
      </c>
      <c r="P789" t="str">
        <f>RTD("tos.rtd", , "VEGA", ".XLB201120P68.5")</f>
        <v>N/A</v>
      </c>
      <c r="Q789" t="str">
        <f>RTD("tos.rtd", , "RHO", ".XLB201120P68.5")</f>
        <v>N/A</v>
      </c>
      <c r="R789" t="str">
        <f>RTD("tos.rtd", , "INTRINSIC", ".XLB201120P68.5")</f>
        <v>N/A</v>
      </c>
      <c r="S789" t="str">
        <f>RTD("tos.rtd", , "EXTRINSIC", ".XLB201120P68.5")</f>
        <v>N/A</v>
      </c>
      <c r="T789" t="str">
        <f>RTD("tos.rtd", , "PROB_OF_EXPIRING", ".XLB201120P68.5")</f>
        <v>N/A</v>
      </c>
      <c r="U789" t="str">
        <f>RTD("tos.rtd", , "PROB_OTM", ".XLB201120P68.5")</f>
        <v>N/A</v>
      </c>
      <c r="V789" t="str">
        <f>RTD("tos.rtd", , "PROB_OF_TOUCHING", ".XLB201120P68.5")</f>
        <v>N/A</v>
      </c>
      <c r="W789" t="str">
        <f>RTD("tos.rtd", , "STRIKE", ".XLB201120P68.5")</f>
        <v>N/A</v>
      </c>
    </row>
    <row r="790" spans="1:23" x14ac:dyDescent="0.45">
      <c r="A790" t="s">
        <v>811</v>
      </c>
      <c r="B790" t="str">
        <f>RTD("tos.rtd", , "DESCRIPTION", ".XLB201120C69")</f>
        <v>N/A</v>
      </c>
      <c r="C790" t="str">
        <f>RTD("tos.rtd", , "PUT_CALL_RATIO", ".XLB201120C69")</f>
        <v>N/A</v>
      </c>
      <c r="D790" t="str">
        <f>RTD("tos.rtd", , "IMPL_VOL", ".XLB201120C69")</f>
        <v>N/A</v>
      </c>
      <c r="E790">
        <f>RTD("tos.rtd", , "LAST", ".XLB201120C69")</f>
        <v>0.5</v>
      </c>
      <c r="F790">
        <f>RTD("tos.rtd", , "VOLUME", ".XLB201120C69")</f>
        <v>11</v>
      </c>
      <c r="G790">
        <f>RTD("tos.rtd", , "OPEN_INT", ".XLB201120C69")</f>
        <v>223</v>
      </c>
      <c r="H790">
        <f>RTD("tos.rtd", , "BID", ".XLB201120C69")</f>
        <v>0.03</v>
      </c>
      <c r="I790">
        <f>RTD("tos.rtd", , "ASK", ".XLB201120C69")</f>
        <v>0.83</v>
      </c>
      <c r="J790">
        <f>RTD("tos.rtd", , "HIGH", ".XLB201120C69")</f>
        <v>0.96</v>
      </c>
      <c r="K790">
        <f>RTD("tos.rtd", , "LOW", ".XLB201120C69")</f>
        <v>0.5</v>
      </c>
      <c r="L790">
        <f>RTD("tos.rtd", , "OPEN", ".XLB201120C69")</f>
        <v>0.96</v>
      </c>
      <c r="M790" t="str">
        <f>RTD("tos.rtd", , "DELTA", ".XLB201120C69")</f>
        <v>N/A</v>
      </c>
      <c r="N790" t="str">
        <f>RTD("tos.rtd", , "GAMMA", ".XLB201120C69")</f>
        <v>N/A</v>
      </c>
      <c r="O790" t="str">
        <f>RTD("tos.rtd", , "THETA", ".XLB201120C69")</f>
        <v>N/A</v>
      </c>
      <c r="P790" t="str">
        <f>RTD("tos.rtd", , "VEGA", ".XLB201120C69")</f>
        <v>N/A</v>
      </c>
      <c r="Q790" t="str">
        <f>RTD("tos.rtd", , "RHO", ".XLB201120C69")</f>
        <v>N/A</v>
      </c>
      <c r="R790" t="str">
        <f>RTD("tos.rtd", , "INTRINSIC", ".XLB201120C69")</f>
        <v>N/A</v>
      </c>
      <c r="S790" t="str">
        <f>RTD("tos.rtd", , "EXTRINSIC", ".XLB201120C69")</f>
        <v>N/A</v>
      </c>
      <c r="T790" t="str">
        <f>RTD("tos.rtd", , "PROB_OF_EXPIRING", ".XLB201120C69")</f>
        <v>N/A</v>
      </c>
      <c r="U790" t="str">
        <f>RTD("tos.rtd", , "PROB_OTM", ".XLB201120C69")</f>
        <v>N/A</v>
      </c>
      <c r="V790" t="str">
        <f>RTD("tos.rtd", , "PROB_OF_TOUCHING", ".XLB201120C69")</f>
        <v>N/A</v>
      </c>
      <c r="W790" t="str">
        <f>RTD("tos.rtd", , "STRIKE", ".XLB201120C69")</f>
        <v>N/A</v>
      </c>
    </row>
    <row r="791" spans="1:23" x14ac:dyDescent="0.45">
      <c r="A791" t="s">
        <v>812</v>
      </c>
      <c r="B791" t="str">
        <f>RTD("tos.rtd", , "DESCRIPTION", ".XLB201120P69")</f>
        <v>N/A</v>
      </c>
      <c r="C791" t="str">
        <f>RTD("tos.rtd", , "PUT_CALL_RATIO", ".XLB201120P69")</f>
        <v>N/A</v>
      </c>
      <c r="D791" t="str">
        <f>RTD("tos.rtd", , "IMPL_VOL", ".XLB201120P69")</f>
        <v>N/A</v>
      </c>
      <c r="E791">
        <f>RTD("tos.rtd", , "LAST", ".XLB201120P69")</f>
        <v>1.79</v>
      </c>
      <c r="F791">
        <f>RTD("tos.rtd", , "VOLUME", ".XLB201120P69")</f>
        <v>12</v>
      </c>
      <c r="G791">
        <f>RTD("tos.rtd", , "OPEN_INT", ".XLB201120P69")</f>
        <v>954</v>
      </c>
      <c r="H791">
        <f>RTD("tos.rtd", , "BID", ".XLB201120P69")</f>
        <v>1.1100000000000001</v>
      </c>
      <c r="I791">
        <f>RTD("tos.rtd", , "ASK", ".XLB201120P69")</f>
        <v>2.2799999999999998</v>
      </c>
      <c r="J791">
        <f>RTD("tos.rtd", , "HIGH", ".XLB201120P69")</f>
        <v>1.79</v>
      </c>
      <c r="K791">
        <f>RTD("tos.rtd", , "LOW", ".XLB201120P69")</f>
        <v>1.02</v>
      </c>
      <c r="L791">
        <f>RTD("tos.rtd", , "OPEN", ".XLB201120P69")</f>
        <v>1.02</v>
      </c>
      <c r="M791" t="str">
        <f>RTD("tos.rtd", , "DELTA", ".XLB201120P69")</f>
        <v>N/A</v>
      </c>
      <c r="N791" t="str">
        <f>RTD("tos.rtd", , "GAMMA", ".XLB201120P69")</f>
        <v>N/A</v>
      </c>
      <c r="O791" t="str">
        <f>RTD("tos.rtd", , "THETA", ".XLB201120P69")</f>
        <v>N/A</v>
      </c>
      <c r="P791" t="str">
        <f>RTD("tos.rtd", , "VEGA", ".XLB201120P69")</f>
        <v>N/A</v>
      </c>
      <c r="Q791" t="str">
        <f>RTD("tos.rtd", , "RHO", ".XLB201120P69")</f>
        <v>N/A</v>
      </c>
      <c r="R791" t="str">
        <f>RTD("tos.rtd", , "INTRINSIC", ".XLB201120P69")</f>
        <v>N/A</v>
      </c>
      <c r="S791" t="str">
        <f>RTD("tos.rtd", , "EXTRINSIC", ".XLB201120P69")</f>
        <v>N/A</v>
      </c>
      <c r="T791" t="str">
        <f>RTD("tos.rtd", , "PROB_OF_EXPIRING", ".XLB201120P69")</f>
        <v>N/A</v>
      </c>
      <c r="U791" t="str">
        <f>RTD("tos.rtd", , "PROB_OTM", ".XLB201120P69")</f>
        <v>N/A</v>
      </c>
      <c r="V791" t="str">
        <f>RTD("tos.rtd", , "PROB_OF_TOUCHING", ".XLB201120P69")</f>
        <v>N/A</v>
      </c>
      <c r="W791" t="str">
        <f>RTD("tos.rtd", , "STRIKE", ".XLB201120P69")</f>
        <v>N/A</v>
      </c>
    </row>
    <row r="792" spans="1:23" x14ac:dyDescent="0.45">
      <c r="A792" t="s">
        <v>813</v>
      </c>
      <c r="B792" t="str">
        <f>RTD("tos.rtd", , "DESCRIPTION", ".XLB201120C69.5")</f>
        <v>N/A</v>
      </c>
      <c r="C792" t="str">
        <f>RTD("tos.rtd", , "PUT_CALL_RATIO", ".XLB201120C69.5")</f>
        <v>N/A</v>
      </c>
      <c r="D792" t="str">
        <f>RTD("tos.rtd", , "IMPL_VOL", ".XLB201120C69.5")</f>
        <v>N/A</v>
      </c>
      <c r="E792">
        <f>RTD("tos.rtd", , "LAST", ".XLB201120C69.5")</f>
        <v>0.97</v>
      </c>
      <c r="F792">
        <f>RTD("tos.rtd", , "VOLUME", ".XLB201120C69.5")</f>
        <v>0</v>
      </c>
      <c r="G792">
        <f>RTD("tos.rtd", , "OPEN_INT", ".XLB201120C69.5")</f>
        <v>23</v>
      </c>
      <c r="H792">
        <f>RTD("tos.rtd", , "BID", ".XLB201120C69.5")</f>
        <v>0</v>
      </c>
      <c r="I792">
        <f>RTD("tos.rtd", , "ASK", ".XLB201120C69.5")</f>
        <v>0.72</v>
      </c>
      <c r="J792">
        <f>RTD("tos.rtd", , "HIGH", ".XLB201120C69.5")</f>
        <v>0</v>
      </c>
      <c r="K792">
        <f>RTD("tos.rtd", , "LOW", ".XLB201120C69.5")</f>
        <v>0</v>
      </c>
      <c r="L792">
        <f>RTD("tos.rtd", , "OPEN", ".XLB201120C69.5")</f>
        <v>0</v>
      </c>
      <c r="M792" t="str">
        <f>RTD("tos.rtd", , "DELTA", ".XLB201120C69.5")</f>
        <v>N/A</v>
      </c>
      <c r="N792" t="str">
        <f>RTD("tos.rtd", , "GAMMA", ".XLB201120C69.5")</f>
        <v>N/A</v>
      </c>
      <c r="O792" t="str">
        <f>RTD("tos.rtd", , "THETA", ".XLB201120C69.5")</f>
        <v>N/A</v>
      </c>
      <c r="P792" t="str">
        <f>RTD("tos.rtd", , "VEGA", ".XLB201120C69.5")</f>
        <v>N/A</v>
      </c>
      <c r="Q792" t="str">
        <f>RTD("tos.rtd", , "RHO", ".XLB201120C69.5")</f>
        <v>N/A</v>
      </c>
      <c r="R792" t="str">
        <f>RTD("tos.rtd", , "INTRINSIC", ".XLB201120C69.5")</f>
        <v>N/A</v>
      </c>
      <c r="S792" t="str">
        <f>RTD("tos.rtd", , "EXTRINSIC", ".XLB201120C69.5")</f>
        <v>N/A</v>
      </c>
      <c r="T792" t="str">
        <f>RTD("tos.rtd", , "PROB_OF_EXPIRING", ".XLB201120C69.5")</f>
        <v>N/A</v>
      </c>
      <c r="U792" t="str">
        <f>RTD("tos.rtd", , "PROB_OTM", ".XLB201120C69.5")</f>
        <v>N/A</v>
      </c>
      <c r="V792" t="str">
        <f>RTD("tos.rtd", , "PROB_OF_TOUCHING", ".XLB201120C69.5")</f>
        <v>N/A</v>
      </c>
      <c r="W792" t="str">
        <f>RTD("tos.rtd", , "STRIKE", ".XLB201120C69.5")</f>
        <v>N/A</v>
      </c>
    </row>
    <row r="793" spans="1:23" x14ac:dyDescent="0.45">
      <c r="A793" t="s">
        <v>814</v>
      </c>
      <c r="B793" t="str">
        <f>RTD("tos.rtd", , "DESCRIPTION", ".XLB201120P69.5")</f>
        <v>N/A</v>
      </c>
      <c r="C793" t="str">
        <f>RTD("tos.rtd", , "PUT_CALL_RATIO", ".XLB201120P69.5")</f>
        <v>N/A</v>
      </c>
      <c r="D793" t="str">
        <f>RTD("tos.rtd", , "IMPL_VOL", ".XLB201120P69.5")</f>
        <v>N/A</v>
      </c>
      <c r="E793" t="str">
        <f>RTD("tos.rtd", , "LAST", ".XLB201120P69.5")</f>
        <v>N/A</v>
      </c>
      <c r="F793" t="str">
        <f>RTD("tos.rtd", , "VOLUME", ".XLB201120P69.5")</f>
        <v>N/A</v>
      </c>
      <c r="G793" t="str">
        <f>RTD("tos.rtd", , "OPEN_INT", ".XLB201120P69.5")</f>
        <v>N/A</v>
      </c>
      <c r="H793" t="str">
        <f>RTD("tos.rtd", , "BID", ".XLB201120P69.5")</f>
        <v>N/A</v>
      </c>
      <c r="I793" t="str">
        <f>RTD("tos.rtd", , "ASK", ".XLB201120P69.5")</f>
        <v>N/A</v>
      </c>
      <c r="J793" t="str">
        <f>RTD("tos.rtd", , "HIGH", ".XLB201120P69.5")</f>
        <v>N/A</v>
      </c>
      <c r="K793" t="str">
        <f>RTD("tos.rtd", , "LOW", ".XLB201120P69.5")</f>
        <v>N/A</v>
      </c>
      <c r="L793" t="str">
        <f>RTD("tos.rtd", , "OPEN", ".XLB201120P69.5")</f>
        <v>N/A</v>
      </c>
      <c r="M793" t="str">
        <f>RTD("tos.rtd", , "DELTA", ".XLB201120P69.5")</f>
        <v>N/A</v>
      </c>
      <c r="N793" t="str">
        <f>RTD("tos.rtd", , "GAMMA", ".XLB201120P69.5")</f>
        <v>N/A</v>
      </c>
      <c r="O793" t="str">
        <f>RTD("tos.rtd", , "THETA", ".XLB201120P69.5")</f>
        <v>N/A</v>
      </c>
      <c r="P793" t="str">
        <f>RTD("tos.rtd", , "VEGA", ".XLB201120P69.5")</f>
        <v>N/A</v>
      </c>
      <c r="Q793" t="str">
        <f>RTD("tos.rtd", , "RHO", ".XLB201120P69.5")</f>
        <v>N/A</v>
      </c>
      <c r="R793" t="str">
        <f>RTD("tos.rtd", , "INTRINSIC", ".XLB201120P69.5")</f>
        <v>N/A</v>
      </c>
      <c r="S793" t="str">
        <f>RTD("tos.rtd", , "EXTRINSIC", ".XLB201120P69.5")</f>
        <v>N/A</v>
      </c>
      <c r="T793" t="str">
        <f>RTD("tos.rtd", , "PROB_OF_EXPIRING", ".XLB201120P69.5")</f>
        <v>N/A</v>
      </c>
      <c r="U793" t="str">
        <f>RTD("tos.rtd", , "PROB_OTM", ".XLB201120P69.5")</f>
        <v>N/A</v>
      </c>
      <c r="V793" t="str">
        <f>RTD("tos.rtd", , "PROB_OF_TOUCHING", ".XLB201120P69.5")</f>
        <v>N/A</v>
      </c>
      <c r="W793" t="str">
        <f>RTD("tos.rtd", , "STRIKE", ".XLB201120P69.5")</f>
        <v>N/A</v>
      </c>
    </row>
    <row r="794" spans="1:23" x14ac:dyDescent="0.45">
      <c r="A794" t="s">
        <v>815</v>
      </c>
      <c r="B794" t="str">
        <f>RTD("tos.rtd", , "DESCRIPTION", ".XLB201120C70")</f>
        <v>N/A</v>
      </c>
      <c r="C794" t="str">
        <f>RTD("tos.rtd", , "PUT_CALL_RATIO", ".XLB201120C70")</f>
        <v>N/A</v>
      </c>
      <c r="D794" t="str">
        <f>RTD("tos.rtd", , "IMPL_VOL", ".XLB201120C70")</f>
        <v>N/A</v>
      </c>
      <c r="E794">
        <f>RTD("tos.rtd", , "LAST", ".XLB201120C70")</f>
        <v>0.28999999999999998</v>
      </c>
      <c r="F794">
        <f>RTD("tos.rtd", , "VOLUME", ".XLB201120C70")</f>
        <v>9</v>
      </c>
      <c r="G794">
        <f>RTD("tos.rtd", , "OPEN_INT", ".XLB201120C70")</f>
        <v>94</v>
      </c>
      <c r="H794">
        <f>RTD("tos.rtd", , "BID", ".XLB201120C70")</f>
        <v>0.2</v>
      </c>
      <c r="I794">
        <f>RTD("tos.rtd", , "ASK", ".XLB201120C70")</f>
        <v>0.53</v>
      </c>
      <c r="J794">
        <f>RTD("tos.rtd", , "HIGH", ".XLB201120C70")</f>
        <v>0.43</v>
      </c>
      <c r="K794">
        <f>RTD("tos.rtd", , "LOW", ".XLB201120C70")</f>
        <v>0.24</v>
      </c>
      <c r="L794">
        <f>RTD("tos.rtd", , "OPEN", ".XLB201120C70")</f>
        <v>0.43</v>
      </c>
      <c r="M794" t="str">
        <f>RTD("tos.rtd", , "DELTA", ".XLB201120C70")</f>
        <v>N/A</v>
      </c>
      <c r="N794" t="str">
        <f>RTD("tos.rtd", , "GAMMA", ".XLB201120C70")</f>
        <v>N/A</v>
      </c>
      <c r="O794" t="str">
        <f>RTD("tos.rtd", , "THETA", ".XLB201120C70")</f>
        <v>N/A</v>
      </c>
      <c r="P794" t="str">
        <f>RTD("tos.rtd", , "VEGA", ".XLB201120C70")</f>
        <v>N/A</v>
      </c>
      <c r="Q794" t="str">
        <f>RTD("tos.rtd", , "RHO", ".XLB201120C70")</f>
        <v>N/A</v>
      </c>
      <c r="R794" t="str">
        <f>RTD("tos.rtd", , "INTRINSIC", ".XLB201120C70")</f>
        <v>N/A</v>
      </c>
      <c r="S794" t="str">
        <f>RTD("tos.rtd", , "EXTRINSIC", ".XLB201120C70")</f>
        <v>N/A</v>
      </c>
      <c r="T794" t="str">
        <f>RTD("tos.rtd", , "PROB_OF_EXPIRING", ".XLB201120C70")</f>
        <v>N/A</v>
      </c>
      <c r="U794" t="str">
        <f>RTD("tos.rtd", , "PROB_OTM", ".XLB201120C70")</f>
        <v>N/A</v>
      </c>
      <c r="V794" t="str">
        <f>RTD("tos.rtd", , "PROB_OF_TOUCHING", ".XLB201120C70")</f>
        <v>N/A</v>
      </c>
      <c r="W794" t="str">
        <f>RTD("tos.rtd", , "STRIKE", ".XLB201120C70")</f>
        <v>N/A</v>
      </c>
    </row>
    <row r="795" spans="1:23" x14ac:dyDescent="0.45">
      <c r="A795" t="s">
        <v>816</v>
      </c>
      <c r="B795" t="str">
        <f>RTD("tos.rtd", , "DESCRIPTION", ".XLB201120P70")</f>
        <v>N/A</v>
      </c>
      <c r="C795" t="str">
        <f>RTD("tos.rtd", , "PUT_CALL_RATIO", ".XLB201120P70")</f>
        <v>N/A</v>
      </c>
      <c r="D795" t="str">
        <f>RTD("tos.rtd", , "IMPL_VOL", ".XLB201120P70")</f>
        <v>N/A</v>
      </c>
      <c r="E795" t="str">
        <f>RTD("tos.rtd", , "LAST", ".XLB201120P70")</f>
        <v>N/A</v>
      </c>
      <c r="F795" t="str">
        <f>RTD("tos.rtd", , "VOLUME", ".XLB201120P70")</f>
        <v>N/A</v>
      </c>
      <c r="G795" t="str">
        <f>RTD("tos.rtd", , "OPEN_INT", ".XLB201120P70")</f>
        <v>N/A</v>
      </c>
      <c r="H795" t="str">
        <f>RTD("tos.rtd", , "BID", ".XLB201120P70")</f>
        <v>N/A</v>
      </c>
      <c r="I795" t="str">
        <f>RTD("tos.rtd", , "ASK", ".XLB201120P70")</f>
        <v>N/A</v>
      </c>
      <c r="J795" t="str">
        <f>RTD("tos.rtd", , "HIGH", ".XLB201120P70")</f>
        <v>N/A</v>
      </c>
      <c r="K795" t="str">
        <f>RTD("tos.rtd", , "LOW", ".XLB201120P70")</f>
        <v>N/A</v>
      </c>
      <c r="L795" t="str">
        <f>RTD("tos.rtd", , "OPEN", ".XLB201120P70")</f>
        <v>N/A</v>
      </c>
      <c r="M795" t="str">
        <f>RTD("tos.rtd", , "DELTA", ".XLB201120P70")</f>
        <v>N/A</v>
      </c>
      <c r="N795" t="str">
        <f>RTD("tos.rtd", , "GAMMA", ".XLB201120P70")</f>
        <v>N/A</v>
      </c>
      <c r="O795" t="str">
        <f>RTD("tos.rtd", , "THETA", ".XLB201120P70")</f>
        <v>N/A</v>
      </c>
      <c r="P795" t="str">
        <f>RTD("tos.rtd", , "VEGA", ".XLB201120P70")</f>
        <v>N/A</v>
      </c>
      <c r="Q795" t="str">
        <f>RTD("tos.rtd", , "RHO", ".XLB201120P70")</f>
        <v>N/A</v>
      </c>
      <c r="R795" t="str">
        <f>RTD("tos.rtd", , "INTRINSIC", ".XLB201120P70")</f>
        <v>N/A</v>
      </c>
      <c r="S795" t="str">
        <f>RTD("tos.rtd", , "EXTRINSIC", ".XLB201120P70")</f>
        <v>N/A</v>
      </c>
      <c r="T795" t="str">
        <f>RTD("tos.rtd", , "PROB_OF_EXPIRING", ".XLB201120P70")</f>
        <v>N/A</v>
      </c>
      <c r="U795" t="str">
        <f>RTD("tos.rtd", , "PROB_OTM", ".XLB201120P70")</f>
        <v>N/A</v>
      </c>
      <c r="V795" t="str">
        <f>RTD("tos.rtd", , "PROB_OF_TOUCHING", ".XLB201120P70")</f>
        <v>N/A</v>
      </c>
      <c r="W795" t="str">
        <f>RTD("tos.rtd", , "STRIKE", ".XLB201120P70")</f>
        <v>N/A</v>
      </c>
    </row>
    <row r="796" spans="1:23" x14ac:dyDescent="0.45">
      <c r="A796" t="s">
        <v>817</v>
      </c>
      <c r="B796" t="str">
        <f>RTD("tos.rtd", , "DESCRIPTION", "XLC")</f>
        <v>SELECT SECTOR SPDR TRUST COMMUNICATION ETF</v>
      </c>
      <c r="C796">
        <f>RTD("tos.rtd", , "PUT_CALL_RATIO", "XLC")</f>
        <v>2.7029999999999998</v>
      </c>
      <c r="D796" t="str">
        <f>RTD("tos.rtd", , "IMPL_VOL", "XLC")</f>
        <v>41.28%</v>
      </c>
      <c r="E796">
        <f>RTD("tos.rtd", , "LAST", "XLC")</f>
        <v>63.17</v>
      </c>
      <c r="F796">
        <f>RTD("tos.rtd", , "VOLUME", "XLC")</f>
        <v>7035879</v>
      </c>
      <c r="G796">
        <f>RTD("tos.rtd", , "OPEN_INT", "XLC")</f>
        <v>0</v>
      </c>
      <c r="H796">
        <f>RTD("tos.rtd", , "BID", "XLC")</f>
        <v>63.19</v>
      </c>
      <c r="I796">
        <f>RTD("tos.rtd", , "ASK", "XLC")</f>
        <v>63.45</v>
      </c>
      <c r="J796">
        <f>RTD("tos.rtd", , "HIGH", "XLC")</f>
        <v>63.84</v>
      </c>
      <c r="K796">
        <f>RTD("tos.rtd", , "LOW", "XLC")</f>
        <v>62.94</v>
      </c>
      <c r="L796">
        <f>RTD("tos.rtd", , "OPEN", "XLC")</f>
        <v>63.49</v>
      </c>
      <c r="M796">
        <f>RTD("tos.rtd", , "DELTA", "XLC")</f>
        <v>1</v>
      </c>
      <c r="N796">
        <f>RTD("tos.rtd", , "GAMMA", "XLC")</f>
        <v>0</v>
      </c>
      <c r="O796">
        <f>RTD("tos.rtd", , "THETA", "XLC")</f>
        <v>0</v>
      </c>
      <c r="P796">
        <f>RTD("tos.rtd", , "VEGA", "XLC")</f>
        <v>0</v>
      </c>
      <c r="Q796">
        <f>RTD("tos.rtd", , "RHO", "XLC")</f>
        <v>0</v>
      </c>
      <c r="R796" t="str">
        <f>RTD("tos.rtd", , "INTRINSIC", "XLC")</f>
        <v>N/A</v>
      </c>
      <c r="S796" t="str">
        <f>RTD("tos.rtd", , "EXTRINSIC", "XLC")</f>
        <v>N/A</v>
      </c>
      <c r="T796" t="str">
        <f>RTD("tos.rtd", , "PROB_OF_EXPIRING", "XLC")</f>
        <v>N/A</v>
      </c>
      <c r="U796" t="str">
        <f>RTD("tos.rtd", , "PROB_OTM", "XLC")</f>
        <v>N/A</v>
      </c>
      <c r="V796" t="str">
        <f>RTD("tos.rtd", , "PROB_OF_TOUCHING", "XLC")</f>
        <v>N/A</v>
      </c>
      <c r="W796" t="str">
        <f>RTD("tos.rtd", , "STRIKE", "XLC")</f>
        <v>N/A</v>
      </c>
    </row>
    <row r="797" spans="1:23" x14ac:dyDescent="0.45">
      <c r="A797" t="s">
        <v>818</v>
      </c>
      <c r="B797" t="str">
        <f>RTD("tos.rtd", , "DESCRIPTION", ".XLC201120C63")</f>
        <v>N/A</v>
      </c>
      <c r="C797" t="str">
        <f>RTD("tos.rtd", , "PUT_CALL_RATIO", ".XLC201120C63")</f>
        <v>N/A</v>
      </c>
      <c r="D797" t="str">
        <f>RTD("tos.rtd", , "IMPL_VOL", ".XLC201120C63")</f>
        <v>N/A</v>
      </c>
      <c r="E797">
        <f>RTD("tos.rtd", , "LAST", ".XLC201120C63")</f>
        <v>1.28</v>
      </c>
      <c r="F797">
        <f>RTD("tos.rtd", , "VOLUME", ".XLC201120C63")</f>
        <v>6</v>
      </c>
      <c r="G797">
        <f>RTD("tos.rtd", , "OPEN_INT", ".XLC201120C63")</f>
        <v>88</v>
      </c>
      <c r="H797">
        <f>RTD("tos.rtd", , "BID", ".XLC201120C63")</f>
        <v>0</v>
      </c>
      <c r="I797">
        <f>RTD("tos.rtd", , "ASK", ".XLC201120C63")</f>
        <v>5</v>
      </c>
      <c r="J797">
        <f>RTD("tos.rtd", , "HIGH", ".XLC201120C63")</f>
        <v>1.35</v>
      </c>
      <c r="K797">
        <f>RTD("tos.rtd", , "LOW", ".XLC201120C63")</f>
        <v>1.28</v>
      </c>
      <c r="L797">
        <f>RTD("tos.rtd", , "OPEN", ".XLC201120C63")</f>
        <v>1.35</v>
      </c>
      <c r="M797" t="str">
        <f>RTD("tos.rtd", , "DELTA", ".XLC201120C63")</f>
        <v>N/A</v>
      </c>
      <c r="N797" t="str">
        <f>RTD("tos.rtd", , "GAMMA", ".XLC201120C63")</f>
        <v>N/A</v>
      </c>
      <c r="O797" t="str">
        <f>RTD("tos.rtd", , "THETA", ".XLC201120C63")</f>
        <v>N/A</v>
      </c>
      <c r="P797" t="str">
        <f>RTD("tos.rtd", , "VEGA", ".XLC201120C63")</f>
        <v>N/A</v>
      </c>
      <c r="Q797" t="str">
        <f>RTD("tos.rtd", , "RHO", ".XLC201120C63")</f>
        <v>N/A</v>
      </c>
      <c r="R797" t="str">
        <f>RTD("tos.rtd", , "INTRINSIC", ".XLC201120C63")</f>
        <v>N/A</v>
      </c>
      <c r="S797" t="str">
        <f>RTD("tos.rtd", , "EXTRINSIC", ".XLC201120C63")</f>
        <v>N/A</v>
      </c>
      <c r="T797" t="str">
        <f>RTD("tos.rtd", , "PROB_OF_EXPIRING", ".XLC201120C63")</f>
        <v>N/A</v>
      </c>
      <c r="U797" t="str">
        <f>RTD("tos.rtd", , "PROB_OTM", ".XLC201120C63")</f>
        <v>N/A</v>
      </c>
      <c r="V797" t="str">
        <f>RTD("tos.rtd", , "PROB_OF_TOUCHING", ".XLC201120C63")</f>
        <v>N/A</v>
      </c>
      <c r="W797" t="str">
        <f>RTD("tos.rtd", , "STRIKE", ".XLC201120C63")</f>
        <v>N/A</v>
      </c>
    </row>
    <row r="798" spans="1:23" x14ac:dyDescent="0.45">
      <c r="A798" t="s">
        <v>819</v>
      </c>
      <c r="B798" t="str">
        <f>RTD("tos.rtd", , "DESCRIPTION", ".XLC201120P63")</f>
        <v>N/A</v>
      </c>
      <c r="C798" t="str">
        <f>RTD("tos.rtd", , "PUT_CALL_RATIO", ".XLC201120P63")</f>
        <v>N/A</v>
      </c>
      <c r="D798" t="str">
        <f>RTD("tos.rtd", , "IMPL_VOL", ".XLC201120P63")</f>
        <v>N/A</v>
      </c>
      <c r="E798" t="str">
        <f>RTD("tos.rtd", , "LAST", ".XLC201120P63")</f>
        <v>N/A</v>
      </c>
      <c r="F798" t="str">
        <f>RTD("tos.rtd", , "VOLUME", ".XLC201120P63")</f>
        <v>N/A</v>
      </c>
      <c r="G798" t="str">
        <f>RTD("tos.rtd", , "OPEN_INT", ".XLC201120P63")</f>
        <v>N/A</v>
      </c>
      <c r="H798" t="str">
        <f>RTD("tos.rtd", , "BID", ".XLC201120P63")</f>
        <v>N/A</v>
      </c>
      <c r="I798" t="str">
        <f>RTD("tos.rtd", , "ASK", ".XLC201120P63")</f>
        <v>N/A</v>
      </c>
      <c r="J798" t="str">
        <f>RTD("tos.rtd", , "HIGH", ".XLC201120P63")</f>
        <v>N/A</v>
      </c>
      <c r="K798" t="str">
        <f>RTD("tos.rtd", , "LOW", ".XLC201120P63")</f>
        <v>N/A</v>
      </c>
      <c r="L798" t="str">
        <f>RTD("tos.rtd", , "OPEN", ".XLC201120P63")</f>
        <v>N/A</v>
      </c>
      <c r="M798" t="str">
        <f>RTD("tos.rtd", , "DELTA", ".XLC201120P63")</f>
        <v>N/A</v>
      </c>
      <c r="N798" t="str">
        <f>RTD("tos.rtd", , "GAMMA", ".XLC201120P63")</f>
        <v>N/A</v>
      </c>
      <c r="O798" t="str">
        <f>RTD("tos.rtd", , "THETA", ".XLC201120P63")</f>
        <v>N/A</v>
      </c>
      <c r="P798" t="str">
        <f>RTD("tos.rtd", , "VEGA", ".XLC201120P63")</f>
        <v>N/A</v>
      </c>
      <c r="Q798" t="str">
        <f>RTD("tos.rtd", , "RHO", ".XLC201120P63")</f>
        <v>N/A</v>
      </c>
      <c r="R798" t="str">
        <f>RTD("tos.rtd", , "INTRINSIC", ".XLC201120P63")</f>
        <v>N/A</v>
      </c>
      <c r="S798" t="str">
        <f>RTD("tos.rtd", , "EXTRINSIC", ".XLC201120P63")</f>
        <v>N/A</v>
      </c>
      <c r="T798" t="str">
        <f>RTD("tos.rtd", , "PROB_OF_EXPIRING", ".XLC201120P63")</f>
        <v>N/A</v>
      </c>
      <c r="U798" t="str">
        <f>RTD("tos.rtd", , "PROB_OTM", ".XLC201120P63")</f>
        <v>N/A</v>
      </c>
      <c r="V798" t="str">
        <f>RTD("tos.rtd", , "PROB_OF_TOUCHING", ".XLC201120P63")</f>
        <v>N/A</v>
      </c>
      <c r="W798" t="str">
        <f>RTD("tos.rtd", , "STRIKE", ".XLC201120P63")</f>
        <v>N/A</v>
      </c>
    </row>
    <row r="799" spans="1:23" x14ac:dyDescent="0.45">
      <c r="A799" t="s">
        <v>820</v>
      </c>
      <c r="B799" t="str">
        <f>RTD("tos.rtd", , "DESCRIPTION", ".XLC201120C63.5")</f>
        <v>N/A</v>
      </c>
      <c r="C799" t="str">
        <f>RTD("tos.rtd", , "PUT_CALL_RATIO", ".XLC201120C63.5")</f>
        <v>N/A</v>
      </c>
      <c r="D799" t="str">
        <f>RTD("tos.rtd", , "IMPL_VOL", ".XLC201120C63.5")</f>
        <v>N/A</v>
      </c>
      <c r="E799" t="str">
        <f>RTD("tos.rtd", , "LAST", ".XLC201120C63.5")</f>
        <v>N/A</v>
      </c>
      <c r="F799" t="str">
        <f>RTD("tos.rtd", , "VOLUME", ".XLC201120C63.5")</f>
        <v>N/A</v>
      </c>
      <c r="G799" t="str">
        <f>RTD("tos.rtd", , "OPEN_INT", ".XLC201120C63.5")</f>
        <v>N/A</v>
      </c>
      <c r="H799" t="str">
        <f>RTD("tos.rtd", , "BID", ".XLC201120C63.5")</f>
        <v>N/A</v>
      </c>
      <c r="I799" t="str">
        <f>RTD("tos.rtd", , "ASK", ".XLC201120C63.5")</f>
        <v>N/A</v>
      </c>
      <c r="J799" t="str">
        <f>RTD("tos.rtd", , "HIGH", ".XLC201120C63.5")</f>
        <v>N/A</v>
      </c>
      <c r="K799" t="str">
        <f>RTD("tos.rtd", , "LOW", ".XLC201120C63.5")</f>
        <v>N/A</v>
      </c>
      <c r="L799" t="str">
        <f>RTD("tos.rtd", , "OPEN", ".XLC201120C63.5")</f>
        <v>N/A</v>
      </c>
      <c r="M799" t="str">
        <f>RTD("tos.rtd", , "DELTA", ".XLC201120C63.5")</f>
        <v>N/A</v>
      </c>
      <c r="N799" t="str">
        <f>RTD("tos.rtd", , "GAMMA", ".XLC201120C63.5")</f>
        <v>N/A</v>
      </c>
      <c r="O799" t="str">
        <f>RTD("tos.rtd", , "THETA", ".XLC201120C63.5")</f>
        <v>N/A</v>
      </c>
      <c r="P799" t="str">
        <f>RTD("tos.rtd", , "VEGA", ".XLC201120C63.5")</f>
        <v>N/A</v>
      </c>
      <c r="Q799" t="str">
        <f>RTD("tos.rtd", , "RHO", ".XLC201120C63.5")</f>
        <v>N/A</v>
      </c>
      <c r="R799" t="str">
        <f>RTD("tos.rtd", , "INTRINSIC", ".XLC201120C63.5")</f>
        <v>N/A</v>
      </c>
      <c r="S799" t="str">
        <f>RTD("tos.rtd", , "EXTRINSIC", ".XLC201120C63.5")</f>
        <v>N/A</v>
      </c>
      <c r="T799" t="str">
        <f>RTD("tos.rtd", , "PROB_OF_EXPIRING", ".XLC201120C63.5")</f>
        <v>N/A</v>
      </c>
      <c r="U799" t="str">
        <f>RTD("tos.rtd", , "PROB_OTM", ".XLC201120C63.5")</f>
        <v>N/A</v>
      </c>
      <c r="V799" t="str">
        <f>RTD("tos.rtd", , "PROB_OF_TOUCHING", ".XLC201120C63.5")</f>
        <v>N/A</v>
      </c>
      <c r="W799" t="str">
        <f>RTD("tos.rtd", , "STRIKE", ".XLC201120C63.5")</f>
        <v>N/A</v>
      </c>
    </row>
    <row r="800" spans="1:23" x14ac:dyDescent="0.45">
      <c r="A800" t="s">
        <v>821</v>
      </c>
      <c r="B800" t="str">
        <f>RTD("tos.rtd", , "DESCRIPTION", ".XLC201120P63.5")</f>
        <v>N/A</v>
      </c>
      <c r="C800" t="str">
        <f>RTD("tos.rtd", , "PUT_CALL_RATIO", ".XLC201120P63.5")</f>
        <v>N/A</v>
      </c>
      <c r="D800" t="str">
        <f>RTD("tos.rtd", , "IMPL_VOL", ".XLC201120P63.5")</f>
        <v>N/A</v>
      </c>
      <c r="E800">
        <f>RTD("tos.rtd", , "LAST", ".XLC201120P63.5")</f>
        <v>1.03</v>
      </c>
      <c r="F800">
        <f>RTD("tos.rtd", , "VOLUME", ".XLC201120P63.5")</f>
        <v>12</v>
      </c>
      <c r="G800">
        <f>RTD("tos.rtd", , "OPEN_INT", ".XLC201120P63.5")</f>
        <v>127</v>
      </c>
      <c r="H800">
        <f>RTD("tos.rtd", , "BID", ".XLC201120P63.5")</f>
        <v>0</v>
      </c>
      <c r="I800">
        <f>RTD("tos.rtd", , "ASK", ".XLC201120P63.5")</f>
        <v>5</v>
      </c>
      <c r="J800">
        <f>RTD("tos.rtd", , "HIGH", ".XLC201120P63.5")</f>
        <v>1.03</v>
      </c>
      <c r="K800">
        <f>RTD("tos.rtd", , "LOW", ".XLC201120P63.5")</f>
        <v>0.8</v>
      </c>
      <c r="L800">
        <f>RTD("tos.rtd", , "OPEN", ".XLC201120P63.5")</f>
        <v>0.8</v>
      </c>
      <c r="M800" t="str">
        <f>RTD("tos.rtd", , "DELTA", ".XLC201120P63.5")</f>
        <v>N/A</v>
      </c>
      <c r="N800" t="str">
        <f>RTD("tos.rtd", , "GAMMA", ".XLC201120P63.5")</f>
        <v>N/A</v>
      </c>
      <c r="O800" t="str">
        <f>RTD("tos.rtd", , "THETA", ".XLC201120P63.5")</f>
        <v>N/A</v>
      </c>
      <c r="P800" t="str">
        <f>RTD("tos.rtd", , "VEGA", ".XLC201120P63.5")</f>
        <v>N/A</v>
      </c>
      <c r="Q800" t="str">
        <f>RTD("tos.rtd", , "RHO", ".XLC201120P63.5")</f>
        <v>N/A</v>
      </c>
      <c r="R800" t="str">
        <f>RTD("tos.rtd", , "INTRINSIC", ".XLC201120P63.5")</f>
        <v>N/A</v>
      </c>
      <c r="S800" t="str">
        <f>RTD("tos.rtd", , "EXTRINSIC", ".XLC201120P63.5")</f>
        <v>N/A</v>
      </c>
      <c r="T800" t="str">
        <f>RTD("tos.rtd", , "PROB_OF_EXPIRING", ".XLC201120P63.5")</f>
        <v>N/A</v>
      </c>
      <c r="U800" t="str">
        <f>RTD("tos.rtd", , "PROB_OTM", ".XLC201120P63.5")</f>
        <v>N/A</v>
      </c>
      <c r="V800" t="str">
        <f>RTD("tos.rtd", , "PROB_OF_TOUCHING", ".XLC201120P63.5")</f>
        <v>N/A</v>
      </c>
      <c r="W800" t="str">
        <f>RTD("tos.rtd", , "STRIKE", ".XLC201120P63.5")</f>
        <v>N/A</v>
      </c>
    </row>
    <row r="801" spans="1:23" x14ac:dyDescent="0.45">
      <c r="A801" t="s">
        <v>822</v>
      </c>
      <c r="B801" t="str">
        <f>RTD("tos.rtd", , "DESCRIPTION", ".XLC201120C64")</f>
        <v>N/A</v>
      </c>
      <c r="C801" t="str">
        <f>RTD("tos.rtd", , "PUT_CALL_RATIO", ".XLC201120C64")</f>
        <v>N/A</v>
      </c>
      <c r="D801" t="str">
        <f>RTD("tos.rtd", , "IMPL_VOL", ".XLC201120C64")</f>
        <v>N/A</v>
      </c>
      <c r="E801">
        <f>RTD("tos.rtd", , "LAST", ".XLC201120C64")</f>
        <v>0.55000000000000004</v>
      </c>
      <c r="F801">
        <f>RTD("tos.rtd", , "VOLUME", ".XLC201120C64")</f>
        <v>4</v>
      </c>
      <c r="G801">
        <f>RTD("tos.rtd", , "OPEN_INT", ".XLC201120C64")</f>
        <v>209</v>
      </c>
      <c r="H801">
        <f>RTD("tos.rtd", , "BID", ".XLC201120C64")</f>
        <v>0</v>
      </c>
      <c r="I801">
        <f>RTD("tos.rtd", , "ASK", ".XLC201120C64")</f>
        <v>5</v>
      </c>
      <c r="J801">
        <f>RTD("tos.rtd", , "HIGH", ".XLC201120C64")</f>
        <v>0.75</v>
      </c>
      <c r="K801">
        <f>RTD("tos.rtd", , "LOW", ".XLC201120C64")</f>
        <v>0.55000000000000004</v>
      </c>
      <c r="L801">
        <f>RTD("tos.rtd", , "OPEN", ".XLC201120C64")</f>
        <v>0.75</v>
      </c>
      <c r="M801" t="str">
        <f>RTD("tos.rtd", , "DELTA", ".XLC201120C64")</f>
        <v>N/A</v>
      </c>
      <c r="N801" t="str">
        <f>RTD("tos.rtd", , "GAMMA", ".XLC201120C64")</f>
        <v>N/A</v>
      </c>
      <c r="O801" t="str">
        <f>RTD("tos.rtd", , "THETA", ".XLC201120C64")</f>
        <v>N/A</v>
      </c>
      <c r="P801" t="str">
        <f>RTD("tos.rtd", , "VEGA", ".XLC201120C64")</f>
        <v>N/A</v>
      </c>
      <c r="Q801" t="str">
        <f>RTD("tos.rtd", , "RHO", ".XLC201120C64")</f>
        <v>N/A</v>
      </c>
      <c r="R801" t="str">
        <f>RTD("tos.rtd", , "INTRINSIC", ".XLC201120C64")</f>
        <v>N/A</v>
      </c>
      <c r="S801" t="str">
        <f>RTD("tos.rtd", , "EXTRINSIC", ".XLC201120C64")</f>
        <v>N/A</v>
      </c>
      <c r="T801" t="str">
        <f>RTD("tos.rtd", , "PROB_OF_EXPIRING", ".XLC201120C64")</f>
        <v>N/A</v>
      </c>
      <c r="U801" t="str">
        <f>RTD("tos.rtd", , "PROB_OTM", ".XLC201120C64")</f>
        <v>N/A</v>
      </c>
      <c r="V801" t="str">
        <f>RTD("tos.rtd", , "PROB_OF_TOUCHING", ".XLC201120C64")</f>
        <v>N/A</v>
      </c>
      <c r="W801" t="str">
        <f>RTD("tos.rtd", , "STRIKE", ".XLC201120C64")</f>
        <v>N/A</v>
      </c>
    </row>
    <row r="802" spans="1:23" x14ac:dyDescent="0.45">
      <c r="A802" t="s">
        <v>823</v>
      </c>
      <c r="B802" t="str">
        <f>RTD("tos.rtd", , "DESCRIPTION", ".XLC201120P64")</f>
        <v>N/A</v>
      </c>
      <c r="C802" t="str">
        <f>RTD("tos.rtd", , "PUT_CALL_RATIO", ".XLC201120P64")</f>
        <v>N/A</v>
      </c>
      <c r="D802" t="str">
        <f>RTD("tos.rtd", , "IMPL_VOL", ".XLC201120P64")</f>
        <v>N/A</v>
      </c>
      <c r="E802" t="str">
        <f>RTD("tos.rtd", , "LAST", ".XLC201120P64")</f>
        <v>N/A</v>
      </c>
      <c r="F802" t="str">
        <f>RTD("tos.rtd", , "VOLUME", ".XLC201120P64")</f>
        <v>N/A</v>
      </c>
      <c r="G802" t="str">
        <f>RTD("tos.rtd", , "OPEN_INT", ".XLC201120P64")</f>
        <v>N/A</v>
      </c>
      <c r="H802" t="str">
        <f>RTD("tos.rtd", , "BID", ".XLC201120P64")</f>
        <v>N/A</v>
      </c>
      <c r="I802" t="str">
        <f>RTD("tos.rtd", , "ASK", ".XLC201120P64")</f>
        <v>N/A</v>
      </c>
      <c r="J802" t="str">
        <f>RTD("tos.rtd", , "HIGH", ".XLC201120P64")</f>
        <v>N/A</v>
      </c>
      <c r="K802" t="str">
        <f>RTD("tos.rtd", , "LOW", ".XLC201120P64")</f>
        <v>N/A</v>
      </c>
      <c r="L802" t="str">
        <f>RTD("tos.rtd", , "OPEN", ".XLC201120P64")</f>
        <v>N/A</v>
      </c>
      <c r="M802" t="str">
        <f>RTD("tos.rtd", , "DELTA", ".XLC201120P64")</f>
        <v>N/A</v>
      </c>
      <c r="N802" t="str">
        <f>RTD("tos.rtd", , "GAMMA", ".XLC201120P64")</f>
        <v>N/A</v>
      </c>
      <c r="O802" t="str">
        <f>RTD("tos.rtd", , "THETA", ".XLC201120P64")</f>
        <v>N/A</v>
      </c>
      <c r="P802" t="str">
        <f>RTD("tos.rtd", , "VEGA", ".XLC201120P64")</f>
        <v>N/A</v>
      </c>
      <c r="Q802" t="str">
        <f>RTD("tos.rtd", , "RHO", ".XLC201120P64")</f>
        <v>N/A</v>
      </c>
      <c r="R802" t="str">
        <f>RTD("tos.rtd", , "INTRINSIC", ".XLC201120P64")</f>
        <v>N/A</v>
      </c>
      <c r="S802" t="str">
        <f>RTD("tos.rtd", , "EXTRINSIC", ".XLC201120P64")</f>
        <v>N/A</v>
      </c>
      <c r="T802" t="str">
        <f>RTD("tos.rtd", , "PROB_OF_EXPIRING", ".XLC201120P64")</f>
        <v>N/A</v>
      </c>
      <c r="U802" t="str">
        <f>RTD("tos.rtd", , "PROB_OTM", ".XLC201120P64")</f>
        <v>N/A</v>
      </c>
      <c r="V802" t="str">
        <f>RTD("tos.rtd", , "PROB_OF_TOUCHING", ".XLC201120P64")</f>
        <v>N/A</v>
      </c>
      <c r="W802" t="str">
        <f>RTD("tos.rtd", , "STRIKE", ".XLC201120P64")</f>
        <v>N/A</v>
      </c>
    </row>
    <row r="803" spans="1:23" x14ac:dyDescent="0.45">
      <c r="A803" t="s">
        <v>824</v>
      </c>
      <c r="B803" t="str">
        <f>RTD("tos.rtd", , "DESCRIPTION", "XLE")</f>
        <v>SELECT SECTOR SPDR TRUST ENERGY ETF</v>
      </c>
      <c r="C803">
        <f>RTD("tos.rtd", , "PUT_CALL_RATIO", "XLE")</f>
        <v>0.50600000000000001</v>
      </c>
      <c r="D803" t="str">
        <f>RTD("tos.rtd", , "IMPL_VOL", "XLE")</f>
        <v>48.16%</v>
      </c>
      <c r="E803">
        <f>RTD("tos.rtd", , "LAST", "XLE")</f>
        <v>32.69</v>
      </c>
      <c r="F803">
        <f>RTD("tos.rtd", , "VOLUME", "XLE")</f>
        <v>38598610</v>
      </c>
      <c r="G803">
        <f>RTD("tos.rtd", , "OPEN_INT", "XLE")</f>
        <v>0</v>
      </c>
      <c r="H803">
        <f>RTD("tos.rtd", , "BID", "XLE")</f>
        <v>32.25</v>
      </c>
      <c r="I803">
        <f>RTD("tos.rtd", , "ASK", "XLE")</f>
        <v>32.49</v>
      </c>
      <c r="J803">
        <f>RTD("tos.rtd", , "HIGH", "XLE")</f>
        <v>33.659999999999997</v>
      </c>
      <c r="K803">
        <f>RTD("tos.rtd", , "LOW", "XLE")</f>
        <v>32.340000000000003</v>
      </c>
      <c r="L803">
        <f>RTD("tos.rtd", , "OPEN", "XLE")</f>
        <v>33.19</v>
      </c>
      <c r="M803">
        <f>RTD("tos.rtd", , "DELTA", "XLE")</f>
        <v>1</v>
      </c>
      <c r="N803">
        <f>RTD("tos.rtd", , "GAMMA", "XLE")</f>
        <v>0</v>
      </c>
      <c r="O803">
        <f>RTD("tos.rtd", , "THETA", "XLE")</f>
        <v>0</v>
      </c>
      <c r="P803">
        <f>RTD("tos.rtd", , "VEGA", "XLE")</f>
        <v>0</v>
      </c>
      <c r="Q803">
        <f>RTD("tos.rtd", , "RHO", "XLE")</f>
        <v>0</v>
      </c>
      <c r="R803" t="str">
        <f>RTD("tos.rtd", , "INTRINSIC", "XLE")</f>
        <v>N/A</v>
      </c>
      <c r="S803" t="str">
        <f>RTD("tos.rtd", , "EXTRINSIC", "XLE")</f>
        <v>N/A</v>
      </c>
      <c r="T803" t="str">
        <f>RTD("tos.rtd", , "PROB_OF_EXPIRING", "XLE")</f>
        <v>N/A</v>
      </c>
      <c r="U803" t="str">
        <f>RTD("tos.rtd", , "PROB_OTM", "XLE")</f>
        <v>N/A</v>
      </c>
      <c r="V803" t="str">
        <f>RTD("tos.rtd", , "PROB_OF_TOUCHING", "XLE")</f>
        <v>N/A</v>
      </c>
      <c r="W803" t="str">
        <f>RTD("tos.rtd", , "STRIKE", "XLE")</f>
        <v>N/A</v>
      </c>
    </row>
    <row r="804" spans="1:23" x14ac:dyDescent="0.45">
      <c r="A804" t="s">
        <v>825</v>
      </c>
      <c r="B804" t="str">
        <f>RTD("tos.rtd", , "DESCRIPTION", ".XLE201120C33.5")</f>
        <v>N/A</v>
      </c>
      <c r="C804" t="str">
        <f>RTD("tos.rtd", , "PUT_CALL_RATIO", ".XLE201120C33.5")</f>
        <v>N/A</v>
      </c>
      <c r="D804" t="str">
        <f>RTD("tos.rtd", , "IMPL_VOL", ".XLE201120C33.5")</f>
        <v>N/A</v>
      </c>
      <c r="E804">
        <f>RTD("tos.rtd", , "LAST", ".XLE201120C33.5")</f>
        <v>0.48</v>
      </c>
      <c r="F804">
        <f>RTD("tos.rtd", , "VOLUME", ".XLE201120C33.5")</f>
        <v>320</v>
      </c>
      <c r="G804">
        <f>RTD("tos.rtd", , "OPEN_INT", ".XLE201120C33.5")</f>
        <v>7124</v>
      </c>
      <c r="H804">
        <f>RTD("tos.rtd", , "BID", ".XLE201120C33.5")</f>
        <v>0.43</v>
      </c>
      <c r="I804">
        <f>RTD("tos.rtd", , "ASK", ".XLE201120C33.5")</f>
        <v>0.56000000000000005</v>
      </c>
      <c r="J804">
        <f>RTD("tos.rtd", , "HIGH", ".XLE201120C33.5")</f>
        <v>0.84</v>
      </c>
      <c r="K804">
        <f>RTD("tos.rtd", , "LOW", ".XLE201120C33.5")</f>
        <v>0.39</v>
      </c>
      <c r="L804">
        <f>RTD("tos.rtd", , "OPEN", ".XLE201120C33.5")</f>
        <v>0.66</v>
      </c>
      <c r="M804" t="str">
        <f>RTD("tos.rtd", , "DELTA", ".XLE201120C33.5")</f>
        <v>N/A</v>
      </c>
      <c r="N804" t="str">
        <f>RTD("tos.rtd", , "GAMMA", ".XLE201120C33.5")</f>
        <v>N/A</v>
      </c>
      <c r="O804" t="str">
        <f>RTD("tos.rtd", , "THETA", ".XLE201120C33.5")</f>
        <v>N/A</v>
      </c>
      <c r="P804" t="str">
        <f>RTD("tos.rtd", , "VEGA", ".XLE201120C33.5")</f>
        <v>N/A</v>
      </c>
      <c r="Q804" t="str">
        <f>RTD("tos.rtd", , "RHO", ".XLE201120C33.5")</f>
        <v>N/A</v>
      </c>
      <c r="R804" t="str">
        <f>RTD("tos.rtd", , "INTRINSIC", ".XLE201120C33.5")</f>
        <v>N/A</v>
      </c>
      <c r="S804" t="str">
        <f>RTD("tos.rtd", , "EXTRINSIC", ".XLE201120C33.5")</f>
        <v>N/A</v>
      </c>
      <c r="T804" t="str">
        <f>RTD("tos.rtd", , "PROB_OF_EXPIRING", ".XLE201120C33.5")</f>
        <v>N/A</v>
      </c>
      <c r="U804" t="str">
        <f>RTD("tos.rtd", , "PROB_OTM", ".XLE201120C33.5")</f>
        <v>N/A</v>
      </c>
      <c r="V804" t="str">
        <f>RTD("tos.rtd", , "PROB_OF_TOUCHING", ".XLE201120C33.5")</f>
        <v>N/A</v>
      </c>
      <c r="W804" t="str">
        <f>RTD("tos.rtd", , "STRIKE", ".XLE201120C33.5")</f>
        <v>N/A</v>
      </c>
    </row>
    <row r="805" spans="1:23" x14ac:dyDescent="0.45">
      <c r="A805" t="s">
        <v>826</v>
      </c>
      <c r="B805" t="str">
        <f>RTD("tos.rtd", , "DESCRIPTION", ".XLE201120P33.5")</f>
        <v>N/A</v>
      </c>
      <c r="C805" t="str">
        <f>RTD("tos.rtd", , "PUT_CALL_RATIO", ".XLE201120P33.5")</f>
        <v>N/A</v>
      </c>
      <c r="D805" t="str">
        <f>RTD("tos.rtd", , "IMPL_VOL", ".XLE201120P33.5")</f>
        <v>N/A</v>
      </c>
      <c r="E805">
        <f>RTD("tos.rtd", , "LAST", ".XLE201120P33.5")</f>
        <v>1.38</v>
      </c>
      <c r="F805">
        <f>RTD("tos.rtd", , "VOLUME", ".XLE201120P33.5")</f>
        <v>705</v>
      </c>
      <c r="G805">
        <f>RTD("tos.rtd", , "OPEN_INT", ".XLE201120P33.5")</f>
        <v>811</v>
      </c>
      <c r="H805">
        <f>RTD("tos.rtd", , "BID", ".XLE201120P33.5")</f>
        <v>1.17</v>
      </c>
      <c r="I805">
        <f>RTD("tos.rtd", , "ASK", ".XLE201120P33.5")</f>
        <v>1.38</v>
      </c>
      <c r="J805">
        <f>RTD("tos.rtd", , "HIGH", ".XLE201120P33.5")</f>
        <v>1.47</v>
      </c>
      <c r="K805">
        <f>RTD("tos.rtd", , "LOW", ".XLE201120P33.5")</f>
        <v>0.73</v>
      </c>
      <c r="L805">
        <f>RTD("tos.rtd", , "OPEN", ".XLE201120P33.5")</f>
        <v>0.97</v>
      </c>
      <c r="M805" t="str">
        <f>RTD("tos.rtd", , "DELTA", ".XLE201120P33.5")</f>
        <v>N/A</v>
      </c>
      <c r="N805" t="str">
        <f>RTD("tos.rtd", , "GAMMA", ".XLE201120P33.5")</f>
        <v>N/A</v>
      </c>
      <c r="O805" t="str">
        <f>RTD("tos.rtd", , "THETA", ".XLE201120P33.5")</f>
        <v>N/A</v>
      </c>
      <c r="P805" t="str">
        <f>RTD("tos.rtd", , "VEGA", ".XLE201120P33.5")</f>
        <v>N/A</v>
      </c>
      <c r="Q805" t="str">
        <f>RTD("tos.rtd", , "RHO", ".XLE201120P33.5")</f>
        <v>N/A</v>
      </c>
      <c r="R805" t="str">
        <f>RTD("tos.rtd", , "INTRINSIC", ".XLE201120P33.5")</f>
        <v>N/A</v>
      </c>
      <c r="S805" t="str">
        <f>RTD("tos.rtd", , "EXTRINSIC", ".XLE201120P33.5")</f>
        <v>N/A</v>
      </c>
      <c r="T805" t="str">
        <f>RTD("tos.rtd", , "PROB_OF_EXPIRING", ".XLE201120P33.5")</f>
        <v>N/A</v>
      </c>
      <c r="U805" t="str">
        <f>RTD("tos.rtd", , "PROB_OTM", ".XLE201120P33.5")</f>
        <v>N/A</v>
      </c>
      <c r="V805" t="str">
        <f>RTD("tos.rtd", , "PROB_OF_TOUCHING", ".XLE201120P33.5")</f>
        <v>N/A</v>
      </c>
      <c r="W805" t="str">
        <f>RTD("tos.rtd", , "STRIKE", ".XLE201120P33.5")</f>
        <v>N/A</v>
      </c>
    </row>
    <row r="806" spans="1:23" x14ac:dyDescent="0.45">
      <c r="A806" t="s">
        <v>827</v>
      </c>
      <c r="B806" t="str">
        <f>RTD("tos.rtd", , "DESCRIPTION", ".XLE201120C34")</f>
        <v>N/A</v>
      </c>
      <c r="C806" t="str">
        <f>RTD("tos.rtd", , "PUT_CALL_RATIO", ".XLE201120C34")</f>
        <v>N/A</v>
      </c>
      <c r="D806" t="str">
        <f>RTD("tos.rtd", , "IMPL_VOL", ".XLE201120C34")</f>
        <v>N/A</v>
      </c>
      <c r="E806">
        <f>RTD("tos.rtd", , "LAST", ".XLE201120C34")</f>
        <v>0.34</v>
      </c>
      <c r="F806">
        <f>RTD("tos.rtd", , "VOLUME", ".XLE201120C34")</f>
        <v>7193</v>
      </c>
      <c r="G806">
        <f>RTD("tos.rtd", , "OPEN_INT", ".XLE201120C34")</f>
        <v>12135</v>
      </c>
      <c r="H806">
        <f>RTD("tos.rtd", , "BID", ".XLE201120C34")</f>
        <v>0.28999999999999998</v>
      </c>
      <c r="I806">
        <f>RTD("tos.rtd", , "ASK", ".XLE201120C34")</f>
        <v>0.38</v>
      </c>
      <c r="J806">
        <f>RTD("tos.rtd", , "HIGH", ".XLE201120C34")</f>
        <v>0.6</v>
      </c>
      <c r="K806">
        <f>RTD("tos.rtd", , "LOW", ".XLE201120C34")</f>
        <v>0.28000000000000003</v>
      </c>
      <c r="L806">
        <f>RTD("tos.rtd", , "OPEN", ".XLE201120C34")</f>
        <v>0.49</v>
      </c>
      <c r="M806" t="str">
        <f>RTD("tos.rtd", , "DELTA", ".XLE201120C34")</f>
        <v>N/A</v>
      </c>
      <c r="N806" t="str">
        <f>RTD("tos.rtd", , "GAMMA", ".XLE201120C34")</f>
        <v>N/A</v>
      </c>
      <c r="O806" t="str">
        <f>RTD("tos.rtd", , "THETA", ".XLE201120C34")</f>
        <v>N/A</v>
      </c>
      <c r="P806" t="str">
        <f>RTD("tos.rtd", , "VEGA", ".XLE201120C34")</f>
        <v>N/A</v>
      </c>
      <c r="Q806" t="str">
        <f>RTD("tos.rtd", , "RHO", ".XLE201120C34")</f>
        <v>N/A</v>
      </c>
      <c r="R806" t="str">
        <f>RTD("tos.rtd", , "INTRINSIC", ".XLE201120C34")</f>
        <v>N/A</v>
      </c>
      <c r="S806" t="str">
        <f>RTD("tos.rtd", , "EXTRINSIC", ".XLE201120C34")</f>
        <v>N/A</v>
      </c>
      <c r="T806" t="str">
        <f>RTD("tos.rtd", , "PROB_OF_EXPIRING", ".XLE201120C34")</f>
        <v>N/A</v>
      </c>
      <c r="U806" t="str">
        <f>RTD("tos.rtd", , "PROB_OTM", ".XLE201120C34")</f>
        <v>N/A</v>
      </c>
      <c r="V806" t="str">
        <f>RTD("tos.rtd", , "PROB_OF_TOUCHING", ".XLE201120C34")</f>
        <v>N/A</v>
      </c>
      <c r="W806" t="str">
        <f>RTD("tos.rtd", , "STRIKE", ".XLE201120C34")</f>
        <v>N/A</v>
      </c>
    </row>
    <row r="807" spans="1:23" x14ac:dyDescent="0.45">
      <c r="A807" t="s">
        <v>828</v>
      </c>
      <c r="B807" t="str">
        <f>RTD("tos.rtd", , "DESCRIPTION", ".XLE201120P34")</f>
        <v>N/A</v>
      </c>
      <c r="C807" t="str">
        <f>RTD("tos.rtd", , "PUT_CALL_RATIO", ".XLE201120P34")</f>
        <v>N/A</v>
      </c>
      <c r="D807" t="str">
        <f>RTD("tos.rtd", , "IMPL_VOL", ".XLE201120P34")</f>
        <v>N/A</v>
      </c>
      <c r="E807">
        <f>RTD("tos.rtd", , "LAST", ".XLE201120P34")</f>
        <v>1.75</v>
      </c>
      <c r="F807">
        <f>RTD("tos.rtd", , "VOLUME", ".XLE201120P34")</f>
        <v>404</v>
      </c>
      <c r="G807">
        <f>RTD("tos.rtd", , "OPEN_INT", ".XLE201120P34")</f>
        <v>1634</v>
      </c>
      <c r="H807">
        <f>RTD("tos.rtd", , "BID", ".XLE201120P34")</f>
        <v>1.49</v>
      </c>
      <c r="I807">
        <f>RTD("tos.rtd", , "ASK", ".XLE201120P34")</f>
        <v>1.73</v>
      </c>
      <c r="J807">
        <f>RTD("tos.rtd", , "HIGH", ".XLE201120P34")</f>
        <v>1.83</v>
      </c>
      <c r="K807">
        <f>RTD("tos.rtd", , "LOW", ".XLE201120P34")</f>
        <v>1.02</v>
      </c>
      <c r="L807">
        <f>RTD("tos.rtd", , "OPEN", ".XLE201120P34")</f>
        <v>1.28</v>
      </c>
      <c r="M807" t="str">
        <f>RTD("tos.rtd", , "DELTA", ".XLE201120P34")</f>
        <v>N/A</v>
      </c>
      <c r="N807" t="str">
        <f>RTD("tos.rtd", , "GAMMA", ".XLE201120P34")</f>
        <v>N/A</v>
      </c>
      <c r="O807" t="str">
        <f>RTD("tos.rtd", , "THETA", ".XLE201120P34")</f>
        <v>N/A</v>
      </c>
      <c r="P807" t="str">
        <f>RTD("tos.rtd", , "VEGA", ".XLE201120P34")</f>
        <v>N/A</v>
      </c>
      <c r="Q807" t="str">
        <f>RTD("tos.rtd", , "RHO", ".XLE201120P34")</f>
        <v>N/A</v>
      </c>
      <c r="R807" t="str">
        <f>RTD("tos.rtd", , "INTRINSIC", ".XLE201120P34")</f>
        <v>N/A</v>
      </c>
      <c r="S807" t="str">
        <f>RTD("tos.rtd", , "EXTRINSIC", ".XLE201120P34")</f>
        <v>N/A</v>
      </c>
      <c r="T807" t="str">
        <f>RTD("tos.rtd", , "PROB_OF_EXPIRING", ".XLE201120P34")</f>
        <v>N/A</v>
      </c>
      <c r="U807" t="str">
        <f>RTD("tos.rtd", , "PROB_OTM", ".XLE201120P34")</f>
        <v>N/A</v>
      </c>
      <c r="V807" t="str">
        <f>RTD("tos.rtd", , "PROB_OF_TOUCHING", ".XLE201120P34")</f>
        <v>N/A</v>
      </c>
      <c r="W807" t="str">
        <f>RTD("tos.rtd", , "STRIKE", ".XLE201120P34")</f>
        <v>N/A</v>
      </c>
    </row>
    <row r="808" spans="1:23" x14ac:dyDescent="0.45">
      <c r="A808" t="s">
        <v>829</v>
      </c>
      <c r="B808" t="str">
        <f>RTD("tos.rtd", , "DESCRIPTION", ".XLE201120C34.5")</f>
        <v>N/A</v>
      </c>
      <c r="C808" t="str">
        <f>RTD("tos.rtd", , "PUT_CALL_RATIO", ".XLE201120C34.5")</f>
        <v>N/A</v>
      </c>
      <c r="D808" t="str">
        <f>RTD("tos.rtd", , "IMPL_VOL", ".XLE201120C34.5")</f>
        <v>N/A</v>
      </c>
      <c r="E808">
        <f>RTD("tos.rtd", , "LAST", ".XLE201120C34.5")</f>
        <v>0.21</v>
      </c>
      <c r="F808">
        <f>RTD("tos.rtd", , "VOLUME", ".XLE201120C34.5")</f>
        <v>496</v>
      </c>
      <c r="G808">
        <f>RTD("tos.rtd", , "OPEN_INT", ".XLE201120C34.5")</f>
        <v>651</v>
      </c>
      <c r="H808">
        <f>RTD("tos.rtd", , "BID", ".XLE201120C34.5")</f>
        <v>0.19</v>
      </c>
      <c r="I808">
        <f>RTD("tos.rtd", , "ASK", ".XLE201120C34.5")</f>
        <v>0.3</v>
      </c>
      <c r="J808">
        <f>RTD("tos.rtd", , "HIGH", ".XLE201120C34.5")</f>
        <v>0.42</v>
      </c>
      <c r="K808">
        <f>RTD("tos.rtd", , "LOW", ".XLE201120C34.5")</f>
        <v>0.2</v>
      </c>
      <c r="L808">
        <f>RTD("tos.rtd", , "OPEN", ".XLE201120C34.5")</f>
        <v>0.39</v>
      </c>
      <c r="M808" t="str">
        <f>RTD("tos.rtd", , "DELTA", ".XLE201120C34.5")</f>
        <v>N/A</v>
      </c>
      <c r="N808" t="str">
        <f>RTD("tos.rtd", , "GAMMA", ".XLE201120C34.5")</f>
        <v>N/A</v>
      </c>
      <c r="O808" t="str">
        <f>RTD("tos.rtd", , "THETA", ".XLE201120C34.5")</f>
        <v>N/A</v>
      </c>
      <c r="P808" t="str">
        <f>RTD("tos.rtd", , "VEGA", ".XLE201120C34.5")</f>
        <v>N/A</v>
      </c>
      <c r="Q808" t="str">
        <f>RTD("tos.rtd", , "RHO", ".XLE201120C34.5")</f>
        <v>N/A</v>
      </c>
      <c r="R808" t="str">
        <f>RTD("tos.rtd", , "INTRINSIC", ".XLE201120C34.5")</f>
        <v>N/A</v>
      </c>
      <c r="S808" t="str">
        <f>RTD("tos.rtd", , "EXTRINSIC", ".XLE201120C34.5")</f>
        <v>N/A</v>
      </c>
      <c r="T808" t="str">
        <f>RTD("tos.rtd", , "PROB_OF_EXPIRING", ".XLE201120C34.5")</f>
        <v>N/A</v>
      </c>
      <c r="U808" t="str">
        <f>RTD("tos.rtd", , "PROB_OTM", ".XLE201120C34.5")</f>
        <v>N/A</v>
      </c>
      <c r="V808" t="str">
        <f>RTD("tos.rtd", , "PROB_OF_TOUCHING", ".XLE201120C34.5")</f>
        <v>N/A</v>
      </c>
      <c r="W808" t="str">
        <f>RTD("tos.rtd", , "STRIKE", ".XLE201120C34.5")</f>
        <v>N/A</v>
      </c>
    </row>
    <row r="809" spans="1:23" x14ac:dyDescent="0.45">
      <c r="A809" t="s">
        <v>830</v>
      </c>
      <c r="B809" t="str">
        <f>RTD("tos.rtd", , "DESCRIPTION", ".XLE201120P34.5")</f>
        <v>N/A</v>
      </c>
      <c r="C809" t="str">
        <f>RTD("tos.rtd", , "PUT_CALL_RATIO", ".XLE201120P34.5")</f>
        <v>N/A</v>
      </c>
      <c r="D809" t="str">
        <f>RTD("tos.rtd", , "IMPL_VOL", ".XLE201120P34.5")</f>
        <v>N/A</v>
      </c>
      <c r="E809">
        <f>RTD("tos.rtd", , "LAST", ".XLE201120P34.5")</f>
        <v>1.9</v>
      </c>
      <c r="F809">
        <f>RTD("tos.rtd", , "VOLUME", ".XLE201120P34.5")</f>
        <v>557</v>
      </c>
      <c r="G809">
        <f>RTD("tos.rtd", , "OPEN_INT", ".XLE201120P34.5")</f>
        <v>17</v>
      </c>
      <c r="H809">
        <f>RTD("tos.rtd", , "BID", ".XLE201120P34.5")</f>
        <v>1.87</v>
      </c>
      <c r="I809">
        <f>RTD("tos.rtd", , "ASK", ".XLE201120P34.5")</f>
        <v>2.14</v>
      </c>
      <c r="J809">
        <f>RTD("tos.rtd", , "HIGH", ".XLE201120P34.5")</f>
        <v>1.9</v>
      </c>
      <c r="K809">
        <f>RTD("tos.rtd", , "LOW", ".XLE201120P34.5")</f>
        <v>1.4</v>
      </c>
      <c r="L809">
        <f>RTD("tos.rtd", , "OPEN", ".XLE201120P34.5")</f>
        <v>1.6</v>
      </c>
      <c r="M809" t="str">
        <f>RTD("tos.rtd", , "DELTA", ".XLE201120P34.5")</f>
        <v>N/A</v>
      </c>
      <c r="N809" t="str">
        <f>RTD("tos.rtd", , "GAMMA", ".XLE201120P34.5")</f>
        <v>N/A</v>
      </c>
      <c r="O809" t="str">
        <f>RTD("tos.rtd", , "THETA", ".XLE201120P34.5")</f>
        <v>N/A</v>
      </c>
      <c r="P809" t="str">
        <f>RTD("tos.rtd", , "VEGA", ".XLE201120P34.5")</f>
        <v>N/A</v>
      </c>
      <c r="Q809" t="str">
        <f>RTD("tos.rtd", , "RHO", ".XLE201120P34.5")</f>
        <v>N/A</v>
      </c>
      <c r="R809" t="str">
        <f>RTD("tos.rtd", , "INTRINSIC", ".XLE201120P34.5")</f>
        <v>N/A</v>
      </c>
      <c r="S809" t="str">
        <f>RTD("tos.rtd", , "EXTRINSIC", ".XLE201120P34.5")</f>
        <v>N/A</v>
      </c>
      <c r="T809" t="str">
        <f>RTD("tos.rtd", , "PROB_OF_EXPIRING", ".XLE201120P34.5")</f>
        <v>N/A</v>
      </c>
      <c r="U809" t="str">
        <f>RTD("tos.rtd", , "PROB_OTM", ".XLE201120P34.5")</f>
        <v>N/A</v>
      </c>
      <c r="V809" t="str">
        <f>RTD("tos.rtd", , "PROB_OF_TOUCHING", ".XLE201120P34.5")</f>
        <v>N/A</v>
      </c>
      <c r="W809" t="str">
        <f>RTD("tos.rtd", , "STRIKE", ".XLE201120P34.5")</f>
        <v>N/A</v>
      </c>
    </row>
    <row r="810" spans="1:23" x14ac:dyDescent="0.45">
      <c r="A810" t="s">
        <v>831</v>
      </c>
      <c r="B810" t="str">
        <f>RTD("tos.rtd", , "DESCRIPTION", "XLF")</f>
        <v>SELECT SECTOR SPDR TRUST SBI INT-FINL ETF</v>
      </c>
      <c r="C810">
        <f>RTD("tos.rtd", , "PUT_CALL_RATIO", "XLF")</f>
        <v>0.86399999999999999</v>
      </c>
      <c r="D810" t="str">
        <f>RTD("tos.rtd", , "IMPL_VOL", "XLF")</f>
        <v>32.05%</v>
      </c>
      <c r="E810">
        <f>RTD("tos.rtd", , "LAST", "XLF")</f>
        <v>26.59</v>
      </c>
      <c r="F810">
        <f>RTD("tos.rtd", , "VOLUME", "XLF")</f>
        <v>62749613</v>
      </c>
      <c r="G810">
        <f>RTD("tos.rtd", , "OPEN_INT", "XLF")</f>
        <v>0</v>
      </c>
      <c r="H810">
        <f>RTD("tos.rtd", , "BID", "XLF")</f>
        <v>26.32</v>
      </c>
      <c r="I810">
        <f>RTD("tos.rtd", , "ASK", "XLF")</f>
        <v>26.93</v>
      </c>
      <c r="J810">
        <f>RTD("tos.rtd", , "HIGH", "XLF")</f>
        <v>26.765000000000001</v>
      </c>
      <c r="K810">
        <f>RTD("tos.rtd", , "LOW", "XLF")</f>
        <v>26.35</v>
      </c>
      <c r="L810">
        <f>RTD("tos.rtd", , "OPEN", "XLF")</f>
        <v>26.71</v>
      </c>
      <c r="M810">
        <f>RTD("tos.rtd", , "DELTA", "XLF")</f>
        <v>1</v>
      </c>
      <c r="N810">
        <f>RTD("tos.rtd", , "GAMMA", "XLF")</f>
        <v>0</v>
      </c>
      <c r="O810">
        <f>RTD("tos.rtd", , "THETA", "XLF")</f>
        <v>0</v>
      </c>
      <c r="P810">
        <f>RTD("tos.rtd", , "VEGA", "XLF")</f>
        <v>0</v>
      </c>
      <c r="Q810">
        <f>RTD("tos.rtd", , "RHO", "XLF")</f>
        <v>0</v>
      </c>
      <c r="R810" t="str">
        <f>RTD("tos.rtd", , "INTRINSIC", "XLF")</f>
        <v>N/A</v>
      </c>
      <c r="S810" t="str">
        <f>RTD("tos.rtd", , "EXTRINSIC", "XLF")</f>
        <v>N/A</v>
      </c>
      <c r="T810" t="str">
        <f>RTD("tos.rtd", , "PROB_OF_EXPIRING", "XLF")</f>
        <v>N/A</v>
      </c>
      <c r="U810" t="str">
        <f>RTD("tos.rtd", , "PROB_OTM", "XLF")</f>
        <v>N/A</v>
      </c>
      <c r="V810" t="str">
        <f>RTD("tos.rtd", , "PROB_OF_TOUCHING", "XLF")</f>
        <v>N/A</v>
      </c>
      <c r="W810" t="str">
        <f>RTD("tos.rtd", , "STRIKE", "XLF")</f>
        <v>N/A</v>
      </c>
    </row>
    <row r="811" spans="1:23" x14ac:dyDescent="0.45">
      <c r="A811" t="s">
        <v>832</v>
      </c>
      <c r="B811" t="str">
        <f>RTD("tos.rtd", , "DESCRIPTION", ".XLF201120C27")</f>
        <v>N/A</v>
      </c>
      <c r="C811" t="str">
        <f>RTD("tos.rtd", , "PUT_CALL_RATIO", ".XLF201120C27")</f>
        <v>N/A</v>
      </c>
      <c r="D811" t="str">
        <f>RTD("tos.rtd", , "IMPL_VOL", ".XLF201120C27")</f>
        <v>N/A</v>
      </c>
      <c r="E811">
        <f>RTD("tos.rtd", , "LAST", ".XLF201120C27")</f>
        <v>0.28999999999999998</v>
      </c>
      <c r="F811">
        <f>RTD("tos.rtd", , "VOLUME", ".XLF201120C27")</f>
        <v>3852</v>
      </c>
      <c r="G811">
        <f>RTD("tos.rtd", , "OPEN_INT", ".XLF201120C27")</f>
        <v>32788</v>
      </c>
      <c r="H811">
        <f>RTD("tos.rtd", , "BID", ".XLF201120C27")</f>
        <v>0.28000000000000003</v>
      </c>
      <c r="I811">
        <f>RTD("tos.rtd", , "ASK", ".XLF201120C27")</f>
        <v>0.35</v>
      </c>
      <c r="J811">
        <f>RTD("tos.rtd", , "HIGH", ".XLF201120C27")</f>
        <v>0.32</v>
      </c>
      <c r="K811">
        <f>RTD("tos.rtd", , "LOW", ".XLF201120C27")</f>
        <v>0.2</v>
      </c>
      <c r="L811">
        <f>RTD("tos.rtd", , "OPEN", ".XLF201120C27")</f>
        <v>0.28999999999999998</v>
      </c>
      <c r="M811" t="str">
        <f>RTD("tos.rtd", , "DELTA", ".XLF201120C27")</f>
        <v>N/A</v>
      </c>
      <c r="N811" t="str">
        <f>RTD("tos.rtd", , "GAMMA", ".XLF201120C27")</f>
        <v>N/A</v>
      </c>
      <c r="O811" t="str">
        <f>RTD("tos.rtd", , "THETA", ".XLF201120C27")</f>
        <v>N/A</v>
      </c>
      <c r="P811" t="str">
        <f>RTD("tos.rtd", , "VEGA", ".XLF201120C27")</f>
        <v>N/A</v>
      </c>
      <c r="Q811" t="str">
        <f>RTD("tos.rtd", , "RHO", ".XLF201120C27")</f>
        <v>N/A</v>
      </c>
      <c r="R811" t="str">
        <f>RTD("tos.rtd", , "INTRINSIC", ".XLF201120C27")</f>
        <v>N/A</v>
      </c>
      <c r="S811" t="str">
        <f>RTD("tos.rtd", , "EXTRINSIC", ".XLF201120C27")</f>
        <v>N/A</v>
      </c>
      <c r="T811" t="str">
        <f>RTD("tos.rtd", , "PROB_OF_EXPIRING", ".XLF201120C27")</f>
        <v>N/A</v>
      </c>
      <c r="U811" t="str">
        <f>RTD("tos.rtd", , "PROB_OTM", ".XLF201120C27")</f>
        <v>N/A</v>
      </c>
      <c r="V811" t="str">
        <f>RTD("tos.rtd", , "PROB_OF_TOUCHING", ".XLF201120C27")</f>
        <v>N/A</v>
      </c>
      <c r="W811" t="str">
        <f>RTD("tos.rtd", , "STRIKE", ".XLF201120C27")</f>
        <v>N/A</v>
      </c>
    </row>
    <row r="812" spans="1:23" x14ac:dyDescent="0.45">
      <c r="A812" t="s">
        <v>833</v>
      </c>
      <c r="B812" t="str">
        <f>RTD("tos.rtd", , "DESCRIPTION", ".XLF201120P27")</f>
        <v>N/A</v>
      </c>
      <c r="C812" t="str">
        <f>RTD("tos.rtd", , "PUT_CALL_RATIO", ".XLF201120P27")</f>
        <v>N/A</v>
      </c>
      <c r="D812" t="str">
        <f>RTD("tos.rtd", , "IMPL_VOL", ".XLF201120P27")</f>
        <v>N/A</v>
      </c>
      <c r="E812">
        <f>RTD("tos.rtd", , "LAST", ".XLF201120P27")</f>
        <v>0.7</v>
      </c>
      <c r="F812">
        <f>RTD("tos.rtd", , "VOLUME", ".XLF201120P27")</f>
        <v>1679</v>
      </c>
      <c r="G812">
        <f>RTD("tos.rtd", , "OPEN_INT", ".XLF201120P27")</f>
        <v>30297</v>
      </c>
      <c r="H812">
        <f>RTD("tos.rtd", , "BID", ".XLF201120P27")</f>
        <v>0.62</v>
      </c>
      <c r="I812">
        <f>RTD("tos.rtd", , "ASK", ".XLF201120P27")</f>
        <v>0.73</v>
      </c>
      <c r="J812">
        <f>RTD("tos.rtd", , "HIGH", ".XLF201120P27")</f>
        <v>0.82</v>
      </c>
      <c r="K812">
        <f>RTD("tos.rtd", , "LOW", ".XLF201120P27")</f>
        <v>0.55000000000000004</v>
      </c>
      <c r="L812">
        <f>RTD("tos.rtd", , "OPEN", ".XLF201120P27")</f>
        <v>0.6</v>
      </c>
      <c r="M812" t="str">
        <f>RTD("tos.rtd", , "DELTA", ".XLF201120P27")</f>
        <v>N/A</v>
      </c>
      <c r="N812" t="str">
        <f>RTD("tos.rtd", , "GAMMA", ".XLF201120P27")</f>
        <v>N/A</v>
      </c>
      <c r="O812" t="str">
        <f>RTD("tos.rtd", , "THETA", ".XLF201120P27")</f>
        <v>N/A</v>
      </c>
      <c r="P812" t="str">
        <f>RTD("tos.rtd", , "VEGA", ".XLF201120P27")</f>
        <v>N/A</v>
      </c>
      <c r="Q812" t="str">
        <f>RTD("tos.rtd", , "RHO", ".XLF201120P27")</f>
        <v>N/A</v>
      </c>
      <c r="R812" t="str">
        <f>RTD("tos.rtd", , "INTRINSIC", ".XLF201120P27")</f>
        <v>N/A</v>
      </c>
      <c r="S812" t="str">
        <f>RTD("tos.rtd", , "EXTRINSIC", ".XLF201120P27")</f>
        <v>N/A</v>
      </c>
      <c r="T812" t="str">
        <f>RTD("tos.rtd", , "PROB_OF_EXPIRING", ".XLF201120P27")</f>
        <v>N/A</v>
      </c>
      <c r="U812" t="str">
        <f>RTD("tos.rtd", , "PROB_OTM", ".XLF201120P27")</f>
        <v>N/A</v>
      </c>
      <c r="V812" t="str">
        <f>RTD("tos.rtd", , "PROB_OF_TOUCHING", ".XLF201120P27")</f>
        <v>N/A</v>
      </c>
      <c r="W812" t="str">
        <f>RTD("tos.rtd", , "STRIKE", ".XLF201120P27")</f>
        <v>N/A</v>
      </c>
    </row>
    <row r="813" spans="1:23" x14ac:dyDescent="0.45">
      <c r="A813" t="s">
        <v>834</v>
      </c>
      <c r="B813" t="str">
        <f>RTD("tos.rtd", , "DESCRIPTION", "XLI")</f>
        <v>SELECT SECTOR SPDR TRUST SBI INT-INDS ETF</v>
      </c>
      <c r="C813">
        <f>RTD("tos.rtd", , "PUT_CALL_RATIO", "XLI")</f>
        <v>3.331</v>
      </c>
      <c r="D813" t="str">
        <f>RTD("tos.rtd", , "IMPL_VOL", "XLI")</f>
        <v>29.39%</v>
      </c>
      <c r="E813">
        <f>RTD("tos.rtd", , "LAST", "XLI")</f>
        <v>83.9</v>
      </c>
      <c r="F813">
        <f>RTD("tos.rtd", , "VOLUME", "XLI")</f>
        <v>10777133</v>
      </c>
      <c r="G813">
        <f>RTD("tos.rtd", , "OPEN_INT", "XLI")</f>
        <v>0</v>
      </c>
      <c r="H813">
        <f>RTD("tos.rtd", , "BID", "XLI")</f>
        <v>83.31</v>
      </c>
      <c r="I813">
        <f>RTD("tos.rtd", , "ASK", "XLI")</f>
        <v>84.05</v>
      </c>
      <c r="J813">
        <f>RTD("tos.rtd", , "HIGH", "XLI")</f>
        <v>84.805000000000007</v>
      </c>
      <c r="K813">
        <f>RTD("tos.rtd", , "LOW", "XLI")</f>
        <v>83.325000000000003</v>
      </c>
      <c r="L813">
        <f>RTD("tos.rtd", , "OPEN", "XLI")</f>
        <v>84.01</v>
      </c>
      <c r="M813">
        <f>RTD("tos.rtd", , "DELTA", "XLI")</f>
        <v>1</v>
      </c>
      <c r="N813">
        <f>RTD("tos.rtd", , "GAMMA", "XLI")</f>
        <v>0</v>
      </c>
      <c r="O813">
        <f>RTD("tos.rtd", , "THETA", "XLI")</f>
        <v>0</v>
      </c>
      <c r="P813">
        <f>RTD("tos.rtd", , "VEGA", "XLI")</f>
        <v>0</v>
      </c>
      <c r="Q813">
        <f>RTD("tos.rtd", , "RHO", "XLI")</f>
        <v>0</v>
      </c>
      <c r="R813" t="str">
        <f>RTD("tos.rtd", , "INTRINSIC", "XLI")</f>
        <v>N/A</v>
      </c>
      <c r="S813" t="str">
        <f>RTD("tos.rtd", , "EXTRINSIC", "XLI")</f>
        <v>N/A</v>
      </c>
      <c r="T813" t="str">
        <f>RTD("tos.rtd", , "PROB_OF_EXPIRING", "XLI")</f>
        <v>N/A</v>
      </c>
      <c r="U813" t="str">
        <f>RTD("tos.rtd", , "PROB_OTM", "XLI")</f>
        <v>N/A</v>
      </c>
      <c r="V813" t="str">
        <f>RTD("tos.rtd", , "PROB_OF_TOUCHING", "XLI")</f>
        <v>N/A</v>
      </c>
      <c r="W813" t="str">
        <f>RTD("tos.rtd", , "STRIKE", "XLI")</f>
        <v>N/A</v>
      </c>
    </row>
    <row r="814" spans="1:23" x14ac:dyDescent="0.45">
      <c r="A814" t="s">
        <v>835</v>
      </c>
      <c r="B814" t="str">
        <f>RTD("tos.rtd", , "DESCRIPTION", ".XLI201120C84")</f>
        <v>N/A</v>
      </c>
      <c r="C814" t="str">
        <f>RTD("tos.rtd", , "PUT_CALL_RATIO", ".XLI201120C84")</f>
        <v>N/A</v>
      </c>
      <c r="D814" t="str">
        <f>RTD("tos.rtd", , "IMPL_VOL", ".XLI201120C84")</f>
        <v>N/A</v>
      </c>
      <c r="E814" t="str">
        <f>RTD("tos.rtd", , "LAST", ".XLI201120C84")</f>
        <v>N/A</v>
      </c>
      <c r="F814" t="str">
        <f>RTD("tos.rtd", , "VOLUME", ".XLI201120C84")</f>
        <v>N/A</v>
      </c>
      <c r="G814" t="str">
        <f>RTD("tos.rtd", , "OPEN_INT", ".XLI201120C84")</f>
        <v>N/A</v>
      </c>
      <c r="H814" t="str">
        <f>RTD("tos.rtd", , "BID", ".XLI201120C84")</f>
        <v>N/A</v>
      </c>
      <c r="I814" t="str">
        <f>RTD("tos.rtd", , "ASK", ".XLI201120C84")</f>
        <v>N/A</v>
      </c>
      <c r="J814" t="str">
        <f>RTD("tos.rtd", , "HIGH", ".XLI201120C84")</f>
        <v>N/A</v>
      </c>
      <c r="K814" t="str">
        <f>RTD("tos.rtd", , "LOW", ".XLI201120C84")</f>
        <v>N/A</v>
      </c>
      <c r="L814" t="str">
        <f>RTD("tos.rtd", , "OPEN", ".XLI201120C84")</f>
        <v>N/A</v>
      </c>
      <c r="M814" t="str">
        <f>RTD("tos.rtd", , "DELTA", ".XLI201120C84")</f>
        <v>N/A</v>
      </c>
      <c r="N814" t="str">
        <f>RTD("tos.rtd", , "GAMMA", ".XLI201120C84")</f>
        <v>N/A</v>
      </c>
      <c r="O814" t="str">
        <f>RTD("tos.rtd", , "THETA", ".XLI201120C84")</f>
        <v>N/A</v>
      </c>
      <c r="P814" t="str">
        <f>RTD("tos.rtd", , "VEGA", ".XLI201120C84")</f>
        <v>N/A</v>
      </c>
      <c r="Q814" t="str">
        <f>RTD("tos.rtd", , "RHO", ".XLI201120C84")</f>
        <v>N/A</v>
      </c>
      <c r="R814" t="str">
        <f>RTD("tos.rtd", , "INTRINSIC", ".XLI201120C84")</f>
        <v>N/A</v>
      </c>
      <c r="S814" t="str">
        <f>RTD("tos.rtd", , "EXTRINSIC", ".XLI201120C84")</f>
        <v>N/A</v>
      </c>
      <c r="T814" t="str">
        <f>RTD("tos.rtd", , "PROB_OF_EXPIRING", ".XLI201120C84")</f>
        <v>N/A</v>
      </c>
      <c r="U814" t="str">
        <f>RTD("tos.rtd", , "PROB_OTM", ".XLI201120C84")</f>
        <v>N/A</v>
      </c>
      <c r="V814" t="str">
        <f>RTD("tos.rtd", , "PROB_OF_TOUCHING", ".XLI201120C84")</f>
        <v>N/A</v>
      </c>
      <c r="W814" t="str">
        <f>RTD("tos.rtd", , "STRIKE", ".XLI201120C84")</f>
        <v>N/A</v>
      </c>
    </row>
    <row r="815" spans="1:23" x14ac:dyDescent="0.45">
      <c r="A815" t="s">
        <v>836</v>
      </c>
      <c r="B815" t="str">
        <f>RTD("tos.rtd", , "DESCRIPTION", ".XLI201120P84")</f>
        <v>N/A</v>
      </c>
      <c r="C815" t="str">
        <f>RTD("tos.rtd", , "PUT_CALL_RATIO", ".XLI201120P84")</f>
        <v>N/A</v>
      </c>
      <c r="D815" t="str">
        <f>RTD("tos.rtd", , "IMPL_VOL", ".XLI201120P84")</f>
        <v>N/A</v>
      </c>
      <c r="E815" t="str">
        <f>RTD("tos.rtd", , "LAST", ".XLI201120P84")</f>
        <v>N/A</v>
      </c>
      <c r="F815" t="str">
        <f>RTD("tos.rtd", , "VOLUME", ".XLI201120P84")</f>
        <v>N/A</v>
      </c>
      <c r="G815" t="str">
        <f>RTD("tos.rtd", , "OPEN_INT", ".XLI201120P84")</f>
        <v>N/A</v>
      </c>
      <c r="H815" t="str">
        <f>RTD("tos.rtd", , "BID", ".XLI201120P84")</f>
        <v>N/A</v>
      </c>
      <c r="I815" t="str">
        <f>RTD("tos.rtd", , "ASK", ".XLI201120P84")</f>
        <v>N/A</v>
      </c>
      <c r="J815" t="str">
        <f>RTD("tos.rtd", , "HIGH", ".XLI201120P84")</f>
        <v>N/A</v>
      </c>
      <c r="K815" t="str">
        <f>RTD("tos.rtd", , "LOW", ".XLI201120P84")</f>
        <v>N/A</v>
      </c>
      <c r="L815" t="str">
        <f>RTD("tos.rtd", , "OPEN", ".XLI201120P84")</f>
        <v>N/A</v>
      </c>
      <c r="M815" t="str">
        <f>RTD("tos.rtd", , "DELTA", ".XLI201120P84")</f>
        <v>N/A</v>
      </c>
      <c r="N815" t="str">
        <f>RTD("tos.rtd", , "GAMMA", ".XLI201120P84")</f>
        <v>N/A</v>
      </c>
      <c r="O815" t="str">
        <f>RTD("tos.rtd", , "THETA", ".XLI201120P84")</f>
        <v>N/A</v>
      </c>
      <c r="P815" t="str">
        <f>RTD("tos.rtd", , "VEGA", ".XLI201120P84")</f>
        <v>N/A</v>
      </c>
      <c r="Q815" t="str">
        <f>RTD("tos.rtd", , "RHO", ".XLI201120P84")</f>
        <v>N/A</v>
      </c>
      <c r="R815" t="str">
        <f>RTD("tos.rtd", , "INTRINSIC", ".XLI201120P84")</f>
        <v>N/A</v>
      </c>
      <c r="S815" t="str">
        <f>RTD("tos.rtd", , "EXTRINSIC", ".XLI201120P84")</f>
        <v>N/A</v>
      </c>
      <c r="T815" t="str">
        <f>RTD("tos.rtd", , "PROB_OF_EXPIRING", ".XLI201120P84")</f>
        <v>N/A</v>
      </c>
      <c r="U815" t="str">
        <f>RTD("tos.rtd", , "PROB_OTM", ".XLI201120P84")</f>
        <v>N/A</v>
      </c>
      <c r="V815" t="str">
        <f>RTD("tos.rtd", , "PROB_OF_TOUCHING", ".XLI201120P84")</f>
        <v>N/A</v>
      </c>
      <c r="W815" t="str">
        <f>RTD("tos.rtd", , "STRIKE", ".XLI201120P84")</f>
        <v>N/A</v>
      </c>
    </row>
    <row r="816" spans="1:23" x14ac:dyDescent="0.45">
      <c r="A816" t="s">
        <v>837</v>
      </c>
      <c r="B816" t="str">
        <f>RTD("tos.rtd", , "DESCRIPTION", ".XLI201120C84.5")</f>
        <v>N/A</v>
      </c>
      <c r="C816" t="str">
        <f>RTD("tos.rtd", , "PUT_CALL_RATIO", ".XLI201120C84.5")</f>
        <v>N/A</v>
      </c>
      <c r="D816" t="str">
        <f>RTD("tos.rtd", , "IMPL_VOL", ".XLI201120C84.5")</f>
        <v>N/A</v>
      </c>
      <c r="E816" t="str">
        <f>RTD("tos.rtd", , "LAST", ".XLI201120C84.5")</f>
        <v>N/A</v>
      </c>
      <c r="F816" t="str">
        <f>RTD("tos.rtd", , "VOLUME", ".XLI201120C84.5")</f>
        <v>N/A</v>
      </c>
      <c r="G816" t="str">
        <f>RTD("tos.rtd", , "OPEN_INT", ".XLI201120C84.5")</f>
        <v>N/A</v>
      </c>
      <c r="H816" t="str">
        <f>RTD("tos.rtd", , "BID", ".XLI201120C84.5")</f>
        <v>N/A</v>
      </c>
      <c r="I816" t="str">
        <f>RTD("tos.rtd", , "ASK", ".XLI201120C84.5")</f>
        <v>N/A</v>
      </c>
      <c r="J816" t="str">
        <f>RTD("tos.rtd", , "HIGH", ".XLI201120C84.5")</f>
        <v>N/A</v>
      </c>
      <c r="K816" t="str">
        <f>RTD("tos.rtd", , "LOW", ".XLI201120C84.5")</f>
        <v>N/A</v>
      </c>
      <c r="L816" t="str">
        <f>RTD("tos.rtd", , "OPEN", ".XLI201120C84.5")</f>
        <v>N/A</v>
      </c>
      <c r="M816" t="str">
        <f>RTD("tos.rtd", , "DELTA", ".XLI201120C84.5")</f>
        <v>N/A</v>
      </c>
      <c r="N816" t="str">
        <f>RTD("tos.rtd", , "GAMMA", ".XLI201120C84.5")</f>
        <v>N/A</v>
      </c>
      <c r="O816" t="str">
        <f>RTD("tos.rtd", , "THETA", ".XLI201120C84.5")</f>
        <v>N/A</v>
      </c>
      <c r="P816" t="str">
        <f>RTD("tos.rtd", , "VEGA", ".XLI201120C84.5")</f>
        <v>N/A</v>
      </c>
      <c r="Q816" t="str">
        <f>RTD("tos.rtd", , "RHO", ".XLI201120C84.5")</f>
        <v>N/A</v>
      </c>
      <c r="R816" t="str">
        <f>RTD("tos.rtd", , "INTRINSIC", ".XLI201120C84.5")</f>
        <v>N/A</v>
      </c>
      <c r="S816" t="str">
        <f>RTD("tos.rtd", , "EXTRINSIC", ".XLI201120C84.5")</f>
        <v>N/A</v>
      </c>
      <c r="T816" t="str">
        <f>RTD("tos.rtd", , "PROB_OF_EXPIRING", ".XLI201120C84.5")</f>
        <v>N/A</v>
      </c>
      <c r="U816" t="str">
        <f>RTD("tos.rtd", , "PROB_OTM", ".XLI201120C84.5")</f>
        <v>N/A</v>
      </c>
      <c r="V816" t="str">
        <f>RTD("tos.rtd", , "PROB_OF_TOUCHING", ".XLI201120C84.5")</f>
        <v>N/A</v>
      </c>
      <c r="W816" t="str">
        <f>RTD("tos.rtd", , "STRIKE", ".XLI201120C84.5")</f>
        <v>N/A</v>
      </c>
    </row>
    <row r="817" spans="1:23" x14ac:dyDescent="0.45">
      <c r="A817" t="s">
        <v>838</v>
      </c>
      <c r="B817" t="str">
        <f>RTD("tos.rtd", , "DESCRIPTION", ".XLI201120P84.5")</f>
        <v>N/A</v>
      </c>
      <c r="C817" t="str">
        <f>RTD("tos.rtd", , "PUT_CALL_RATIO", ".XLI201120P84.5")</f>
        <v>N/A</v>
      </c>
      <c r="D817" t="str">
        <f>RTD("tos.rtd", , "IMPL_VOL", ".XLI201120P84.5")</f>
        <v>N/A</v>
      </c>
      <c r="E817" t="str">
        <f>RTD("tos.rtd", , "LAST", ".XLI201120P84.5")</f>
        <v>N/A</v>
      </c>
      <c r="F817" t="str">
        <f>RTD("tos.rtd", , "VOLUME", ".XLI201120P84.5")</f>
        <v>N/A</v>
      </c>
      <c r="G817" t="str">
        <f>RTD("tos.rtd", , "OPEN_INT", ".XLI201120P84.5")</f>
        <v>N/A</v>
      </c>
      <c r="H817" t="str">
        <f>RTD("tos.rtd", , "BID", ".XLI201120P84.5")</f>
        <v>N/A</v>
      </c>
      <c r="I817" t="str">
        <f>RTD("tos.rtd", , "ASK", ".XLI201120P84.5")</f>
        <v>N/A</v>
      </c>
      <c r="J817" t="str">
        <f>RTD("tos.rtd", , "HIGH", ".XLI201120P84.5")</f>
        <v>N/A</v>
      </c>
      <c r="K817" t="str">
        <f>RTD("tos.rtd", , "LOW", ".XLI201120P84.5")</f>
        <v>N/A</v>
      </c>
      <c r="L817" t="str">
        <f>RTD("tos.rtd", , "OPEN", ".XLI201120P84.5")</f>
        <v>N/A</v>
      </c>
      <c r="M817" t="str">
        <f>RTD("tos.rtd", , "DELTA", ".XLI201120P84.5")</f>
        <v>N/A</v>
      </c>
      <c r="N817" t="str">
        <f>RTD("tos.rtd", , "GAMMA", ".XLI201120P84.5")</f>
        <v>N/A</v>
      </c>
      <c r="O817" t="str">
        <f>RTD("tos.rtd", , "THETA", ".XLI201120P84.5")</f>
        <v>N/A</v>
      </c>
      <c r="P817" t="str">
        <f>RTD("tos.rtd", , "VEGA", ".XLI201120P84.5")</f>
        <v>N/A</v>
      </c>
      <c r="Q817" t="str">
        <f>RTD("tos.rtd", , "RHO", ".XLI201120P84.5")</f>
        <v>N/A</v>
      </c>
      <c r="R817" t="str">
        <f>RTD("tos.rtd", , "INTRINSIC", ".XLI201120P84.5")</f>
        <v>N/A</v>
      </c>
      <c r="S817" t="str">
        <f>RTD("tos.rtd", , "EXTRINSIC", ".XLI201120P84.5")</f>
        <v>N/A</v>
      </c>
      <c r="T817" t="str">
        <f>RTD("tos.rtd", , "PROB_OF_EXPIRING", ".XLI201120P84.5")</f>
        <v>N/A</v>
      </c>
      <c r="U817" t="str">
        <f>RTD("tos.rtd", , "PROB_OTM", ".XLI201120P84.5")</f>
        <v>N/A</v>
      </c>
      <c r="V817" t="str">
        <f>RTD("tos.rtd", , "PROB_OF_TOUCHING", ".XLI201120P84.5")</f>
        <v>N/A</v>
      </c>
      <c r="W817" t="str">
        <f>RTD("tos.rtd", , "STRIKE", ".XLI201120P84.5")</f>
        <v>N/A</v>
      </c>
    </row>
    <row r="818" spans="1:23" x14ac:dyDescent="0.45">
      <c r="A818" t="s">
        <v>839</v>
      </c>
      <c r="B818" t="str">
        <f>RTD("tos.rtd", , "DESCRIPTION", ".XLI201120C85")</f>
        <v>N/A</v>
      </c>
      <c r="C818" t="str">
        <f>RTD("tos.rtd", , "PUT_CALL_RATIO", ".XLI201120C85")</f>
        <v>N/A</v>
      </c>
      <c r="D818" t="str">
        <f>RTD("tos.rtd", , "IMPL_VOL", ".XLI201120C85")</f>
        <v>N/A</v>
      </c>
      <c r="E818">
        <f>RTD("tos.rtd", , "LAST", ".XLI201120C85")</f>
        <v>0.84</v>
      </c>
      <c r="F818">
        <f>RTD("tos.rtd", , "VOLUME", ".XLI201120C85")</f>
        <v>15</v>
      </c>
      <c r="G818">
        <f>RTD("tos.rtd", , "OPEN_INT", ".XLI201120C85")</f>
        <v>5654</v>
      </c>
      <c r="H818">
        <f>RTD("tos.rtd", , "BID", ".XLI201120C85")</f>
        <v>0.54</v>
      </c>
      <c r="I818">
        <f>RTD("tos.rtd", , "ASK", ".XLI201120C85")</f>
        <v>1.07</v>
      </c>
      <c r="J818">
        <f>RTD("tos.rtd", , "HIGH", ".XLI201120C85")</f>
        <v>1.05</v>
      </c>
      <c r="K818">
        <f>RTD("tos.rtd", , "LOW", ".XLI201120C85")</f>
        <v>0.79</v>
      </c>
      <c r="L818">
        <f>RTD("tos.rtd", , "OPEN", ".XLI201120C85")</f>
        <v>0.87</v>
      </c>
      <c r="M818" t="str">
        <f>RTD("tos.rtd", , "DELTA", ".XLI201120C85")</f>
        <v>N/A</v>
      </c>
      <c r="N818" t="str">
        <f>RTD("tos.rtd", , "GAMMA", ".XLI201120C85")</f>
        <v>N/A</v>
      </c>
      <c r="O818" t="str">
        <f>RTD("tos.rtd", , "THETA", ".XLI201120C85")</f>
        <v>N/A</v>
      </c>
      <c r="P818" t="str">
        <f>RTD("tos.rtd", , "VEGA", ".XLI201120C85")</f>
        <v>N/A</v>
      </c>
      <c r="Q818" t="str">
        <f>RTD("tos.rtd", , "RHO", ".XLI201120C85")</f>
        <v>N/A</v>
      </c>
      <c r="R818" t="str">
        <f>RTD("tos.rtd", , "INTRINSIC", ".XLI201120C85")</f>
        <v>N/A</v>
      </c>
      <c r="S818" t="str">
        <f>RTD("tos.rtd", , "EXTRINSIC", ".XLI201120C85")</f>
        <v>N/A</v>
      </c>
      <c r="T818" t="str">
        <f>RTD("tos.rtd", , "PROB_OF_EXPIRING", ".XLI201120C85")</f>
        <v>N/A</v>
      </c>
      <c r="U818" t="str">
        <f>RTD("tos.rtd", , "PROB_OTM", ".XLI201120C85")</f>
        <v>N/A</v>
      </c>
      <c r="V818" t="str">
        <f>RTD("tos.rtd", , "PROB_OF_TOUCHING", ".XLI201120C85")</f>
        <v>N/A</v>
      </c>
      <c r="W818" t="str">
        <f>RTD("tos.rtd", , "STRIKE", ".XLI201120C85")</f>
        <v>N/A</v>
      </c>
    </row>
    <row r="819" spans="1:23" x14ac:dyDescent="0.45">
      <c r="A819" t="s">
        <v>840</v>
      </c>
      <c r="B819" t="str">
        <f>RTD("tos.rtd", , "DESCRIPTION", ".XLI201120P85")</f>
        <v>N/A</v>
      </c>
      <c r="C819" t="str">
        <f>RTD("tos.rtd", , "PUT_CALL_RATIO", ".XLI201120P85")</f>
        <v>N/A</v>
      </c>
      <c r="D819" t="str">
        <f>RTD("tos.rtd", , "IMPL_VOL", ".XLI201120P85")</f>
        <v>N/A</v>
      </c>
      <c r="E819">
        <f>RTD("tos.rtd", , "LAST", ".XLI201120P85")</f>
        <v>1.88</v>
      </c>
      <c r="F819">
        <f>RTD("tos.rtd", , "VOLUME", ".XLI201120P85")</f>
        <v>4</v>
      </c>
      <c r="G819">
        <f>RTD("tos.rtd", , "OPEN_INT", ".XLI201120P85")</f>
        <v>4214</v>
      </c>
      <c r="H819">
        <f>RTD("tos.rtd", , "BID", ".XLI201120P85")</f>
        <v>1.51</v>
      </c>
      <c r="I819">
        <f>RTD("tos.rtd", , "ASK", ".XLI201120P85")</f>
        <v>2.13</v>
      </c>
      <c r="J819">
        <f>RTD("tos.rtd", , "HIGH", ".XLI201120P85")</f>
        <v>1.88</v>
      </c>
      <c r="K819">
        <f>RTD("tos.rtd", , "LOW", ".XLI201120P85")</f>
        <v>1.65</v>
      </c>
      <c r="L819">
        <f>RTD("tos.rtd", , "OPEN", ".XLI201120P85")</f>
        <v>1.72</v>
      </c>
      <c r="M819" t="str">
        <f>RTD("tos.rtd", , "DELTA", ".XLI201120P85")</f>
        <v>N/A</v>
      </c>
      <c r="N819" t="str">
        <f>RTD("tos.rtd", , "GAMMA", ".XLI201120P85")</f>
        <v>N/A</v>
      </c>
      <c r="O819" t="str">
        <f>RTD("tos.rtd", , "THETA", ".XLI201120P85")</f>
        <v>N/A</v>
      </c>
      <c r="P819" t="str">
        <f>RTD("tos.rtd", , "VEGA", ".XLI201120P85")</f>
        <v>N/A</v>
      </c>
      <c r="Q819" t="str">
        <f>RTD("tos.rtd", , "RHO", ".XLI201120P85")</f>
        <v>N/A</v>
      </c>
      <c r="R819" t="str">
        <f>RTD("tos.rtd", , "INTRINSIC", ".XLI201120P85")</f>
        <v>N/A</v>
      </c>
      <c r="S819" t="str">
        <f>RTD("tos.rtd", , "EXTRINSIC", ".XLI201120P85")</f>
        <v>N/A</v>
      </c>
      <c r="T819" t="str">
        <f>RTD("tos.rtd", , "PROB_OF_EXPIRING", ".XLI201120P85")</f>
        <v>N/A</v>
      </c>
      <c r="U819" t="str">
        <f>RTD("tos.rtd", , "PROB_OTM", ".XLI201120P85")</f>
        <v>N/A</v>
      </c>
      <c r="V819" t="str">
        <f>RTD("tos.rtd", , "PROB_OF_TOUCHING", ".XLI201120P85")</f>
        <v>N/A</v>
      </c>
      <c r="W819" t="str">
        <f>RTD("tos.rtd", , "STRIKE", ".XLI201120P85")</f>
        <v>N/A</v>
      </c>
    </row>
    <row r="820" spans="1:23" x14ac:dyDescent="0.45">
      <c r="A820" t="s">
        <v>841</v>
      </c>
      <c r="B820" t="str">
        <f>RTD("tos.rtd", , "DESCRIPTION", ".XLI201120C85.5")</f>
        <v>N/A</v>
      </c>
      <c r="C820" t="str">
        <f>RTD("tos.rtd", , "PUT_CALL_RATIO", ".XLI201120C85.5")</f>
        <v>N/A</v>
      </c>
      <c r="D820" t="str">
        <f>RTD("tos.rtd", , "IMPL_VOL", ".XLI201120C85.5")</f>
        <v>N/A</v>
      </c>
      <c r="E820">
        <f>RTD("tos.rtd", , "LAST", ".XLI201120C85.5")</f>
        <v>0.54</v>
      </c>
      <c r="F820">
        <f>RTD("tos.rtd", , "VOLUME", ".XLI201120C85.5")</f>
        <v>1</v>
      </c>
      <c r="G820">
        <f>RTD("tos.rtd", , "OPEN_INT", ".XLI201120C85.5")</f>
        <v>177</v>
      </c>
      <c r="H820">
        <f>RTD("tos.rtd", , "BID", ".XLI201120C85.5")</f>
        <v>0.36</v>
      </c>
      <c r="I820">
        <f>RTD("tos.rtd", , "ASK", ".XLI201120C85.5")</f>
        <v>0.88</v>
      </c>
      <c r="J820">
        <f>RTD("tos.rtd", , "HIGH", ".XLI201120C85.5")</f>
        <v>0.54</v>
      </c>
      <c r="K820">
        <f>RTD("tos.rtd", , "LOW", ".XLI201120C85.5")</f>
        <v>0.54</v>
      </c>
      <c r="L820">
        <f>RTD("tos.rtd", , "OPEN", ".XLI201120C85.5")</f>
        <v>0.54</v>
      </c>
      <c r="M820" t="str">
        <f>RTD("tos.rtd", , "DELTA", ".XLI201120C85.5")</f>
        <v>N/A</v>
      </c>
      <c r="N820" t="str">
        <f>RTD("tos.rtd", , "GAMMA", ".XLI201120C85.5")</f>
        <v>N/A</v>
      </c>
      <c r="O820" t="str">
        <f>RTD("tos.rtd", , "THETA", ".XLI201120C85.5")</f>
        <v>N/A</v>
      </c>
      <c r="P820" t="str">
        <f>RTD("tos.rtd", , "VEGA", ".XLI201120C85.5")</f>
        <v>N/A</v>
      </c>
      <c r="Q820" t="str">
        <f>RTD("tos.rtd", , "RHO", ".XLI201120C85.5")</f>
        <v>N/A</v>
      </c>
      <c r="R820" t="str">
        <f>RTD("tos.rtd", , "INTRINSIC", ".XLI201120C85.5")</f>
        <v>N/A</v>
      </c>
      <c r="S820" t="str">
        <f>RTD("tos.rtd", , "EXTRINSIC", ".XLI201120C85.5")</f>
        <v>N/A</v>
      </c>
      <c r="T820" t="str">
        <f>RTD("tos.rtd", , "PROB_OF_EXPIRING", ".XLI201120C85.5")</f>
        <v>N/A</v>
      </c>
      <c r="U820" t="str">
        <f>RTD("tos.rtd", , "PROB_OTM", ".XLI201120C85.5")</f>
        <v>N/A</v>
      </c>
      <c r="V820" t="str">
        <f>RTD("tos.rtd", , "PROB_OF_TOUCHING", ".XLI201120C85.5")</f>
        <v>N/A</v>
      </c>
      <c r="W820" t="str">
        <f>RTD("tos.rtd", , "STRIKE", ".XLI201120C85.5")</f>
        <v>N/A</v>
      </c>
    </row>
    <row r="821" spans="1:23" x14ac:dyDescent="0.45">
      <c r="A821" t="s">
        <v>842</v>
      </c>
      <c r="B821" t="str">
        <f>RTD("tos.rtd", , "DESCRIPTION", ".XLI201120P85.5")</f>
        <v>N/A</v>
      </c>
      <c r="C821" t="str">
        <f>RTD("tos.rtd", , "PUT_CALL_RATIO", ".XLI201120P85.5")</f>
        <v>N/A</v>
      </c>
      <c r="D821" t="str">
        <f>RTD("tos.rtd", , "IMPL_VOL", ".XLI201120P85.5")</f>
        <v>N/A</v>
      </c>
      <c r="E821" t="str">
        <f>RTD("tos.rtd", , "LAST", ".XLI201120P85.5")</f>
        <v>N/A</v>
      </c>
      <c r="F821" t="str">
        <f>RTD("tos.rtd", , "VOLUME", ".XLI201120P85.5")</f>
        <v>N/A</v>
      </c>
      <c r="G821" t="str">
        <f>RTD("tos.rtd", , "OPEN_INT", ".XLI201120P85.5")</f>
        <v>N/A</v>
      </c>
      <c r="H821" t="str">
        <f>RTD("tos.rtd", , "BID", ".XLI201120P85.5")</f>
        <v>N/A</v>
      </c>
      <c r="I821" t="str">
        <f>RTD("tos.rtd", , "ASK", ".XLI201120P85.5")</f>
        <v>N/A</v>
      </c>
      <c r="J821" t="str">
        <f>RTD("tos.rtd", , "HIGH", ".XLI201120P85.5")</f>
        <v>N/A</v>
      </c>
      <c r="K821" t="str">
        <f>RTD("tos.rtd", , "LOW", ".XLI201120P85.5")</f>
        <v>N/A</v>
      </c>
      <c r="L821" t="str">
        <f>RTD("tos.rtd", , "OPEN", ".XLI201120P85.5")</f>
        <v>N/A</v>
      </c>
      <c r="M821" t="str">
        <f>RTD("tos.rtd", , "DELTA", ".XLI201120P85.5")</f>
        <v>N/A</v>
      </c>
      <c r="N821" t="str">
        <f>RTD("tos.rtd", , "GAMMA", ".XLI201120P85.5")</f>
        <v>N/A</v>
      </c>
      <c r="O821" t="str">
        <f>RTD("tos.rtd", , "THETA", ".XLI201120P85.5")</f>
        <v>N/A</v>
      </c>
      <c r="P821" t="str">
        <f>RTD("tos.rtd", , "VEGA", ".XLI201120P85.5")</f>
        <v>N/A</v>
      </c>
      <c r="Q821" t="str">
        <f>RTD("tos.rtd", , "RHO", ".XLI201120P85.5")</f>
        <v>N/A</v>
      </c>
      <c r="R821" t="str">
        <f>RTD("tos.rtd", , "INTRINSIC", ".XLI201120P85.5")</f>
        <v>N/A</v>
      </c>
      <c r="S821" t="str">
        <f>RTD("tos.rtd", , "EXTRINSIC", ".XLI201120P85.5")</f>
        <v>N/A</v>
      </c>
      <c r="T821" t="str">
        <f>RTD("tos.rtd", , "PROB_OF_EXPIRING", ".XLI201120P85.5")</f>
        <v>N/A</v>
      </c>
      <c r="U821" t="str">
        <f>RTD("tos.rtd", , "PROB_OTM", ".XLI201120P85.5")</f>
        <v>N/A</v>
      </c>
      <c r="V821" t="str">
        <f>RTD("tos.rtd", , "PROB_OF_TOUCHING", ".XLI201120P85.5")</f>
        <v>N/A</v>
      </c>
      <c r="W821" t="str">
        <f>RTD("tos.rtd", , "STRIKE", ".XLI201120P85.5")</f>
        <v>N/A</v>
      </c>
    </row>
    <row r="822" spans="1:23" x14ac:dyDescent="0.45">
      <c r="A822" t="s">
        <v>843</v>
      </c>
      <c r="B822" t="str">
        <f>RTD("tos.rtd", , "DESCRIPTION", ".XLI201120C86")</f>
        <v>N/A</v>
      </c>
      <c r="C822" t="str">
        <f>RTD("tos.rtd", , "PUT_CALL_RATIO", ".XLI201120C86")</f>
        <v>N/A</v>
      </c>
      <c r="D822" t="str">
        <f>RTD("tos.rtd", , "IMPL_VOL", ".XLI201120C86")</f>
        <v>N/A</v>
      </c>
      <c r="E822" t="str">
        <f>RTD("tos.rtd", , "LAST", ".XLI201120C86")</f>
        <v>N/A</v>
      </c>
      <c r="F822" t="str">
        <f>RTD("tos.rtd", , "VOLUME", ".XLI201120C86")</f>
        <v>N/A</v>
      </c>
      <c r="G822" t="str">
        <f>RTD("tos.rtd", , "OPEN_INT", ".XLI201120C86")</f>
        <v>N/A</v>
      </c>
      <c r="H822" t="str">
        <f>RTD("tos.rtd", , "BID", ".XLI201120C86")</f>
        <v>N/A</v>
      </c>
      <c r="I822" t="str">
        <f>RTD("tos.rtd", , "ASK", ".XLI201120C86")</f>
        <v>N/A</v>
      </c>
      <c r="J822" t="str">
        <f>RTD("tos.rtd", , "HIGH", ".XLI201120C86")</f>
        <v>N/A</v>
      </c>
      <c r="K822" t="str">
        <f>RTD("tos.rtd", , "LOW", ".XLI201120C86")</f>
        <v>N/A</v>
      </c>
      <c r="L822" t="str">
        <f>RTD("tos.rtd", , "OPEN", ".XLI201120C86")</f>
        <v>N/A</v>
      </c>
      <c r="M822" t="str">
        <f>RTD("tos.rtd", , "DELTA", ".XLI201120C86")</f>
        <v>N/A</v>
      </c>
      <c r="N822" t="str">
        <f>RTD("tos.rtd", , "GAMMA", ".XLI201120C86")</f>
        <v>N/A</v>
      </c>
      <c r="O822" t="str">
        <f>RTD("tos.rtd", , "THETA", ".XLI201120C86")</f>
        <v>N/A</v>
      </c>
      <c r="P822" t="str">
        <f>RTD("tos.rtd", , "VEGA", ".XLI201120C86")</f>
        <v>N/A</v>
      </c>
      <c r="Q822" t="str">
        <f>RTD("tos.rtd", , "RHO", ".XLI201120C86")</f>
        <v>N/A</v>
      </c>
      <c r="R822" t="str">
        <f>RTD("tos.rtd", , "INTRINSIC", ".XLI201120C86")</f>
        <v>N/A</v>
      </c>
      <c r="S822" t="str">
        <f>RTD("tos.rtd", , "EXTRINSIC", ".XLI201120C86")</f>
        <v>N/A</v>
      </c>
      <c r="T822" t="str">
        <f>RTD("tos.rtd", , "PROB_OF_EXPIRING", ".XLI201120C86")</f>
        <v>N/A</v>
      </c>
      <c r="U822" t="str">
        <f>RTD("tos.rtd", , "PROB_OTM", ".XLI201120C86")</f>
        <v>N/A</v>
      </c>
      <c r="V822" t="str">
        <f>RTD("tos.rtd", , "PROB_OF_TOUCHING", ".XLI201120C86")</f>
        <v>N/A</v>
      </c>
      <c r="W822" t="str">
        <f>RTD("tos.rtd", , "STRIKE", ".XLI201120C86")</f>
        <v>N/A</v>
      </c>
    </row>
    <row r="823" spans="1:23" x14ac:dyDescent="0.45">
      <c r="A823" t="s">
        <v>844</v>
      </c>
      <c r="B823" t="str">
        <f>RTD("tos.rtd", , "DESCRIPTION", ".XLI201120P86")</f>
        <v>N/A</v>
      </c>
      <c r="C823" t="str">
        <f>RTD("tos.rtd", , "PUT_CALL_RATIO", ".XLI201120P86")</f>
        <v>N/A</v>
      </c>
      <c r="D823" t="str">
        <f>RTD("tos.rtd", , "IMPL_VOL", ".XLI201120P86")</f>
        <v>N/A</v>
      </c>
      <c r="E823" t="str">
        <f>RTD("tos.rtd", , "LAST", ".XLI201120P86")</f>
        <v>N/A</v>
      </c>
      <c r="F823" t="str">
        <f>RTD("tos.rtd", , "VOLUME", ".XLI201120P86")</f>
        <v>N/A</v>
      </c>
      <c r="G823" t="str">
        <f>RTD("tos.rtd", , "OPEN_INT", ".XLI201120P86")</f>
        <v>N/A</v>
      </c>
      <c r="H823" t="str">
        <f>RTD("tos.rtd", , "BID", ".XLI201120P86")</f>
        <v>N/A</v>
      </c>
      <c r="I823" t="str">
        <f>RTD("tos.rtd", , "ASK", ".XLI201120P86")</f>
        <v>N/A</v>
      </c>
      <c r="J823" t="str">
        <f>RTD("tos.rtd", , "HIGH", ".XLI201120P86")</f>
        <v>N/A</v>
      </c>
      <c r="K823" t="str">
        <f>RTD("tos.rtd", , "LOW", ".XLI201120P86")</f>
        <v>N/A</v>
      </c>
      <c r="L823" t="str">
        <f>RTD("tos.rtd", , "OPEN", ".XLI201120P86")</f>
        <v>N/A</v>
      </c>
      <c r="M823" t="str">
        <f>RTD("tos.rtd", , "DELTA", ".XLI201120P86")</f>
        <v>N/A</v>
      </c>
      <c r="N823" t="str">
        <f>RTD("tos.rtd", , "GAMMA", ".XLI201120P86")</f>
        <v>N/A</v>
      </c>
      <c r="O823" t="str">
        <f>RTD("tos.rtd", , "THETA", ".XLI201120P86")</f>
        <v>N/A</v>
      </c>
      <c r="P823" t="str">
        <f>RTD("tos.rtd", , "VEGA", ".XLI201120P86")</f>
        <v>N/A</v>
      </c>
      <c r="Q823" t="str">
        <f>RTD("tos.rtd", , "RHO", ".XLI201120P86")</f>
        <v>N/A</v>
      </c>
      <c r="R823" t="str">
        <f>RTD("tos.rtd", , "INTRINSIC", ".XLI201120P86")</f>
        <v>N/A</v>
      </c>
      <c r="S823" t="str">
        <f>RTD("tos.rtd", , "EXTRINSIC", ".XLI201120P86")</f>
        <v>N/A</v>
      </c>
      <c r="T823" t="str">
        <f>RTD("tos.rtd", , "PROB_OF_EXPIRING", ".XLI201120P86")</f>
        <v>N/A</v>
      </c>
      <c r="U823" t="str">
        <f>RTD("tos.rtd", , "PROB_OTM", ".XLI201120P86")</f>
        <v>N/A</v>
      </c>
      <c r="V823" t="str">
        <f>RTD("tos.rtd", , "PROB_OF_TOUCHING", ".XLI201120P86")</f>
        <v>N/A</v>
      </c>
      <c r="W823" t="str">
        <f>RTD("tos.rtd", , "STRIKE", ".XLI201120P86")</f>
        <v>N/A</v>
      </c>
    </row>
    <row r="824" spans="1:23" x14ac:dyDescent="0.45">
      <c r="A824" t="s">
        <v>845</v>
      </c>
      <c r="B824" t="str">
        <f>RTD("tos.rtd", , "DESCRIPTION", "XLK")</f>
        <v>SELECT SECTOR SPDR TRUST TECHNOLOGY ETF</v>
      </c>
      <c r="C824">
        <f>RTD("tos.rtd", , "PUT_CALL_RATIO", "XLK")</f>
        <v>2.4830000000000001</v>
      </c>
      <c r="D824" t="str">
        <f>RTD("tos.rtd", , "IMPL_VOL", "XLK")</f>
        <v>31.91%</v>
      </c>
      <c r="E824">
        <f>RTD("tos.rtd", , "LAST", "XLK")</f>
        <v>120.18</v>
      </c>
      <c r="F824">
        <f>RTD("tos.rtd", , "VOLUME", "XLK")</f>
        <v>7177078</v>
      </c>
      <c r="G824">
        <f>RTD("tos.rtd", , "OPEN_INT", "XLK")</f>
        <v>0</v>
      </c>
      <c r="H824">
        <f>RTD("tos.rtd", , "BID", "XLK")</f>
        <v>119.22</v>
      </c>
      <c r="I824">
        <f>RTD("tos.rtd", , "ASK", "XLK")</f>
        <v>121.02</v>
      </c>
      <c r="J824">
        <f>RTD("tos.rtd", , "HIGH", "XLK")</f>
        <v>121.86</v>
      </c>
      <c r="K824">
        <f>RTD("tos.rtd", , "LOW", "XLK")</f>
        <v>119.61499999999999</v>
      </c>
      <c r="L824">
        <f>RTD("tos.rtd", , "OPEN", "XLK")</f>
        <v>121.26</v>
      </c>
      <c r="M824">
        <f>RTD("tos.rtd", , "DELTA", "XLK")</f>
        <v>1</v>
      </c>
      <c r="N824">
        <f>RTD("tos.rtd", , "GAMMA", "XLK")</f>
        <v>0</v>
      </c>
      <c r="O824">
        <f>RTD("tos.rtd", , "THETA", "XLK")</f>
        <v>0</v>
      </c>
      <c r="P824">
        <f>RTD("tos.rtd", , "VEGA", "XLK")</f>
        <v>0</v>
      </c>
      <c r="Q824">
        <f>RTD("tos.rtd", , "RHO", "XLK")</f>
        <v>0</v>
      </c>
      <c r="R824" t="str">
        <f>RTD("tos.rtd", , "INTRINSIC", "XLK")</f>
        <v>N/A</v>
      </c>
      <c r="S824" t="str">
        <f>RTD("tos.rtd", , "EXTRINSIC", "XLK")</f>
        <v>N/A</v>
      </c>
      <c r="T824" t="str">
        <f>RTD("tos.rtd", , "PROB_OF_EXPIRING", "XLK")</f>
        <v>N/A</v>
      </c>
      <c r="U824" t="str">
        <f>RTD("tos.rtd", , "PROB_OTM", "XLK")</f>
        <v>N/A</v>
      </c>
      <c r="V824" t="str">
        <f>RTD("tos.rtd", , "PROB_OF_TOUCHING", "XLK")</f>
        <v>N/A</v>
      </c>
      <c r="W824" t="str">
        <f>RTD("tos.rtd", , "STRIKE", "XLK")</f>
        <v>N/A</v>
      </c>
    </row>
    <row r="825" spans="1:23" x14ac:dyDescent="0.45">
      <c r="A825" t="s">
        <v>846</v>
      </c>
      <c r="B825" t="str">
        <f>RTD("tos.rtd", , "DESCRIPTION", ".XLK201120C119.5")</f>
        <v>N/A</v>
      </c>
      <c r="C825" t="str">
        <f>RTD("tos.rtd", , "PUT_CALL_RATIO", ".XLK201120C119.5")</f>
        <v>N/A</v>
      </c>
      <c r="D825" t="str">
        <f>RTD("tos.rtd", , "IMPL_VOL", ".XLK201120C119.5")</f>
        <v>N/A</v>
      </c>
      <c r="E825">
        <f>RTD("tos.rtd", , "LAST", ".XLK201120C119.5")</f>
        <v>2.39</v>
      </c>
      <c r="F825">
        <f>RTD("tos.rtd", , "VOLUME", ".XLK201120C119.5")</f>
        <v>10</v>
      </c>
      <c r="G825">
        <f>RTD("tos.rtd", , "OPEN_INT", ".XLK201120C119.5")</f>
        <v>134</v>
      </c>
      <c r="H825">
        <f>RTD("tos.rtd", , "BID", ".XLK201120C119.5")</f>
        <v>2.5</v>
      </c>
      <c r="I825">
        <f>RTD("tos.rtd", , "ASK", ".XLK201120C119.5")</f>
        <v>2.8</v>
      </c>
      <c r="J825">
        <f>RTD("tos.rtd", , "HIGH", ".XLK201120C119.5")</f>
        <v>2.9</v>
      </c>
      <c r="K825">
        <f>RTD("tos.rtd", , "LOW", ".XLK201120C119.5")</f>
        <v>2.29</v>
      </c>
      <c r="L825">
        <f>RTD("tos.rtd", , "OPEN", ".XLK201120C119.5")</f>
        <v>2.9</v>
      </c>
      <c r="M825" t="str">
        <f>RTD("tos.rtd", , "DELTA", ".XLK201120C119.5")</f>
        <v>N/A</v>
      </c>
      <c r="N825" t="str">
        <f>RTD("tos.rtd", , "GAMMA", ".XLK201120C119.5")</f>
        <v>N/A</v>
      </c>
      <c r="O825" t="str">
        <f>RTD("tos.rtd", , "THETA", ".XLK201120C119.5")</f>
        <v>N/A</v>
      </c>
      <c r="P825" t="str">
        <f>RTD("tos.rtd", , "VEGA", ".XLK201120C119.5")</f>
        <v>N/A</v>
      </c>
      <c r="Q825" t="str">
        <f>RTD("tos.rtd", , "RHO", ".XLK201120C119.5")</f>
        <v>N/A</v>
      </c>
      <c r="R825" t="str">
        <f>RTD("tos.rtd", , "INTRINSIC", ".XLK201120C119.5")</f>
        <v>N/A</v>
      </c>
      <c r="S825" t="str">
        <f>RTD("tos.rtd", , "EXTRINSIC", ".XLK201120C119.5")</f>
        <v>N/A</v>
      </c>
      <c r="T825" t="str">
        <f>RTD("tos.rtd", , "PROB_OF_EXPIRING", ".XLK201120C119.5")</f>
        <v>N/A</v>
      </c>
      <c r="U825" t="str">
        <f>RTD("tos.rtd", , "PROB_OTM", ".XLK201120C119.5")</f>
        <v>N/A</v>
      </c>
      <c r="V825" t="str">
        <f>RTD("tos.rtd", , "PROB_OF_TOUCHING", ".XLK201120C119.5")</f>
        <v>N/A</v>
      </c>
      <c r="W825" t="str">
        <f>RTD("tos.rtd", , "STRIKE", ".XLK201120C119.5")</f>
        <v>N/A</v>
      </c>
    </row>
    <row r="826" spans="1:23" x14ac:dyDescent="0.45">
      <c r="A826" t="s">
        <v>847</v>
      </c>
      <c r="B826" t="str">
        <f>RTD("tos.rtd", , "DESCRIPTION", ".XLK201120P119.5")</f>
        <v>N/A</v>
      </c>
      <c r="C826" t="str">
        <f>RTD("tos.rtd", , "PUT_CALL_RATIO", ".XLK201120P119.5")</f>
        <v>N/A</v>
      </c>
      <c r="D826" t="str">
        <f>RTD("tos.rtd", , "IMPL_VOL", ".XLK201120P119.5")</f>
        <v>N/A</v>
      </c>
      <c r="E826">
        <f>RTD("tos.rtd", , "LAST", ".XLK201120P119.5")</f>
        <v>1.8</v>
      </c>
      <c r="F826">
        <f>RTD("tos.rtd", , "VOLUME", ".XLK201120P119.5")</f>
        <v>96</v>
      </c>
      <c r="G826">
        <f>RTD("tos.rtd", , "OPEN_INT", ".XLK201120P119.5")</f>
        <v>266</v>
      </c>
      <c r="H826">
        <f>RTD("tos.rtd", , "BID", ".XLK201120P119.5")</f>
        <v>1.52</v>
      </c>
      <c r="I826">
        <f>RTD("tos.rtd", , "ASK", ".XLK201120P119.5")</f>
        <v>1.69</v>
      </c>
      <c r="J826">
        <f>RTD("tos.rtd", , "HIGH", ".XLK201120P119.5")</f>
        <v>2.02</v>
      </c>
      <c r="K826">
        <f>RTD("tos.rtd", , "LOW", ".XLK201120P119.5")</f>
        <v>1.52</v>
      </c>
      <c r="L826">
        <f>RTD("tos.rtd", , "OPEN", ".XLK201120P119.5")</f>
        <v>1.52</v>
      </c>
      <c r="M826" t="str">
        <f>RTD("tos.rtd", , "DELTA", ".XLK201120P119.5")</f>
        <v>N/A</v>
      </c>
      <c r="N826" t="str">
        <f>RTD("tos.rtd", , "GAMMA", ".XLK201120P119.5")</f>
        <v>N/A</v>
      </c>
      <c r="O826" t="str">
        <f>RTD("tos.rtd", , "THETA", ".XLK201120P119.5")</f>
        <v>N/A</v>
      </c>
      <c r="P826" t="str">
        <f>RTD("tos.rtd", , "VEGA", ".XLK201120P119.5")</f>
        <v>N/A</v>
      </c>
      <c r="Q826" t="str">
        <f>RTD("tos.rtd", , "RHO", ".XLK201120P119.5")</f>
        <v>N/A</v>
      </c>
      <c r="R826" t="str">
        <f>RTD("tos.rtd", , "INTRINSIC", ".XLK201120P119.5")</f>
        <v>N/A</v>
      </c>
      <c r="S826" t="str">
        <f>RTD("tos.rtd", , "EXTRINSIC", ".XLK201120P119.5")</f>
        <v>N/A</v>
      </c>
      <c r="T826" t="str">
        <f>RTD("tos.rtd", , "PROB_OF_EXPIRING", ".XLK201120P119.5")</f>
        <v>N/A</v>
      </c>
      <c r="U826" t="str">
        <f>RTD("tos.rtd", , "PROB_OTM", ".XLK201120P119.5")</f>
        <v>N/A</v>
      </c>
      <c r="V826" t="str">
        <f>RTD("tos.rtd", , "PROB_OF_TOUCHING", ".XLK201120P119.5")</f>
        <v>N/A</v>
      </c>
      <c r="W826" t="str">
        <f>RTD("tos.rtd", , "STRIKE", ".XLK201120P119.5")</f>
        <v>N/A</v>
      </c>
    </row>
    <row r="827" spans="1:23" x14ac:dyDescent="0.45">
      <c r="A827" t="s">
        <v>848</v>
      </c>
      <c r="B827" t="str">
        <f>RTD("tos.rtd", , "DESCRIPTION", ".XLK201120C120")</f>
        <v>N/A</v>
      </c>
      <c r="C827" t="str">
        <f>RTD("tos.rtd", , "PUT_CALL_RATIO", ".XLK201120C120")</f>
        <v>N/A</v>
      </c>
      <c r="D827" t="str">
        <f>RTD("tos.rtd", , "IMPL_VOL", ".XLK201120C120")</f>
        <v>N/A</v>
      </c>
      <c r="E827">
        <f>RTD("tos.rtd", , "LAST", ".XLK201120C120")</f>
        <v>2.4300000000000002</v>
      </c>
      <c r="F827">
        <f>RTD("tos.rtd", , "VOLUME", ".XLK201120C120")</f>
        <v>72</v>
      </c>
      <c r="G827">
        <f>RTD("tos.rtd", , "OPEN_INT", ".XLK201120C120")</f>
        <v>1913</v>
      </c>
      <c r="H827">
        <f>RTD("tos.rtd", , "BID", ".XLK201120C120")</f>
        <v>2.1800000000000002</v>
      </c>
      <c r="I827">
        <f>RTD("tos.rtd", , "ASK", ".XLK201120C120")</f>
        <v>2.4300000000000002</v>
      </c>
      <c r="J827">
        <f>RTD("tos.rtd", , "HIGH", ".XLK201120C120")</f>
        <v>2.92</v>
      </c>
      <c r="K827">
        <f>RTD("tos.rtd", , "LOW", ".XLK201120C120")</f>
        <v>2.06</v>
      </c>
      <c r="L827">
        <f>RTD("tos.rtd", , "OPEN", ".XLK201120C120")</f>
        <v>2.71</v>
      </c>
      <c r="M827" t="str">
        <f>RTD("tos.rtd", , "DELTA", ".XLK201120C120")</f>
        <v>N/A</v>
      </c>
      <c r="N827" t="str">
        <f>RTD("tos.rtd", , "GAMMA", ".XLK201120C120")</f>
        <v>N/A</v>
      </c>
      <c r="O827" t="str">
        <f>RTD("tos.rtd", , "THETA", ".XLK201120C120")</f>
        <v>N/A</v>
      </c>
      <c r="P827" t="str">
        <f>RTD("tos.rtd", , "VEGA", ".XLK201120C120")</f>
        <v>N/A</v>
      </c>
      <c r="Q827" t="str">
        <f>RTD("tos.rtd", , "RHO", ".XLK201120C120")</f>
        <v>N/A</v>
      </c>
      <c r="R827" t="str">
        <f>RTD("tos.rtd", , "INTRINSIC", ".XLK201120C120")</f>
        <v>N/A</v>
      </c>
      <c r="S827" t="str">
        <f>RTD("tos.rtd", , "EXTRINSIC", ".XLK201120C120")</f>
        <v>N/A</v>
      </c>
      <c r="T827" t="str">
        <f>RTD("tos.rtd", , "PROB_OF_EXPIRING", ".XLK201120C120")</f>
        <v>N/A</v>
      </c>
      <c r="U827" t="str">
        <f>RTD("tos.rtd", , "PROB_OTM", ".XLK201120C120")</f>
        <v>N/A</v>
      </c>
      <c r="V827" t="str">
        <f>RTD("tos.rtd", , "PROB_OF_TOUCHING", ".XLK201120C120")</f>
        <v>N/A</v>
      </c>
      <c r="W827" t="str">
        <f>RTD("tos.rtd", , "STRIKE", ".XLK201120C120")</f>
        <v>N/A</v>
      </c>
    </row>
    <row r="828" spans="1:23" x14ac:dyDescent="0.45">
      <c r="A828" t="s">
        <v>849</v>
      </c>
      <c r="B828" t="str">
        <f>RTD("tos.rtd", , "DESCRIPTION", ".XLK201120P120")</f>
        <v>N/A</v>
      </c>
      <c r="C828" t="str">
        <f>RTD("tos.rtd", , "PUT_CALL_RATIO", ".XLK201120P120")</f>
        <v>N/A</v>
      </c>
      <c r="D828" t="str">
        <f>RTD("tos.rtd", , "IMPL_VOL", ".XLK201120P120")</f>
        <v>N/A</v>
      </c>
      <c r="E828">
        <f>RTD("tos.rtd", , "LAST", ".XLK201120P120")</f>
        <v>2.0099999999999998</v>
      </c>
      <c r="F828">
        <f>RTD("tos.rtd", , "VOLUME", ".XLK201120P120")</f>
        <v>160</v>
      </c>
      <c r="G828">
        <f>RTD("tos.rtd", , "OPEN_INT", ".XLK201120P120")</f>
        <v>1492</v>
      </c>
      <c r="H828">
        <f>RTD("tos.rtd", , "BID", ".XLK201120P120")</f>
        <v>1.7</v>
      </c>
      <c r="I828">
        <f>RTD("tos.rtd", , "ASK", ".XLK201120P120")</f>
        <v>1.95</v>
      </c>
      <c r="J828">
        <f>RTD("tos.rtd", , "HIGH", ".XLK201120P120")</f>
        <v>2.11</v>
      </c>
      <c r="K828">
        <f>RTD("tos.rtd", , "LOW", ".XLK201120P120")</f>
        <v>1.27</v>
      </c>
      <c r="L828">
        <f>RTD("tos.rtd", , "OPEN", ".XLK201120P120")</f>
        <v>1.4</v>
      </c>
      <c r="M828" t="str">
        <f>RTD("tos.rtd", , "DELTA", ".XLK201120P120")</f>
        <v>N/A</v>
      </c>
      <c r="N828" t="str">
        <f>RTD("tos.rtd", , "GAMMA", ".XLK201120P120")</f>
        <v>N/A</v>
      </c>
      <c r="O828" t="str">
        <f>RTD("tos.rtd", , "THETA", ".XLK201120P120")</f>
        <v>N/A</v>
      </c>
      <c r="P828" t="str">
        <f>RTD("tos.rtd", , "VEGA", ".XLK201120P120")</f>
        <v>N/A</v>
      </c>
      <c r="Q828" t="str">
        <f>RTD("tos.rtd", , "RHO", ".XLK201120P120")</f>
        <v>N/A</v>
      </c>
      <c r="R828" t="str">
        <f>RTD("tos.rtd", , "INTRINSIC", ".XLK201120P120")</f>
        <v>N/A</v>
      </c>
      <c r="S828" t="str">
        <f>RTD("tos.rtd", , "EXTRINSIC", ".XLK201120P120")</f>
        <v>N/A</v>
      </c>
      <c r="T828" t="str">
        <f>RTD("tos.rtd", , "PROB_OF_EXPIRING", ".XLK201120P120")</f>
        <v>N/A</v>
      </c>
      <c r="U828" t="str">
        <f>RTD("tos.rtd", , "PROB_OTM", ".XLK201120P120")</f>
        <v>N/A</v>
      </c>
      <c r="V828" t="str">
        <f>RTD("tos.rtd", , "PROB_OF_TOUCHING", ".XLK201120P120")</f>
        <v>N/A</v>
      </c>
      <c r="W828" t="str">
        <f>RTD("tos.rtd", , "STRIKE", ".XLK201120P120")</f>
        <v>N/A</v>
      </c>
    </row>
    <row r="829" spans="1:23" x14ac:dyDescent="0.45">
      <c r="A829" t="s">
        <v>850</v>
      </c>
      <c r="B829" t="str">
        <f>RTD("tos.rtd", , "DESCRIPTION", ".XLK201120C120.5")</f>
        <v>N/A</v>
      </c>
      <c r="C829" t="str">
        <f>RTD("tos.rtd", , "PUT_CALL_RATIO", ".XLK201120C120.5")</f>
        <v>N/A</v>
      </c>
      <c r="D829" t="str">
        <f>RTD("tos.rtd", , "IMPL_VOL", ".XLK201120C120.5")</f>
        <v>N/A</v>
      </c>
      <c r="E829">
        <f>RTD("tos.rtd", , "LAST", ".XLK201120C120.5")</f>
        <v>1.82</v>
      </c>
      <c r="F829">
        <f>RTD("tos.rtd", , "VOLUME", ".XLK201120C120.5")</f>
        <v>55</v>
      </c>
      <c r="G829">
        <f>RTD("tos.rtd", , "OPEN_INT", ".XLK201120C120.5")</f>
        <v>841</v>
      </c>
      <c r="H829">
        <f>RTD("tos.rtd", , "BID", ".XLK201120C120.5")</f>
        <v>1.91</v>
      </c>
      <c r="I829">
        <f>RTD("tos.rtd", , "ASK", ".XLK201120C120.5")</f>
        <v>2.15</v>
      </c>
      <c r="J829">
        <f>RTD("tos.rtd", , "HIGH", ".XLK201120C120.5")</f>
        <v>2.5</v>
      </c>
      <c r="K829">
        <f>RTD("tos.rtd", , "LOW", ".XLK201120C120.5")</f>
        <v>1.8</v>
      </c>
      <c r="L829">
        <f>RTD("tos.rtd", , "OPEN", ".XLK201120C120.5")</f>
        <v>2.41</v>
      </c>
      <c r="M829" t="str">
        <f>RTD("tos.rtd", , "DELTA", ".XLK201120C120.5")</f>
        <v>N/A</v>
      </c>
      <c r="N829" t="str">
        <f>RTD("tos.rtd", , "GAMMA", ".XLK201120C120.5")</f>
        <v>N/A</v>
      </c>
      <c r="O829" t="str">
        <f>RTD("tos.rtd", , "THETA", ".XLK201120C120.5")</f>
        <v>N/A</v>
      </c>
      <c r="P829" t="str">
        <f>RTD("tos.rtd", , "VEGA", ".XLK201120C120.5")</f>
        <v>N/A</v>
      </c>
      <c r="Q829" t="str">
        <f>RTD("tos.rtd", , "RHO", ".XLK201120C120.5")</f>
        <v>N/A</v>
      </c>
      <c r="R829" t="str">
        <f>RTD("tos.rtd", , "INTRINSIC", ".XLK201120C120.5")</f>
        <v>N/A</v>
      </c>
      <c r="S829" t="str">
        <f>RTD("tos.rtd", , "EXTRINSIC", ".XLK201120C120.5")</f>
        <v>N/A</v>
      </c>
      <c r="T829" t="str">
        <f>RTD("tos.rtd", , "PROB_OF_EXPIRING", ".XLK201120C120.5")</f>
        <v>N/A</v>
      </c>
      <c r="U829" t="str">
        <f>RTD("tos.rtd", , "PROB_OTM", ".XLK201120C120.5")</f>
        <v>N/A</v>
      </c>
      <c r="V829" t="str">
        <f>RTD("tos.rtd", , "PROB_OF_TOUCHING", ".XLK201120C120.5")</f>
        <v>N/A</v>
      </c>
      <c r="W829" t="str">
        <f>RTD("tos.rtd", , "STRIKE", ".XLK201120C120.5")</f>
        <v>N/A</v>
      </c>
    </row>
    <row r="830" spans="1:23" x14ac:dyDescent="0.45">
      <c r="A830" t="s">
        <v>851</v>
      </c>
      <c r="B830" t="str">
        <f>RTD("tos.rtd", , "DESCRIPTION", ".XLK201120P120.5")</f>
        <v>N/A</v>
      </c>
      <c r="C830" t="str">
        <f>RTD("tos.rtd", , "PUT_CALL_RATIO", ".XLK201120P120.5")</f>
        <v>N/A</v>
      </c>
      <c r="D830" t="str">
        <f>RTD("tos.rtd", , "IMPL_VOL", ".XLK201120P120.5")</f>
        <v>N/A</v>
      </c>
      <c r="E830">
        <f>RTD("tos.rtd", , "LAST", ".XLK201120P120.5")</f>
        <v>2.23</v>
      </c>
      <c r="F830">
        <f>RTD("tos.rtd", , "VOLUME", ".XLK201120P120.5")</f>
        <v>31</v>
      </c>
      <c r="G830">
        <f>RTD("tos.rtd", , "OPEN_INT", ".XLK201120P120.5")</f>
        <v>271</v>
      </c>
      <c r="H830">
        <f>RTD("tos.rtd", , "BID", ".XLK201120P120.5")</f>
        <v>1.92</v>
      </c>
      <c r="I830">
        <f>RTD("tos.rtd", , "ASK", ".XLK201120P120.5")</f>
        <v>2.15</v>
      </c>
      <c r="J830">
        <f>RTD("tos.rtd", , "HIGH", ".XLK201120P120.5")</f>
        <v>2.4300000000000002</v>
      </c>
      <c r="K830">
        <f>RTD("tos.rtd", , "LOW", ".XLK201120P120.5")</f>
        <v>1.56</v>
      </c>
      <c r="L830">
        <f>RTD("tos.rtd", , "OPEN", ".XLK201120P120.5")</f>
        <v>1.56</v>
      </c>
      <c r="M830" t="str">
        <f>RTD("tos.rtd", , "DELTA", ".XLK201120P120.5")</f>
        <v>N/A</v>
      </c>
      <c r="N830" t="str">
        <f>RTD("tos.rtd", , "GAMMA", ".XLK201120P120.5")</f>
        <v>N/A</v>
      </c>
      <c r="O830" t="str">
        <f>RTD("tos.rtd", , "THETA", ".XLK201120P120.5")</f>
        <v>N/A</v>
      </c>
      <c r="P830" t="str">
        <f>RTD("tos.rtd", , "VEGA", ".XLK201120P120.5")</f>
        <v>N/A</v>
      </c>
      <c r="Q830" t="str">
        <f>RTD("tos.rtd", , "RHO", ".XLK201120P120.5")</f>
        <v>N/A</v>
      </c>
      <c r="R830" t="str">
        <f>RTD("tos.rtd", , "INTRINSIC", ".XLK201120P120.5")</f>
        <v>N/A</v>
      </c>
      <c r="S830" t="str">
        <f>RTD("tos.rtd", , "EXTRINSIC", ".XLK201120P120.5")</f>
        <v>N/A</v>
      </c>
      <c r="T830" t="str">
        <f>RTD("tos.rtd", , "PROB_OF_EXPIRING", ".XLK201120P120.5")</f>
        <v>N/A</v>
      </c>
      <c r="U830" t="str">
        <f>RTD("tos.rtd", , "PROB_OTM", ".XLK201120P120.5")</f>
        <v>N/A</v>
      </c>
      <c r="V830" t="str">
        <f>RTD("tos.rtd", , "PROB_OF_TOUCHING", ".XLK201120P120.5")</f>
        <v>N/A</v>
      </c>
      <c r="W830" t="str">
        <f>RTD("tos.rtd", , "STRIKE", ".XLK201120P120.5")</f>
        <v>N/A</v>
      </c>
    </row>
    <row r="831" spans="1:23" x14ac:dyDescent="0.45">
      <c r="A831" t="s">
        <v>852</v>
      </c>
      <c r="B831" t="str">
        <f>RTD("tos.rtd", , "DESCRIPTION", ".XLK201120C121")</f>
        <v>N/A</v>
      </c>
      <c r="C831" t="str">
        <f>RTD("tos.rtd", , "PUT_CALL_RATIO", ".XLK201120C121")</f>
        <v>N/A</v>
      </c>
      <c r="D831" t="str">
        <f>RTD("tos.rtd", , "IMPL_VOL", ".XLK201120C121")</f>
        <v>N/A</v>
      </c>
      <c r="E831">
        <f>RTD("tos.rtd", , "LAST", ".XLK201120C121")</f>
        <v>1.57</v>
      </c>
      <c r="F831">
        <f>RTD("tos.rtd", , "VOLUME", ".XLK201120C121")</f>
        <v>61</v>
      </c>
      <c r="G831">
        <f>RTD("tos.rtd", , "OPEN_INT", ".XLK201120C121")</f>
        <v>886</v>
      </c>
      <c r="H831">
        <f>RTD("tos.rtd", , "BID", ".XLK201120C121")</f>
        <v>1.62</v>
      </c>
      <c r="I831">
        <f>RTD("tos.rtd", , "ASK", ".XLK201120C121")</f>
        <v>1.88</v>
      </c>
      <c r="J831">
        <f>RTD("tos.rtd", , "HIGH", ".XLK201120C121")</f>
        <v>2.27</v>
      </c>
      <c r="K831">
        <f>RTD("tos.rtd", , "LOW", ".XLK201120C121")</f>
        <v>1.54</v>
      </c>
      <c r="L831">
        <f>RTD("tos.rtd", , "OPEN", ".XLK201120C121")</f>
        <v>2.08</v>
      </c>
      <c r="M831" t="str">
        <f>RTD("tos.rtd", , "DELTA", ".XLK201120C121")</f>
        <v>N/A</v>
      </c>
      <c r="N831" t="str">
        <f>RTD("tos.rtd", , "GAMMA", ".XLK201120C121")</f>
        <v>N/A</v>
      </c>
      <c r="O831" t="str">
        <f>RTD("tos.rtd", , "THETA", ".XLK201120C121")</f>
        <v>N/A</v>
      </c>
      <c r="P831" t="str">
        <f>RTD("tos.rtd", , "VEGA", ".XLK201120C121")</f>
        <v>N/A</v>
      </c>
      <c r="Q831" t="str">
        <f>RTD("tos.rtd", , "RHO", ".XLK201120C121")</f>
        <v>N/A</v>
      </c>
      <c r="R831" t="str">
        <f>RTD("tos.rtd", , "INTRINSIC", ".XLK201120C121")</f>
        <v>N/A</v>
      </c>
      <c r="S831" t="str">
        <f>RTD("tos.rtd", , "EXTRINSIC", ".XLK201120C121")</f>
        <v>N/A</v>
      </c>
      <c r="T831" t="str">
        <f>RTD("tos.rtd", , "PROB_OF_EXPIRING", ".XLK201120C121")</f>
        <v>N/A</v>
      </c>
      <c r="U831" t="str">
        <f>RTD("tos.rtd", , "PROB_OTM", ".XLK201120C121")</f>
        <v>N/A</v>
      </c>
      <c r="V831" t="str">
        <f>RTD("tos.rtd", , "PROB_OF_TOUCHING", ".XLK201120C121")</f>
        <v>N/A</v>
      </c>
      <c r="W831" t="str">
        <f>RTD("tos.rtd", , "STRIKE", ".XLK201120C121")</f>
        <v>N/A</v>
      </c>
    </row>
    <row r="832" spans="1:23" x14ac:dyDescent="0.45">
      <c r="A832" t="s">
        <v>853</v>
      </c>
      <c r="B832" t="str">
        <f>RTD("tos.rtd", , "DESCRIPTION", ".XLK201120P121")</f>
        <v>N/A</v>
      </c>
      <c r="C832" t="str">
        <f>RTD("tos.rtd", , "PUT_CALL_RATIO", ".XLK201120P121")</f>
        <v>N/A</v>
      </c>
      <c r="D832" t="str">
        <f>RTD("tos.rtd", , "IMPL_VOL", ".XLK201120P121")</f>
        <v>N/A</v>
      </c>
      <c r="E832">
        <f>RTD("tos.rtd", , "LAST", ".XLK201120P121")</f>
        <v>2.5</v>
      </c>
      <c r="F832">
        <f>RTD("tos.rtd", , "VOLUME", ".XLK201120P121")</f>
        <v>66</v>
      </c>
      <c r="G832">
        <f>RTD("tos.rtd", , "OPEN_INT", ".XLK201120P121")</f>
        <v>345</v>
      </c>
      <c r="H832">
        <f>RTD("tos.rtd", , "BID", ".XLK201120P121")</f>
        <v>2.14</v>
      </c>
      <c r="I832">
        <f>RTD("tos.rtd", , "ASK", ".XLK201120P121")</f>
        <v>2.34</v>
      </c>
      <c r="J832">
        <f>RTD("tos.rtd", , "HIGH", ".XLK201120P121")</f>
        <v>2.5</v>
      </c>
      <c r="K832">
        <f>RTD("tos.rtd", , "LOW", ".XLK201120P121")</f>
        <v>1.75</v>
      </c>
      <c r="L832">
        <f>RTD("tos.rtd", , "OPEN", ".XLK201120P121")</f>
        <v>1.86</v>
      </c>
      <c r="M832" t="str">
        <f>RTD("tos.rtd", , "DELTA", ".XLK201120P121")</f>
        <v>N/A</v>
      </c>
      <c r="N832" t="str">
        <f>RTD("tos.rtd", , "GAMMA", ".XLK201120P121")</f>
        <v>N/A</v>
      </c>
      <c r="O832" t="str">
        <f>RTD("tos.rtd", , "THETA", ".XLK201120P121")</f>
        <v>N/A</v>
      </c>
      <c r="P832" t="str">
        <f>RTD("tos.rtd", , "VEGA", ".XLK201120P121")</f>
        <v>N/A</v>
      </c>
      <c r="Q832" t="str">
        <f>RTD("tos.rtd", , "RHO", ".XLK201120P121")</f>
        <v>N/A</v>
      </c>
      <c r="R832" t="str">
        <f>RTD("tos.rtd", , "INTRINSIC", ".XLK201120P121")</f>
        <v>N/A</v>
      </c>
      <c r="S832" t="str">
        <f>RTD("tos.rtd", , "EXTRINSIC", ".XLK201120P121")</f>
        <v>N/A</v>
      </c>
      <c r="T832" t="str">
        <f>RTD("tos.rtd", , "PROB_OF_EXPIRING", ".XLK201120P121")</f>
        <v>N/A</v>
      </c>
      <c r="U832" t="str">
        <f>RTD("tos.rtd", , "PROB_OTM", ".XLK201120P121")</f>
        <v>N/A</v>
      </c>
      <c r="V832" t="str">
        <f>RTD("tos.rtd", , "PROB_OF_TOUCHING", ".XLK201120P121")</f>
        <v>N/A</v>
      </c>
      <c r="W832" t="str">
        <f>RTD("tos.rtd", , "STRIKE", ".XLK201120P121")</f>
        <v>N/A</v>
      </c>
    </row>
    <row r="833" spans="1:23" x14ac:dyDescent="0.45">
      <c r="A833" t="s">
        <v>854</v>
      </c>
      <c r="B833" t="str">
        <f>RTD("tos.rtd", , "DESCRIPTION", ".XLK201120C121.5")</f>
        <v>N/A</v>
      </c>
      <c r="C833" t="str">
        <f>RTD("tos.rtd", , "PUT_CALL_RATIO", ".XLK201120C121.5")</f>
        <v>N/A</v>
      </c>
      <c r="D833" t="str">
        <f>RTD("tos.rtd", , "IMPL_VOL", ".XLK201120C121.5")</f>
        <v>N/A</v>
      </c>
      <c r="E833">
        <f>RTD("tos.rtd", , "LAST", ".XLK201120C121.5")</f>
        <v>1.29</v>
      </c>
      <c r="F833">
        <f>RTD("tos.rtd", , "VOLUME", ".XLK201120C121.5")</f>
        <v>20</v>
      </c>
      <c r="G833">
        <f>RTD("tos.rtd", , "OPEN_INT", ".XLK201120C121.5")</f>
        <v>333</v>
      </c>
      <c r="H833">
        <f>RTD("tos.rtd", , "BID", ".XLK201120C121.5")</f>
        <v>1.37</v>
      </c>
      <c r="I833">
        <f>RTD("tos.rtd", , "ASK", ".XLK201120C121.5")</f>
        <v>1.6</v>
      </c>
      <c r="J833">
        <f>RTD("tos.rtd", , "HIGH", ".XLK201120C121.5")</f>
        <v>2.09</v>
      </c>
      <c r="K833">
        <f>RTD("tos.rtd", , "LOW", ".XLK201120C121.5")</f>
        <v>1.29</v>
      </c>
      <c r="L833">
        <f>RTD("tos.rtd", , "OPEN", ".XLK201120C121.5")</f>
        <v>1.68</v>
      </c>
      <c r="M833" t="str">
        <f>RTD("tos.rtd", , "DELTA", ".XLK201120C121.5")</f>
        <v>N/A</v>
      </c>
      <c r="N833" t="str">
        <f>RTD("tos.rtd", , "GAMMA", ".XLK201120C121.5")</f>
        <v>N/A</v>
      </c>
      <c r="O833" t="str">
        <f>RTD("tos.rtd", , "THETA", ".XLK201120C121.5")</f>
        <v>N/A</v>
      </c>
      <c r="P833" t="str">
        <f>RTD("tos.rtd", , "VEGA", ".XLK201120C121.5")</f>
        <v>N/A</v>
      </c>
      <c r="Q833" t="str">
        <f>RTD("tos.rtd", , "RHO", ".XLK201120C121.5")</f>
        <v>N/A</v>
      </c>
      <c r="R833" t="str">
        <f>RTD("tos.rtd", , "INTRINSIC", ".XLK201120C121.5")</f>
        <v>N/A</v>
      </c>
      <c r="S833" t="str">
        <f>RTD("tos.rtd", , "EXTRINSIC", ".XLK201120C121.5")</f>
        <v>N/A</v>
      </c>
      <c r="T833" t="str">
        <f>RTD("tos.rtd", , "PROB_OF_EXPIRING", ".XLK201120C121.5")</f>
        <v>N/A</v>
      </c>
      <c r="U833" t="str">
        <f>RTD("tos.rtd", , "PROB_OTM", ".XLK201120C121.5")</f>
        <v>N/A</v>
      </c>
      <c r="V833" t="str">
        <f>RTD("tos.rtd", , "PROB_OF_TOUCHING", ".XLK201120C121.5")</f>
        <v>N/A</v>
      </c>
      <c r="W833" t="str">
        <f>RTD("tos.rtd", , "STRIKE", ".XLK201120C121.5")</f>
        <v>N/A</v>
      </c>
    </row>
    <row r="834" spans="1:23" x14ac:dyDescent="0.45">
      <c r="A834" t="s">
        <v>855</v>
      </c>
      <c r="B834" t="str">
        <f>RTD("tos.rtd", , "DESCRIPTION", ".XLK201120P121.5")</f>
        <v>N/A</v>
      </c>
      <c r="C834" t="str">
        <f>RTD("tos.rtd", , "PUT_CALL_RATIO", ".XLK201120P121.5")</f>
        <v>N/A</v>
      </c>
      <c r="D834" t="str">
        <f>RTD("tos.rtd", , "IMPL_VOL", ".XLK201120P121.5")</f>
        <v>N/A</v>
      </c>
      <c r="E834">
        <f>RTD("tos.rtd", , "LAST", ".XLK201120P121.5")</f>
        <v>2.71</v>
      </c>
      <c r="F834">
        <f>RTD("tos.rtd", , "VOLUME", ".XLK201120P121.5")</f>
        <v>57</v>
      </c>
      <c r="G834">
        <f>RTD("tos.rtd", , "OPEN_INT", ".XLK201120P121.5")</f>
        <v>158</v>
      </c>
      <c r="H834">
        <f>RTD("tos.rtd", , "BID", ".XLK201120P121.5")</f>
        <v>2.39</v>
      </c>
      <c r="I834">
        <f>RTD("tos.rtd", , "ASK", ".XLK201120P121.5")</f>
        <v>2.72</v>
      </c>
      <c r="J834">
        <f>RTD("tos.rtd", , "HIGH", ".XLK201120P121.5")</f>
        <v>2.76</v>
      </c>
      <c r="K834">
        <f>RTD("tos.rtd", , "LOW", ".XLK201120P121.5")</f>
        <v>1.96</v>
      </c>
      <c r="L834">
        <f>RTD("tos.rtd", , "OPEN", ".XLK201120P121.5")</f>
        <v>1.97</v>
      </c>
      <c r="M834" t="str">
        <f>RTD("tos.rtd", , "DELTA", ".XLK201120P121.5")</f>
        <v>N/A</v>
      </c>
      <c r="N834" t="str">
        <f>RTD("tos.rtd", , "GAMMA", ".XLK201120P121.5")</f>
        <v>N/A</v>
      </c>
      <c r="O834" t="str">
        <f>RTD("tos.rtd", , "THETA", ".XLK201120P121.5")</f>
        <v>N/A</v>
      </c>
      <c r="P834" t="str">
        <f>RTD("tos.rtd", , "VEGA", ".XLK201120P121.5")</f>
        <v>N/A</v>
      </c>
      <c r="Q834" t="str">
        <f>RTD("tos.rtd", , "RHO", ".XLK201120P121.5")</f>
        <v>N/A</v>
      </c>
      <c r="R834" t="str">
        <f>RTD("tos.rtd", , "INTRINSIC", ".XLK201120P121.5")</f>
        <v>N/A</v>
      </c>
      <c r="S834" t="str">
        <f>RTD("tos.rtd", , "EXTRINSIC", ".XLK201120P121.5")</f>
        <v>N/A</v>
      </c>
      <c r="T834" t="str">
        <f>RTD("tos.rtd", , "PROB_OF_EXPIRING", ".XLK201120P121.5")</f>
        <v>N/A</v>
      </c>
      <c r="U834" t="str">
        <f>RTD("tos.rtd", , "PROB_OTM", ".XLK201120P121.5")</f>
        <v>N/A</v>
      </c>
      <c r="V834" t="str">
        <f>RTD("tos.rtd", , "PROB_OF_TOUCHING", ".XLK201120P121.5")</f>
        <v>N/A</v>
      </c>
      <c r="W834" t="str">
        <f>RTD("tos.rtd", , "STRIKE", ".XLK201120P121.5")</f>
        <v>N/A</v>
      </c>
    </row>
    <row r="835" spans="1:23" x14ac:dyDescent="0.45">
      <c r="A835" t="s">
        <v>856</v>
      </c>
      <c r="B835" t="str">
        <f>RTD("tos.rtd", , "DESCRIPTION", ".XLK201120C122")</f>
        <v>N/A</v>
      </c>
      <c r="C835" t="str">
        <f>RTD("tos.rtd", , "PUT_CALL_RATIO", ".XLK201120C122")</f>
        <v>N/A</v>
      </c>
      <c r="D835" t="str">
        <f>RTD("tos.rtd", , "IMPL_VOL", ".XLK201120C122")</f>
        <v>N/A</v>
      </c>
      <c r="E835">
        <f>RTD("tos.rtd", , "LAST", ".XLK201120C122")</f>
        <v>1.18</v>
      </c>
      <c r="F835">
        <f>RTD("tos.rtd", , "VOLUME", ".XLK201120C122")</f>
        <v>52</v>
      </c>
      <c r="G835">
        <f>RTD("tos.rtd", , "OPEN_INT", ".XLK201120C122")</f>
        <v>406</v>
      </c>
      <c r="H835">
        <f>RTD("tos.rtd", , "BID", ".XLK201120C122")</f>
        <v>1.18</v>
      </c>
      <c r="I835">
        <f>RTD("tos.rtd", , "ASK", ".XLK201120C122")</f>
        <v>1.36</v>
      </c>
      <c r="J835">
        <f>RTD("tos.rtd", , "HIGH", ".XLK201120C122")</f>
        <v>1.64</v>
      </c>
      <c r="K835">
        <f>RTD("tos.rtd", , "LOW", ".XLK201120C122")</f>
        <v>1.06</v>
      </c>
      <c r="L835">
        <f>RTD("tos.rtd", , "OPEN", ".XLK201120C122")</f>
        <v>1.59</v>
      </c>
      <c r="M835" t="str">
        <f>RTD("tos.rtd", , "DELTA", ".XLK201120C122")</f>
        <v>N/A</v>
      </c>
      <c r="N835" t="str">
        <f>RTD("tos.rtd", , "GAMMA", ".XLK201120C122")</f>
        <v>N/A</v>
      </c>
      <c r="O835" t="str">
        <f>RTD("tos.rtd", , "THETA", ".XLK201120C122")</f>
        <v>N/A</v>
      </c>
      <c r="P835" t="str">
        <f>RTD("tos.rtd", , "VEGA", ".XLK201120C122")</f>
        <v>N/A</v>
      </c>
      <c r="Q835" t="str">
        <f>RTD("tos.rtd", , "RHO", ".XLK201120C122")</f>
        <v>N/A</v>
      </c>
      <c r="R835" t="str">
        <f>RTD("tos.rtd", , "INTRINSIC", ".XLK201120C122")</f>
        <v>N/A</v>
      </c>
      <c r="S835" t="str">
        <f>RTD("tos.rtd", , "EXTRINSIC", ".XLK201120C122")</f>
        <v>N/A</v>
      </c>
      <c r="T835" t="str">
        <f>RTD("tos.rtd", , "PROB_OF_EXPIRING", ".XLK201120C122")</f>
        <v>N/A</v>
      </c>
      <c r="U835" t="str">
        <f>RTD("tos.rtd", , "PROB_OTM", ".XLK201120C122")</f>
        <v>N/A</v>
      </c>
      <c r="V835" t="str">
        <f>RTD("tos.rtd", , "PROB_OF_TOUCHING", ".XLK201120C122")</f>
        <v>N/A</v>
      </c>
      <c r="W835" t="str">
        <f>RTD("tos.rtd", , "STRIKE", ".XLK201120C122")</f>
        <v>N/A</v>
      </c>
    </row>
    <row r="836" spans="1:23" x14ac:dyDescent="0.45">
      <c r="A836" t="s">
        <v>857</v>
      </c>
      <c r="B836" t="str">
        <f>RTD("tos.rtd", , "DESCRIPTION", ".XLK201120P122")</f>
        <v>N/A</v>
      </c>
      <c r="C836" t="str">
        <f>RTD("tos.rtd", , "PUT_CALL_RATIO", ".XLK201120P122")</f>
        <v>N/A</v>
      </c>
      <c r="D836" t="str">
        <f>RTD("tos.rtd", , "IMPL_VOL", ".XLK201120P122")</f>
        <v>N/A</v>
      </c>
      <c r="E836">
        <f>RTD("tos.rtd", , "LAST", ".XLK201120P122")</f>
        <v>3.15</v>
      </c>
      <c r="F836">
        <f>RTD("tos.rtd", , "VOLUME", ".XLK201120P122")</f>
        <v>53</v>
      </c>
      <c r="G836">
        <f>RTD("tos.rtd", , "OPEN_INT", ".XLK201120P122")</f>
        <v>184</v>
      </c>
      <c r="H836">
        <f>RTD("tos.rtd", , "BID", ".XLK201120P122")</f>
        <v>2.65</v>
      </c>
      <c r="I836">
        <f>RTD("tos.rtd", , "ASK", ".XLK201120P122")</f>
        <v>3.15</v>
      </c>
      <c r="J836">
        <f>RTD("tos.rtd", , "HIGH", ".XLK201120P122")</f>
        <v>3.15</v>
      </c>
      <c r="K836">
        <f>RTD("tos.rtd", , "LOW", ".XLK201120P122")</f>
        <v>2.25</v>
      </c>
      <c r="L836">
        <f>RTD("tos.rtd", , "OPEN", ".XLK201120P122")</f>
        <v>2.27</v>
      </c>
      <c r="M836" t="str">
        <f>RTD("tos.rtd", , "DELTA", ".XLK201120P122")</f>
        <v>N/A</v>
      </c>
      <c r="N836" t="str">
        <f>RTD("tos.rtd", , "GAMMA", ".XLK201120P122")</f>
        <v>N/A</v>
      </c>
      <c r="O836" t="str">
        <f>RTD("tos.rtd", , "THETA", ".XLK201120P122")</f>
        <v>N/A</v>
      </c>
      <c r="P836" t="str">
        <f>RTD("tos.rtd", , "VEGA", ".XLK201120P122")</f>
        <v>N/A</v>
      </c>
      <c r="Q836" t="str">
        <f>RTD("tos.rtd", , "RHO", ".XLK201120P122")</f>
        <v>N/A</v>
      </c>
      <c r="R836" t="str">
        <f>RTD("tos.rtd", , "INTRINSIC", ".XLK201120P122")</f>
        <v>N/A</v>
      </c>
      <c r="S836" t="str">
        <f>RTD("tos.rtd", , "EXTRINSIC", ".XLK201120P122")</f>
        <v>N/A</v>
      </c>
      <c r="T836" t="str">
        <f>RTD("tos.rtd", , "PROB_OF_EXPIRING", ".XLK201120P122")</f>
        <v>N/A</v>
      </c>
      <c r="U836" t="str">
        <f>RTD("tos.rtd", , "PROB_OTM", ".XLK201120P122")</f>
        <v>N/A</v>
      </c>
      <c r="V836" t="str">
        <f>RTD("tos.rtd", , "PROB_OF_TOUCHING", ".XLK201120P122")</f>
        <v>N/A</v>
      </c>
      <c r="W836" t="str">
        <f>RTD("tos.rtd", , "STRIKE", ".XLK201120P122")</f>
        <v>N/A</v>
      </c>
    </row>
    <row r="837" spans="1:23" x14ac:dyDescent="0.45">
      <c r="A837" t="s">
        <v>858</v>
      </c>
      <c r="B837" t="str">
        <f>RTD("tos.rtd", , "DESCRIPTION", ".XLK201120C122.5")</f>
        <v>N/A</v>
      </c>
      <c r="C837" t="str">
        <f>RTD("tos.rtd", , "PUT_CALL_RATIO", ".XLK201120C122.5")</f>
        <v>N/A</v>
      </c>
      <c r="D837" t="str">
        <f>RTD("tos.rtd", , "IMPL_VOL", ".XLK201120C122.5")</f>
        <v>N/A</v>
      </c>
      <c r="E837">
        <f>RTD("tos.rtd", , "LAST", ".XLK201120C122.5")</f>
        <v>0.98</v>
      </c>
      <c r="F837">
        <f>RTD("tos.rtd", , "VOLUME", ".XLK201120C122.5")</f>
        <v>47</v>
      </c>
      <c r="G837">
        <f>RTD("tos.rtd", , "OPEN_INT", ".XLK201120C122.5")</f>
        <v>101</v>
      </c>
      <c r="H837">
        <f>RTD("tos.rtd", , "BID", ".XLK201120C122.5")</f>
        <v>0.98</v>
      </c>
      <c r="I837">
        <f>RTD("tos.rtd", , "ASK", ".XLK201120C122.5")</f>
        <v>1.1399999999999999</v>
      </c>
      <c r="J837">
        <f>RTD("tos.rtd", , "HIGH", ".XLK201120C122.5")</f>
        <v>1.52</v>
      </c>
      <c r="K837">
        <f>RTD("tos.rtd", , "LOW", ".XLK201120C122.5")</f>
        <v>0.9</v>
      </c>
      <c r="L837">
        <f>RTD("tos.rtd", , "OPEN", ".XLK201120C122.5")</f>
        <v>1.39</v>
      </c>
      <c r="M837" t="str">
        <f>RTD("tos.rtd", , "DELTA", ".XLK201120C122.5")</f>
        <v>N/A</v>
      </c>
      <c r="N837" t="str">
        <f>RTD("tos.rtd", , "GAMMA", ".XLK201120C122.5")</f>
        <v>N/A</v>
      </c>
      <c r="O837" t="str">
        <f>RTD("tos.rtd", , "THETA", ".XLK201120C122.5")</f>
        <v>N/A</v>
      </c>
      <c r="P837" t="str">
        <f>RTD("tos.rtd", , "VEGA", ".XLK201120C122.5")</f>
        <v>N/A</v>
      </c>
      <c r="Q837" t="str">
        <f>RTD("tos.rtd", , "RHO", ".XLK201120C122.5")</f>
        <v>N/A</v>
      </c>
      <c r="R837" t="str">
        <f>RTD("tos.rtd", , "INTRINSIC", ".XLK201120C122.5")</f>
        <v>N/A</v>
      </c>
      <c r="S837" t="str">
        <f>RTD("tos.rtd", , "EXTRINSIC", ".XLK201120C122.5")</f>
        <v>N/A</v>
      </c>
      <c r="T837" t="str">
        <f>RTD("tos.rtd", , "PROB_OF_EXPIRING", ".XLK201120C122.5")</f>
        <v>N/A</v>
      </c>
      <c r="U837" t="str">
        <f>RTD("tos.rtd", , "PROB_OTM", ".XLK201120C122.5")</f>
        <v>N/A</v>
      </c>
      <c r="V837" t="str">
        <f>RTD("tos.rtd", , "PROB_OF_TOUCHING", ".XLK201120C122.5")</f>
        <v>N/A</v>
      </c>
      <c r="W837" t="str">
        <f>RTD("tos.rtd", , "STRIKE", ".XLK201120C122.5")</f>
        <v>N/A</v>
      </c>
    </row>
    <row r="838" spans="1:23" x14ac:dyDescent="0.45">
      <c r="A838" t="s">
        <v>859</v>
      </c>
      <c r="B838" t="str">
        <f>RTD("tos.rtd", , "DESCRIPTION", ".XLK201120P122.5")</f>
        <v>N/A</v>
      </c>
      <c r="C838" t="str">
        <f>RTD("tos.rtd", , "PUT_CALL_RATIO", ".XLK201120P122.5")</f>
        <v>N/A</v>
      </c>
      <c r="D838" t="str">
        <f>RTD("tos.rtd", , "IMPL_VOL", ".XLK201120P122.5")</f>
        <v>N/A</v>
      </c>
      <c r="E838">
        <f>RTD("tos.rtd", , "LAST", ".XLK201120P122.5")</f>
        <v>3.49</v>
      </c>
      <c r="F838">
        <f>RTD("tos.rtd", , "VOLUME", ".XLK201120P122.5")</f>
        <v>1</v>
      </c>
      <c r="G838">
        <f>RTD("tos.rtd", , "OPEN_INT", ".XLK201120P122.5")</f>
        <v>435</v>
      </c>
      <c r="H838">
        <f>RTD("tos.rtd", , "BID", ".XLK201120P122.5")</f>
        <v>2.7</v>
      </c>
      <c r="I838">
        <f>RTD("tos.rtd", , "ASK", ".XLK201120P122.5")</f>
        <v>3.6</v>
      </c>
      <c r="J838">
        <f>RTD("tos.rtd", , "HIGH", ".XLK201120P122.5")</f>
        <v>3.49</v>
      </c>
      <c r="K838">
        <f>RTD("tos.rtd", , "LOW", ".XLK201120P122.5")</f>
        <v>3.49</v>
      </c>
      <c r="L838">
        <f>RTD("tos.rtd", , "OPEN", ".XLK201120P122.5")</f>
        <v>3.49</v>
      </c>
      <c r="M838" t="str">
        <f>RTD("tos.rtd", , "DELTA", ".XLK201120P122.5")</f>
        <v>N/A</v>
      </c>
      <c r="N838" t="str">
        <f>RTD("tos.rtd", , "GAMMA", ".XLK201120P122.5")</f>
        <v>N/A</v>
      </c>
      <c r="O838" t="str">
        <f>RTD("tos.rtd", , "THETA", ".XLK201120P122.5")</f>
        <v>N/A</v>
      </c>
      <c r="P838" t="str">
        <f>RTD("tos.rtd", , "VEGA", ".XLK201120P122.5")</f>
        <v>N/A</v>
      </c>
      <c r="Q838" t="str">
        <f>RTD("tos.rtd", , "RHO", ".XLK201120P122.5")</f>
        <v>N/A</v>
      </c>
      <c r="R838" t="str">
        <f>RTD("tos.rtd", , "INTRINSIC", ".XLK201120P122.5")</f>
        <v>N/A</v>
      </c>
      <c r="S838" t="str">
        <f>RTD("tos.rtd", , "EXTRINSIC", ".XLK201120P122.5")</f>
        <v>N/A</v>
      </c>
      <c r="T838" t="str">
        <f>RTD("tos.rtd", , "PROB_OF_EXPIRING", ".XLK201120P122.5")</f>
        <v>N/A</v>
      </c>
      <c r="U838" t="str">
        <f>RTD("tos.rtd", , "PROB_OTM", ".XLK201120P122.5")</f>
        <v>N/A</v>
      </c>
      <c r="V838" t="str">
        <f>RTD("tos.rtd", , "PROB_OF_TOUCHING", ".XLK201120P122.5")</f>
        <v>N/A</v>
      </c>
      <c r="W838" t="str">
        <f>RTD("tos.rtd", , "STRIKE", ".XLK201120P122.5")</f>
        <v>N/A</v>
      </c>
    </row>
    <row r="839" spans="1:23" x14ac:dyDescent="0.45">
      <c r="A839" t="s">
        <v>860</v>
      </c>
      <c r="B839" t="str">
        <f>RTD("tos.rtd", , "DESCRIPTION", ".XLK201120C123")</f>
        <v>N/A</v>
      </c>
      <c r="C839" t="str">
        <f>RTD("tos.rtd", , "PUT_CALL_RATIO", ".XLK201120C123")</f>
        <v>N/A</v>
      </c>
      <c r="D839" t="str">
        <f>RTD("tos.rtd", , "IMPL_VOL", ".XLK201120C123")</f>
        <v>N/A</v>
      </c>
      <c r="E839">
        <f>RTD("tos.rtd", , "LAST", ".XLK201120C123")</f>
        <v>0.75</v>
      </c>
      <c r="F839">
        <f>RTD("tos.rtd", , "VOLUME", ".XLK201120C123")</f>
        <v>301</v>
      </c>
      <c r="G839">
        <f>RTD("tos.rtd", , "OPEN_INT", ".XLK201120C123")</f>
        <v>248</v>
      </c>
      <c r="H839">
        <f>RTD("tos.rtd", , "BID", ".XLK201120C123")</f>
        <v>0.69</v>
      </c>
      <c r="I839">
        <f>RTD("tos.rtd", , "ASK", ".XLK201120C123")</f>
        <v>0.96</v>
      </c>
      <c r="J839">
        <f>RTD("tos.rtd", , "HIGH", ".XLK201120C123")</f>
        <v>1.33</v>
      </c>
      <c r="K839">
        <f>RTD("tos.rtd", , "LOW", ".XLK201120C123")</f>
        <v>0.75</v>
      </c>
      <c r="L839">
        <f>RTD("tos.rtd", , "OPEN", ".XLK201120C123")</f>
        <v>1.08</v>
      </c>
      <c r="M839" t="str">
        <f>RTD("tos.rtd", , "DELTA", ".XLK201120C123")</f>
        <v>N/A</v>
      </c>
      <c r="N839" t="str">
        <f>RTD("tos.rtd", , "GAMMA", ".XLK201120C123")</f>
        <v>N/A</v>
      </c>
      <c r="O839" t="str">
        <f>RTD("tos.rtd", , "THETA", ".XLK201120C123")</f>
        <v>N/A</v>
      </c>
      <c r="P839" t="str">
        <f>RTD("tos.rtd", , "VEGA", ".XLK201120C123")</f>
        <v>N/A</v>
      </c>
      <c r="Q839" t="str">
        <f>RTD("tos.rtd", , "RHO", ".XLK201120C123")</f>
        <v>N/A</v>
      </c>
      <c r="R839" t="str">
        <f>RTD("tos.rtd", , "INTRINSIC", ".XLK201120C123")</f>
        <v>N/A</v>
      </c>
      <c r="S839" t="str">
        <f>RTD("tos.rtd", , "EXTRINSIC", ".XLK201120C123")</f>
        <v>N/A</v>
      </c>
      <c r="T839" t="str">
        <f>RTD("tos.rtd", , "PROB_OF_EXPIRING", ".XLK201120C123")</f>
        <v>N/A</v>
      </c>
      <c r="U839" t="str">
        <f>RTD("tos.rtd", , "PROB_OTM", ".XLK201120C123")</f>
        <v>N/A</v>
      </c>
      <c r="V839" t="str">
        <f>RTD("tos.rtd", , "PROB_OF_TOUCHING", ".XLK201120C123")</f>
        <v>N/A</v>
      </c>
      <c r="W839" t="str">
        <f>RTD("tos.rtd", , "STRIKE", ".XLK201120C123")</f>
        <v>N/A</v>
      </c>
    </row>
    <row r="840" spans="1:23" x14ac:dyDescent="0.45">
      <c r="A840" t="s">
        <v>861</v>
      </c>
      <c r="B840" t="str">
        <f>RTD("tos.rtd", , "DESCRIPTION", ".XLK201120P123")</f>
        <v>N/A</v>
      </c>
      <c r="C840" t="str">
        <f>RTD("tos.rtd", , "PUT_CALL_RATIO", ".XLK201120P123")</f>
        <v>N/A</v>
      </c>
      <c r="D840" t="str">
        <f>RTD("tos.rtd", , "IMPL_VOL", ".XLK201120P123")</f>
        <v>N/A</v>
      </c>
      <c r="E840">
        <f>RTD("tos.rtd", , "LAST", ".XLK201120P123")</f>
        <v>3.72</v>
      </c>
      <c r="F840">
        <f>RTD("tos.rtd", , "VOLUME", ".XLK201120P123")</f>
        <v>2</v>
      </c>
      <c r="G840">
        <f>RTD("tos.rtd", , "OPEN_INT", ".XLK201120P123")</f>
        <v>101</v>
      </c>
      <c r="H840">
        <f>RTD("tos.rtd", , "BID", ".XLK201120P123")</f>
        <v>3.05</v>
      </c>
      <c r="I840">
        <f>RTD("tos.rtd", , "ASK", ".XLK201120P123")</f>
        <v>3.85</v>
      </c>
      <c r="J840">
        <f>RTD("tos.rtd", , "HIGH", ".XLK201120P123")</f>
        <v>3.72</v>
      </c>
      <c r="K840">
        <f>RTD("tos.rtd", , "LOW", ".XLK201120P123")</f>
        <v>2.5499999999999998</v>
      </c>
      <c r="L840">
        <f>RTD("tos.rtd", , "OPEN", ".XLK201120P123")</f>
        <v>2.5499999999999998</v>
      </c>
      <c r="M840" t="str">
        <f>RTD("tos.rtd", , "DELTA", ".XLK201120P123")</f>
        <v>N/A</v>
      </c>
      <c r="N840" t="str">
        <f>RTD("tos.rtd", , "GAMMA", ".XLK201120P123")</f>
        <v>N/A</v>
      </c>
      <c r="O840" t="str">
        <f>RTD("tos.rtd", , "THETA", ".XLK201120P123")</f>
        <v>N/A</v>
      </c>
      <c r="P840" t="str">
        <f>RTD("tos.rtd", , "VEGA", ".XLK201120P123")</f>
        <v>N/A</v>
      </c>
      <c r="Q840" t="str">
        <f>RTD("tos.rtd", , "RHO", ".XLK201120P123")</f>
        <v>N/A</v>
      </c>
      <c r="R840" t="str">
        <f>RTD("tos.rtd", , "INTRINSIC", ".XLK201120P123")</f>
        <v>N/A</v>
      </c>
      <c r="S840" t="str">
        <f>RTD("tos.rtd", , "EXTRINSIC", ".XLK201120P123")</f>
        <v>N/A</v>
      </c>
      <c r="T840" t="str">
        <f>RTD("tos.rtd", , "PROB_OF_EXPIRING", ".XLK201120P123")</f>
        <v>N/A</v>
      </c>
      <c r="U840" t="str">
        <f>RTD("tos.rtd", , "PROB_OTM", ".XLK201120P123")</f>
        <v>N/A</v>
      </c>
      <c r="V840" t="str">
        <f>RTD("tos.rtd", , "PROB_OF_TOUCHING", ".XLK201120P123")</f>
        <v>N/A</v>
      </c>
      <c r="W840" t="str">
        <f>RTD("tos.rtd", , "STRIKE", ".XLK201120P123")</f>
        <v>N/A</v>
      </c>
    </row>
    <row r="841" spans="1:23" x14ac:dyDescent="0.45">
      <c r="A841" t="s">
        <v>862</v>
      </c>
      <c r="B841" t="str">
        <f>RTD("tos.rtd", , "DESCRIPTION", "XLP")</f>
        <v>SELECT SECTOR SPDR TRUST SBI CONS STPLS ETF</v>
      </c>
      <c r="C841">
        <f>RTD("tos.rtd", , "PUT_CALL_RATIO", "XLP")</f>
        <v>0.69099999999999995</v>
      </c>
      <c r="D841" t="str">
        <f>RTD("tos.rtd", , "IMPL_VOL", "XLP")</f>
        <v>18.32%</v>
      </c>
      <c r="E841">
        <f>RTD("tos.rtd", , "LAST", "XLP")</f>
        <v>66.61</v>
      </c>
      <c r="F841">
        <f>RTD("tos.rtd", , "VOLUME", "XLP")</f>
        <v>8945870</v>
      </c>
      <c r="G841">
        <f>RTD("tos.rtd", , "OPEN_INT", "XLP")</f>
        <v>0</v>
      </c>
      <c r="H841">
        <f>RTD("tos.rtd", , "BID", "XLP")</f>
        <v>66.19</v>
      </c>
      <c r="I841">
        <f>RTD("tos.rtd", , "ASK", "XLP")</f>
        <v>66.78</v>
      </c>
      <c r="J841">
        <f>RTD("tos.rtd", , "HIGH", "XLP")</f>
        <v>66.790000000000006</v>
      </c>
      <c r="K841">
        <f>RTD("tos.rtd", , "LOW", "XLP")</f>
        <v>66.05</v>
      </c>
      <c r="L841">
        <f>RTD("tos.rtd", , "OPEN", "XLP")</f>
        <v>66.61</v>
      </c>
      <c r="M841">
        <f>RTD("tos.rtd", , "DELTA", "XLP")</f>
        <v>1</v>
      </c>
      <c r="N841">
        <f>RTD("tos.rtd", , "GAMMA", "XLP")</f>
        <v>0</v>
      </c>
      <c r="O841">
        <f>RTD("tos.rtd", , "THETA", "XLP")</f>
        <v>0</v>
      </c>
      <c r="P841">
        <f>RTD("tos.rtd", , "VEGA", "XLP")</f>
        <v>0</v>
      </c>
      <c r="Q841">
        <f>RTD("tos.rtd", , "RHO", "XLP")</f>
        <v>0</v>
      </c>
      <c r="R841" t="str">
        <f>RTD("tos.rtd", , "INTRINSIC", "XLP")</f>
        <v>N/A</v>
      </c>
      <c r="S841" t="str">
        <f>RTD("tos.rtd", , "EXTRINSIC", "XLP")</f>
        <v>N/A</v>
      </c>
      <c r="T841" t="str">
        <f>RTD("tos.rtd", , "PROB_OF_EXPIRING", "XLP")</f>
        <v>N/A</v>
      </c>
      <c r="U841" t="str">
        <f>RTD("tos.rtd", , "PROB_OTM", "XLP")</f>
        <v>N/A</v>
      </c>
      <c r="V841" t="str">
        <f>RTD("tos.rtd", , "PROB_OF_TOUCHING", "XLP")</f>
        <v>N/A</v>
      </c>
      <c r="W841" t="str">
        <f>RTD("tos.rtd", , "STRIKE", "XLP")</f>
        <v>N/A</v>
      </c>
    </row>
    <row r="842" spans="1:23" x14ac:dyDescent="0.45">
      <c r="A842" t="s">
        <v>863</v>
      </c>
      <c r="B842" t="str">
        <f>RTD("tos.rtd", , "DESCRIPTION", ".XLP201120C66.5")</f>
        <v>N/A</v>
      </c>
      <c r="C842" t="str">
        <f>RTD("tos.rtd", , "PUT_CALL_RATIO", ".XLP201120C66.5")</f>
        <v>N/A</v>
      </c>
      <c r="D842" t="str">
        <f>RTD("tos.rtd", , "IMPL_VOL", ".XLP201120C66.5")</f>
        <v>N/A</v>
      </c>
      <c r="E842" t="str">
        <f>RTD("tos.rtd", , "LAST", ".XLP201120C66.5")</f>
        <v>N/A</v>
      </c>
      <c r="F842" t="str">
        <f>RTD("tos.rtd", , "VOLUME", ".XLP201120C66.5")</f>
        <v>N/A</v>
      </c>
      <c r="G842" t="str">
        <f>RTD("tos.rtd", , "OPEN_INT", ".XLP201120C66.5")</f>
        <v>N/A</v>
      </c>
      <c r="H842" t="str">
        <f>RTD("tos.rtd", , "BID", ".XLP201120C66.5")</f>
        <v>N/A</v>
      </c>
      <c r="I842" t="str">
        <f>RTD("tos.rtd", , "ASK", ".XLP201120C66.5")</f>
        <v>N/A</v>
      </c>
      <c r="J842" t="str">
        <f>RTD("tos.rtd", , "HIGH", ".XLP201120C66.5")</f>
        <v>N/A</v>
      </c>
      <c r="K842" t="str">
        <f>RTD("tos.rtd", , "LOW", ".XLP201120C66.5")</f>
        <v>N/A</v>
      </c>
      <c r="L842" t="str">
        <f>RTD("tos.rtd", , "OPEN", ".XLP201120C66.5")</f>
        <v>N/A</v>
      </c>
      <c r="M842" t="str">
        <f>RTD("tos.rtd", , "DELTA", ".XLP201120C66.5")</f>
        <v>N/A</v>
      </c>
      <c r="N842" t="str">
        <f>RTD("tos.rtd", , "GAMMA", ".XLP201120C66.5")</f>
        <v>N/A</v>
      </c>
      <c r="O842" t="str">
        <f>RTD("tos.rtd", , "THETA", ".XLP201120C66.5")</f>
        <v>N/A</v>
      </c>
      <c r="P842" t="str">
        <f>RTD("tos.rtd", , "VEGA", ".XLP201120C66.5")</f>
        <v>N/A</v>
      </c>
      <c r="Q842" t="str">
        <f>RTD("tos.rtd", , "RHO", ".XLP201120C66.5")</f>
        <v>N/A</v>
      </c>
      <c r="R842" t="str">
        <f>RTD("tos.rtd", , "INTRINSIC", ".XLP201120C66.5")</f>
        <v>N/A</v>
      </c>
      <c r="S842" t="str">
        <f>RTD("tos.rtd", , "EXTRINSIC", ".XLP201120C66.5")</f>
        <v>N/A</v>
      </c>
      <c r="T842" t="str">
        <f>RTD("tos.rtd", , "PROB_OF_EXPIRING", ".XLP201120C66.5")</f>
        <v>N/A</v>
      </c>
      <c r="U842" t="str">
        <f>RTD("tos.rtd", , "PROB_OTM", ".XLP201120C66.5")</f>
        <v>N/A</v>
      </c>
      <c r="V842" t="str">
        <f>RTD("tos.rtd", , "PROB_OF_TOUCHING", ".XLP201120C66.5")</f>
        <v>N/A</v>
      </c>
      <c r="W842" t="str">
        <f>RTD("tos.rtd", , "STRIKE", ".XLP201120C66.5")</f>
        <v>N/A</v>
      </c>
    </row>
    <row r="843" spans="1:23" x14ac:dyDescent="0.45">
      <c r="A843" t="s">
        <v>864</v>
      </c>
      <c r="B843" t="str">
        <f>RTD("tos.rtd", , "DESCRIPTION", ".XLP201120P66.5")</f>
        <v>N/A</v>
      </c>
      <c r="C843" t="str">
        <f>RTD("tos.rtd", , "PUT_CALL_RATIO", ".XLP201120P66.5")</f>
        <v>N/A</v>
      </c>
      <c r="D843" t="str">
        <f>RTD("tos.rtd", , "IMPL_VOL", ".XLP201120P66.5")</f>
        <v>N/A</v>
      </c>
      <c r="E843">
        <f>RTD("tos.rtd", , "LAST", ".XLP201120P66.5")</f>
        <v>0.76</v>
      </c>
      <c r="F843">
        <f>RTD("tos.rtd", , "VOLUME", ".XLP201120P66.5")</f>
        <v>548</v>
      </c>
      <c r="G843">
        <f>RTD("tos.rtd", , "OPEN_INT", ".XLP201120P66.5")</f>
        <v>159</v>
      </c>
      <c r="H843">
        <f>RTD("tos.rtd", , "BID", ".XLP201120P66.5")</f>
        <v>0.37</v>
      </c>
      <c r="I843">
        <f>RTD("tos.rtd", , "ASK", ".XLP201120P66.5")</f>
        <v>1.04</v>
      </c>
      <c r="J843">
        <f>RTD("tos.rtd", , "HIGH", ".XLP201120P66.5")</f>
        <v>0.86</v>
      </c>
      <c r="K843">
        <f>RTD("tos.rtd", , "LOW", ".XLP201120P66.5")</f>
        <v>0.56999999999999995</v>
      </c>
      <c r="L843">
        <f>RTD("tos.rtd", , "OPEN", ".XLP201120P66.5")</f>
        <v>0.61</v>
      </c>
      <c r="M843" t="str">
        <f>RTD("tos.rtd", , "DELTA", ".XLP201120P66.5")</f>
        <v>N/A</v>
      </c>
      <c r="N843" t="str">
        <f>RTD("tos.rtd", , "GAMMA", ".XLP201120P66.5")</f>
        <v>N/A</v>
      </c>
      <c r="O843" t="str">
        <f>RTD("tos.rtd", , "THETA", ".XLP201120P66.5")</f>
        <v>N/A</v>
      </c>
      <c r="P843" t="str">
        <f>RTD("tos.rtd", , "VEGA", ".XLP201120P66.5")</f>
        <v>N/A</v>
      </c>
      <c r="Q843" t="str">
        <f>RTD("tos.rtd", , "RHO", ".XLP201120P66.5")</f>
        <v>N/A</v>
      </c>
      <c r="R843" t="str">
        <f>RTD("tos.rtd", , "INTRINSIC", ".XLP201120P66.5")</f>
        <v>N/A</v>
      </c>
      <c r="S843" t="str">
        <f>RTD("tos.rtd", , "EXTRINSIC", ".XLP201120P66.5")</f>
        <v>N/A</v>
      </c>
      <c r="T843" t="str">
        <f>RTD("tos.rtd", , "PROB_OF_EXPIRING", ".XLP201120P66.5")</f>
        <v>N/A</v>
      </c>
      <c r="U843" t="str">
        <f>RTD("tos.rtd", , "PROB_OTM", ".XLP201120P66.5")</f>
        <v>N/A</v>
      </c>
      <c r="V843" t="str">
        <f>RTD("tos.rtd", , "PROB_OF_TOUCHING", ".XLP201120P66.5")</f>
        <v>N/A</v>
      </c>
      <c r="W843" t="str">
        <f>RTD("tos.rtd", , "STRIKE", ".XLP201120P66.5")</f>
        <v>N/A</v>
      </c>
    </row>
    <row r="844" spans="1:23" x14ac:dyDescent="0.45">
      <c r="A844" t="s">
        <v>865</v>
      </c>
      <c r="B844" t="str">
        <f>RTD("tos.rtd", , "DESCRIPTION", ".XLP201120C67")</f>
        <v>N/A</v>
      </c>
      <c r="C844" t="str">
        <f>RTD("tos.rtd", , "PUT_CALL_RATIO", ".XLP201120C67")</f>
        <v>N/A</v>
      </c>
      <c r="D844" t="str">
        <f>RTD("tos.rtd", , "IMPL_VOL", ".XLP201120C67")</f>
        <v>N/A</v>
      </c>
      <c r="E844">
        <f>RTD("tos.rtd", , "LAST", ".XLP201120C67")</f>
        <v>0.35</v>
      </c>
      <c r="F844">
        <f>RTD("tos.rtd", , "VOLUME", ".XLP201120C67")</f>
        <v>20</v>
      </c>
      <c r="G844">
        <f>RTD("tos.rtd", , "OPEN_INT", ".XLP201120C67")</f>
        <v>320</v>
      </c>
      <c r="H844">
        <f>RTD("tos.rtd", , "BID", ".XLP201120C67")</f>
        <v>0.4</v>
      </c>
      <c r="I844">
        <f>RTD("tos.rtd", , "ASK", ".XLP201120C67")</f>
        <v>0.7</v>
      </c>
      <c r="J844">
        <f>RTD("tos.rtd", , "HIGH", ".XLP201120C67")</f>
        <v>0.46</v>
      </c>
      <c r="K844">
        <f>RTD("tos.rtd", , "LOW", ".XLP201120C67")</f>
        <v>0.35</v>
      </c>
      <c r="L844">
        <f>RTD("tos.rtd", , "OPEN", ".XLP201120C67")</f>
        <v>0.46</v>
      </c>
      <c r="M844" t="str">
        <f>RTD("tos.rtd", , "DELTA", ".XLP201120C67")</f>
        <v>N/A</v>
      </c>
      <c r="N844" t="str">
        <f>RTD("tos.rtd", , "GAMMA", ".XLP201120C67")</f>
        <v>N/A</v>
      </c>
      <c r="O844" t="str">
        <f>RTD("tos.rtd", , "THETA", ".XLP201120C67")</f>
        <v>N/A</v>
      </c>
      <c r="P844" t="str">
        <f>RTD("tos.rtd", , "VEGA", ".XLP201120C67")</f>
        <v>N/A</v>
      </c>
      <c r="Q844" t="str">
        <f>RTD("tos.rtd", , "RHO", ".XLP201120C67")</f>
        <v>N/A</v>
      </c>
      <c r="R844" t="str">
        <f>RTD("tos.rtd", , "INTRINSIC", ".XLP201120C67")</f>
        <v>N/A</v>
      </c>
      <c r="S844" t="str">
        <f>RTD("tos.rtd", , "EXTRINSIC", ".XLP201120C67")</f>
        <v>N/A</v>
      </c>
      <c r="T844" t="str">
        <f>RTD("tos.rtd", , "PROB_OF_EXPIRING", ".XLP201120C67")</f>
        <v>N/A</v>
      </c>
      <c r="U844" t="str">
        <f>RTD("tos.rtd", , "PROB_OTM", ".XLP201120C67")</f>
        <v>N/A</v>
      </c>
      <c r="V844" t="str">
        <f>RTD("tos.rtd", , "PROB_OF_TOUCHING", ".XLP201120C67")</f>
        <v>N/A</v>
      </c>
      <c r="W844" t="str">
        <f>RTD("tos.rtd", , "STRIKE", ".XLP201120C67")</f>
        <v>N/A</v>
      </c>
    </row>
    <row r="845" spans="1:23" x14ac:dyDescent="0.45">
      <c r="A845" t="s">
        <v>866</v>
      </c>
      <c r="B845" t="str">
        <f>RTD("tos.rtd", , "DESCRIPTION", ".XLP201120P67")</f>
        <v>N/A</v>
      </c>
      <c r="C845" t="str">
        <f>RTD("tos.rtd", , "PUT_CALL_RATIO", ".XLP201120P67")</f>
        <v>N/A</v>
      </c>
      <c r="D845" t="str">
        <f>RTD("tos.rtd", , "IMPL_VOL", ".XLP201120P67")</f>
        <v>N/A</v>
      </c>
      <c r="E845">
        <f>RTD("tos.rtd", , "LAST", ".XLP201120P67")</f>
        <v>1.1000000000000001</v>
      </c>
      <c r="F845">
        <f>RTD("tos.rtd", , "VOLUME", ".XLP201120P67")</f>
        <v>2</v>
      </c>
      <c r="G845">
        <f>RTD("tos.rtd", , "OPEN_INT", ".XLP201120P67")</f>
        <v>84</v>
      </c>
      <c r="H845">
        <f>RTD("tos.rtd", , "BID", ".XLP201120P67")</f>
        <v>0.56999999999999995</v>
      </c>
      <c r="I845">
        <f>RTD("tos.rtd", , "ASK", ".XLP201120P67")</f>
        <v>1.19</v>
      </c>
      <c r="J845">
        <f>RTD("tos.rtd", , "HIGH", ".XLP201120P67")</f>
        <v>1.1000000000000001</v>
      </c>
      <c r="K845">
        <f>RTD("tos.rtd", , "LOW", ".XLP201120P67")</f>
        <v>1.1000000000000001</v>
      </c>
      <c r="L845">
        <f>RTD("tos.rtd", , "OPEN", ".XLP201120P67")</f>
        <v>1.1000000000000001</v>
      </c>
      <c r="M845" t="str">
        <f>RTD("tos.rtd", , "DELTA", ".XLP201120P67")</f>
        <v>N/A</v>
      </c>
      <c r="N845" t="str">
        <f>RTD("tos.rtd", , "GAMMA", ".XLP201120P67")</f>
        <v>N/A</v>
      </c>
      <c r="O845" t="str">
        <f>RTD("tos.rtd", , "THETA", ".XLP201120P67")</f>
        <v>N/A</v>
      </c>
      <c r="P845" t="str">
        <f>RTD("tos.rtd", , "VEGA", ".XLP201120P67")</f>
        <v>N/A</v>
      </c>
      <c r="Q845" t="str">
        <f>RTD("tos.rtd", , "RHO", ".XLP201120P67")</f>
        <v>N/A</v>
      </c>
      <c r="R845" t="str">
        <f>RTD("tos.rtd", , "INTRINSIC", ".XLP201120P67")</f>
        <v>N/A</v>
      </c>
      <c r="S845" t="str">
        <f>RTD("tos.rtd", , "EXTRINSIC", ".XLP201120P67")</f>
        <v>N/A</v>
      </c>
      <c r="T845" t="str">
        <f>RTD("tos.rtd", , "PROB_OF_EXPIRING", ".XLP201120P67")</f>
        <v>N/A</v>
      </c>
      <c r="U845" t="str">
        <f>RTD("tos.rtd", , "PROB_OTM", ".XLP201120P67")</f>
        <v>N/A</v>
      </c>
      <c r="V845" t="str">
        <f>RTD("tos.rtd", , "PROB_OF_TOUCHING", ".XLP201120P67")</f>
        <v>N/A</v>
      </c>
      <c r="W845" t="str">
        <f>RTD("tos.rtd", , "STRIKE", ".XLP201120P67")</f>
        <v>N/A</v>
      </c>
    </row>
    <row r="846" spans="1:23" x14ac:dyDescent="0.45">
      <c r="A846" t="s">
        <v>867</v>
      </c>
      <c r="B846" t="str">
        <f>RTD("tos.rtd", , "DESCRIPTION", "XLRE")</f>
        <v>SELECT SECTOR SPDR TRUST RL EST SEL SEC ETF</v>
      </c>
      <c r="C846">
        <f>RTD("tos.rtd", , "PUT_CALL_RATIO", "XLRE")</f>
        <v>0.47799999999999998</v>
      </c>
      <c r="D846" t="str">
        <f>RTD("tos.rtd", , "IMPL_VOL", "XLRE")</f>
        <v>32.30%</v>
      </c>
      <c r="E846">
        <f>RTD("tos.rtd", , "LAST", "XLRE")</f>
        <v>36.67</v>
      </c>
      <c r="F846">
        <f>RTD("tos.rtd", , "VOLUME", "XLRE")</f>
        <v>5034964</v>
      </c>
      <c r="G846">
        <f>RTD("tos.rtd", , "OPEN_INT", "XLRE")</f>
        <v>0</v>
      </c>
      <c r="H846">
        <f>RTD("tos.rtd", , "BID", "XLRE")</f>
        <v>36.4</v>
      </c>
      <c r="I846">
        <f>RTD("tos.rtd", , "ASK", "XLRE")</f>
        <v>36.93</v>
      </c>
      <c r="J846">
        <f>RTD("tos.rtd", , "HIGH", "XLRE")</f>
        <v>37.164999999999999</v>
      </c>
      <c r="K846">
        <f>RTD("tos.rtd", , "LOW", "XLRE")</f>
        <v>36.450000000000003</v>
      </c>
      <c r="L846">
        <f>RTD("tos.rtd", , "OPEN", "XLRE")</f>
        <v>36.94</v>
      </c>
      <c r="M846">
        <f>RTD("tos.rtd", , "DELTA", "XLRE")</f>
        <v>1</v>
      </c>
      <c r="N846">
        <f>RTD("tos.rtd", , "GAMMA", "XLRE")</f>
        <v>0</v>
      </c>
      <c r="O846">
        <f>RTD("tos.rtd", , "THETA", "XLRE")</f>
        <v>0</v>
      </c>
      <c r="P846">
        <f>RTD("tos.rtd", , "VEGA", "XLRE")</f>
        <v>0</v>
      </c>
      <c r="Q846">
        <f>RTD("tos.rtd", , "RHO", "XLRE")</f>
        <v>0</v>
      </c>
      <c r="R846" t="str">
        <f>RTD("tos.rtd", , "INTRINSIC", "XLRE")</f>
        <v>N/A</v>
      </c>
      <c r="S846" t="str">
        <f>RTD("tos.rtd", , "EXTRINSIC", "XLRE")</f>
        <v>N/A</v>
      </c>
      <c r="T846" t="str">
        <f>RTD("tos.rtd", , "PROB_OF_EXPIRING", "XLRE")</f>
        <v>N/A</v>
      </c>
      <c r="U846" t="str">
        <f>RTD("tos.rtd", , "PROB_OTM", "XLRE")</f>
        <v>N/A</v>
      </c>
      <c r="V846" t="str">
        <f>RTD("tos.rtd", , "PROB_OF_TOUCHING", "XLRE")</f>
        <v>N/A</v>
      </c>
      <c r="W846" t="str">
        <f>RTD("tos.rtd", , "STRIKE", "XLRE")</f>
        <v>N/A</v>
      </c>
    </row>
    <row r="847" spans="1:23" x14ac:dyDescent="0.45">
      <c r="A847" t="s">
        <v>868</v>
      </c>
      <c r="B847" t="str">
        <f>RTD("tos.rtd", , "DESCRIPTION", ".XLRE201120C37")</f>
        <v>N/A</v>
      </c>
      <c r="C847" t="str">
        <f>RTD("tos.rtd", , "PUT_CALL_RATIO", ".XLRE201120C37")</f>
        <v>N/A</v>
      </c>
      <c r="D847" t="str">
        <f>RTD("tos.rtd", , "IMPL_VOL", ".XLRE201120C37")</f>
        <v>N/A</v>
      </c>
      <c r="E847">
        <f>RTD("tos.rtd", , "LAST", ".XLRE201120C37")</f>
        <v>0.57999999999999996</v>
      </c>
      <c r="F847">
        <f>RTD("tos.rtd", , "VOLUME", ".XLRE201120C37")</f>
        <v>0</v>
      </c>
      <c r="G847">
        <f>RTD("tos.rtd", , "OPEN_INT", ".XLRE201120C37")</f>
        <v>455</v>
      </c>
      <c r="H847">
        <f>RTD("tos.rtd", , "BID", ".XLRE201120C37")</f>
        <v>0.05</v>
      </c>
      <c r="I847">
        <f>RTD("tos.rtd", , "ASK", ".XLRE201120C37")</f>
        <v>0.5</v>
      </c>
      <c r="J847">
        <f>RTD("tos.rtd", , "HIGH", ".XLRE201120C37")</f>
        <v>0</v>
      </c>
      <c r="K847">
        <f>RTD("tos.rtd", , "LOW", ".XLRE201120C37")</f>
        <v>0</v>
      </c>
      <c r="L847">
        <f>RTD("tos.rtd", , "OPEN", ".XLRE201120C37")</f>
        <v>0</v>
      </c>
      <c r="M847" t="str">
        <f>RTD("tos.rtd", , "DELTA", ".XLRE201120C37")</f>
        <v>N/A</v>
      </c>
      <c r="N847" t="str">
        <f>RTD("tos.rtd", , "GAMMA", ".XLRE201120C37")</f>
        <v>N/A</v>
      </c>
      <c r="O847" t="str">
        <f>RTD("tos.rtd", , "THETA", ".XLRE201120C37")</f>
        <v>N/A</v>
      </c>
      <c r="P847" t="str">
        <f>RTD("tos.rtd", , "VEGA", ".XLRE201120C37")</f>
        <v>N/A</v>
      </c>
      <c r="Q847" t="str">
        <f>RTD("tos.rtd", , "RHO", ".XLRE201120C37")</f>
        <v>N/A</v>
      </c>
      <c r="R847" t="str">
        <f>RTD("tos.rtd", , "INTRINSIC", ".XLRE201120C37")</f>
        <v>N/A</v>
      </c>
      <c r="S847" t="str">
        <f>RTD("tos.rtd", , "EXTRINSIC", ".XLRE201120C37")</f>
        <v>N/A</v>
      </c>
      <c r="T847" t="str">
        <f>RTD("tos.rtd", , "PROB_OF_EXPIRING", ".XLRE201120C37")</f>
        <v>N/A</v>
      </c>
      <c r="U847" t="str">
        <f>RTD("tos.rtd", , "PROB_OTM", ".XLRE201120C37")</f>
        <v>N/A</v>
      </c>
      <c r="V847" t="str">
        <f>RTD("tos.rtd", , "PROB_OF_TOUCHING", ".XLRE201120C37")</f>
        <v>N/A</v>
      </c>
      <c r="W847" t="str">
        <f>RTD("tos.rtd", , "STRIKE", ".XLRE201120C37")</f>
        <v>N/A</v>
      </c>
    </row>
    <row r="848" spans="1:23" x14ac:dyDescent="0.45">
      <c r="A848" t="s">
        <v>869</v>
      </c>
      <c r="B848" t="str">
        <f>RTD("tos.rtd", , "DESCRIPTION", ".XLRE201120P37")</f>
        <v>N/A</v>
      </c>
      <c r="C848" t="str">
        <f>RTD("tos.rtd", , "PUT_CALL_RATIO", ".XLRE201120P37")</f>
        <v>N/A</v>
      </c>
      <c r="D848" t="str">
        <f>RTD("tos.rtd", , "IMPL_VOL", ".XLRE201120P37")</f>
        <v>N/A</v>
      </c>
      <c r="E848">
        <f>RTD("tos.rtd", , "LAST", ".XLRE201120P37")</f>
        <v>0.8</v>
      </c>
      <c r="F848">
        <f>RTD("tos.rtd", , "VOLUME", ".XLRE201120P37")</f>
        <v>3</v>
      </c>
      <c r="G848">
        <f>RTD("tos.rtd", , "OPEN_INT", ".XLRE201120P37")</f>
        <v>115</v>
      </c>
      <c r="H848">
        <f>RTD("tos.rtd", , "BID", ".XLRE201120P37")</f>
        <v>0</v>
      </c>
      <c r="I848">
        <f>RTD("tos.rtd", , "ASK", ".XLRE201120P37")</f>
        <v>2.7</v>
      </c>
      <c r="J848">
        <f>RTD("tos.rtd", , "HIGH", ".XLRE201120P37")</f>
        <v>0.8</v>
      </c>
      <c r="K848">
        <f>RTD("tos.rtd", , "LOW", ".XLRE201120P37")</f>
        <v>0.4</v>
      </c>
      <c r="L848">
        <f>RTD("tos.rtd", , "OPEN", ".XLRE201120P37")</f>
        <v>0.4</v>
      </c>
      <c r="M848" t="str">
        <f>RTD("tos.rtd", , "DELTA", ".XLRE201120P37")</f>
        <v>N/A</v>
      </c>
      <c r="N848" t="str">
        <f>RTD("tos.rtd", , "GAMMA", ".XLRE201120P37")</f>
        <v>N/A</v>
      </c>
      <c r="O848" t="str">
        <f>RTD("tos.rtd", , "THETA", ".XLRE201120P37")</f>
        <v>N/A</v>
      </c>
      <c r="P848" t="str">
        <f>RTD("tos.rtd", , "VEGA", ".XLRE201120P37")</f>
        <v>N/A</v>
      </c>
      <c r="Q848" t="str">
        <f>RTD("tos.rtd", , "RHO", ".XLRE201120P37")</f>
        <v>N/A</v>
      </c>
      <c r="R848" t="str">
        <f>RTD("tos.rtd", , "INTRINSIC", ".XLRE201120P37")</f>
        <v>N/A</v>
      </c>
      <c r="S848" t="str">
        <f>RTD("tos.rtd", , "EXTRINSIC", ".XLRE201120P37")</f>
        <v>N/A</v>
      </c>
      <c r="T848" t="str">
        <f>RTD("tos.rtd", , "PROB_OF_EXPIRING", ".XLRE201120P37")</f>
        <v>N/A</v>
      </c>
      <c r="U848" t="str">
        <f>RTD("tos.rtd", , "PROB_OTM", ".XLRE201120P37")</f>
        <v>N/A</v>
      </c>
      <c r="V848" t="str">
        <f>RTD("tos.rtd", , "PROB_OF_TOUCHING", ".XLRE201120P37")</f>
        <v>N/A</v>
      </c>
      <c r="W848" t="str">
        <f>RTD("tos.rtd", , "STRIKE", ".XLRE201120P37")</f>
        <v>N/A</v>
      </c>
    </row>
    <row r="849" spans="1:23" x14ac:dyDescent="0.45">
      <c r="A849" t="s">
        <v>870</v>
      </c>
      <c r="B849" t="str">
        <f>RTD("tos.rtd", , "DESCRIPTION", "XLU")</f>
        <v>SELECT SECTOR SPDR TRUST SBI INT-UTILS ETF</v>
      </c>
      <c r="C849">
        <f>RTD("tos.rtd", , "PUT_CALL_RATIO", "XLU")</f>
        <v>0.68600000000000005</v>
      </c>
      <c r="D849" t="str">
        <f>RTD("tos.rtd", , "IMPL_VOL", "XLU")</f>
        <v>20.74%</v>
      </c>
      <c r="E849">
        <f>RTD("tos.rtd", , "LAST", "XLU")</f>
        <v>65.44</v>
      </c>
      <c r="F849">
        <f>RTD("tos.rtd", , "VOLUME", "XLU")</f>
        <v>26510435</v>
      </c>
      <c r="G849">
        <f>RTD("tos.rtd", , "OPEN_INT", "XLU")</f>
        <v>0</v>
      </c>
      <c r="H849">
        <f>RTD("tos.rtd", , "BID", "XLU")</f>
        <v>65.13</v>
      </c>
      <c r="I849">
        <f>RTD("tos.rtd", , "ASK", "XLU")</f>
        <v>65.64</v>
      </c>
      <c r="J849">
        <f>RTD("tos.rtd", , "HIGH", "XLU")</f>
        <v>66.27</v>
      </c>
      <c r="K849">
        <f>RTD("tos.rtd", , "LOW", "XLU")</f>
        <v>64.924999999999997</v>
      </c>
      <c r="L849">
        <f>RTD("tos.rtd", , "OPEN", "XLU")</f>
        <v>66.12</v>
      </c>
      <c r="M849">
        <f>RTD("tos.rtd", , "DELTA", "XLU")</f>
        <v>1</v>
      </c>
      <c r="N849">
        <f>RTD("tos.rtd", , "GAMMA", "XLU")</f>
        <v>0</v>
      </c>
      <c r="O849">
        <f>RTD("tos.rtd", , "THETA", "XLU")</f>
        <v>0</v>
      </c>
      <c r="P849">
        <f>RTD("tos.rtd", , "VEGA", "XLU")</f>
        <v>0</v>
      </c>
      <c r="Q849">
        <f>RTD("tos.rtd", , "RHO", "XLU")</f>
        <v>0</v>
      </c>
      <c r="R849" t="str">
        <f>RTD("tos.rtd", , "INTRINSIC", "XLU")</f>
        <v>N/A</v>
      </c>
      <c r="S849" t="str">
        <f>RTD("tos.rtd", , "EXTRINSIC", "XLU")</f>
        <v>N/A</v>
      </c>
      <c r="T849" t="str">
        <f>RTD("tos.rtd", , "PROB_OF_EXPIRING", "XLU")</f>
        <v>N/A</v>
      </c>
      <c r="U849" t="str">
        <f>RTD("tos.rtd", , "PROB_OTM", "XLU")</f>
        <v>N/A</v>
      </c>
      <c r="V849" t="str">
        <f>RTD("tos.rtd", , "PROB_OF_TOUCHING", "XLU")</f>
        <v>N/A</v>
      </c>
      <c r="W849" t="str">
        <f>RTD("tos.rtd", , "STRIKE", "XLU")</f>
        <v>N/A</v>
      </c>
    </row>
    <row r="850" spans="1:23" x14ac:dyDescent="0.45">
      <c r="A850" t="s">
        <v>871</v>
      </c>
      <c r="B850" t="str">
        <f>RTD("tos.rtd", , "DESCRIPTION", ".XLU201120C66")</f>
        <v>N/A</v>
      </c>
      <c r="C850" t="str">
        <f>RTD("tos.rtd", , "PUT_CALL_RATIO", ".XLU201120C66")</f>
        <v>N/A</v>
      </c>
      <c r="D850" t="str">
        <f>RTD("tos.rtd", , "IMPL_VOL", ".XLU201120C66")</f>
        <v>N/A</v>
      </c>
      <c r="E850">
        <f>RTD("tos.rtd", , "LAST", ".XLU201120C66")</f>
        <v>0.45</v>
      </c>
      <c r="F850">
        <f>RTD("tos.rtd", , "VOLUME", ".XLU201120C66")</f>
        <v>3503</v>
      </c>
      <c r="G850">
        <f>RTD("tos.rtd", , "OPEN_INT", ".XLU201120C66")</f>
        <v>1018</v>
      </c>
      <c r="H850">
        <f>RTD("tos.rtd", , "BID", ".XLU201120C66")</f>
        <v>0.24</v>
      </c>
      <c r="I850">
        <f>RTD("tos.rtd", , "ASK", ".XLU201120C66")</f>
        <v>0.86</v>
      </c>
      <c r="J850">
        <f>RTD("tos.rtd", , "HIGH", ".XLU201120C66")</f>
        <v>0.83</v>
      </c>
      <c r="K850">
        <f>RTD("tos.rtd", , "LOW", ".XLU201120C66")</f>
        <v>0.39</v>
      </c>
      <c r="L850">
        <f>RTD("tos.rtd", , "OPEN", ".XLU201120C66")</f>
        <v>0.79</v>
      </c>
      <c r="M850" t="str">
        <f>RTD("tos.rtd", , "DELTA", ".XLU201120C66")</f>
        <v>N/A</v>
      </c>
      <c r="N850" t="str">
        <f>RTD("tos.rtd", , "GAMMA", ".XLU201120C66")</f>
        <v>N/A</v>
      </c>
      <c r="O850" t="str">
        <f>RTD("tos.rtd", , "THETA", ".XLU201120C66")</f>
        <v>N/A</v>
      </c>
      <c r="P850" t="str">
        <f>RTD("tos.rtd", , "VEGA", ".XLU201120C66")</f>
        <v>N/A</v>
      </c>
      <c r="Q850" t="str">
        <f>RTD("tos.rtd", , "RHO", ".XLU201120C66")</f>
        <v>N/A</v>
      </c>
      <c r="R850" t="str">
        <f>RTD("tos.rtd", , "INTRINSIC", ".XLU201120C66")</f>
        <v>N/A</v>
      </c>
      <c r="S850" t="str">
        <f>RTD("tos.rtd", , "EXTRINSIC", ".XLU201120C66")</f>
        <v>N/A</v>
      </c>
      <c r="T850" t="str">
        <f>RTD("tos.rtd", , "PROB_OF_EXPIRING", ".XLU201120C66")</f>
        <v>N/A</v>
      </c>
      <c r="U850" t="str">
        <f>RTD("tos.rtd", , "PROB_OTM", ".XLU201120C66")</f>
        <v>N/A</v>
      </c>
      <c r="V850" t="str">
        <f>RTD("tos.rtd", , "PROB_OF_TOUCHING", ".XLU201120C66")</f>
        <v>N/A</v>
      </c>
      <c r="W850" t="str">
        <f>RTD("tos.rtd", , "STRIKE", ".XLU201120C66")</f>
        <v>N/A</v>
      </c>
    </row>
    <row r="851" spans="1:23" x14ac:dyDescent="0.45">
      <c r="A851" t="s">
        <v>872</v>
      </c>
      <c r="B851" t="str">
        <f>RTD("tos.rtd", , "DESCRIPTION", ".XLU201120P66")</f>
        <v>N/A</v>
      </c>
      <c r="C851" t="str">
        <f>RTD("tos.rtd", , "PUT_CALL_RATIO", ".XLU201120P66")</f>
        <v>N/A</v>
      </c>
      <c r="D851" t="str">
        <f>RTD("tos.rtd", , "IMPL_VOL", ".XLU201120P66")</f>
        <v>N/A</v>
      </c>
      <c r="E851">
        <f>RTD("tos.rtd", , "LAST", ".XLU201120P66")</f>
        <v>1.21</v>
      </c>
      <c r="F851">
        <f>RTD("tos.rtd", , "VOLUME", ".XLU201120P66")</f>
        <v>1017</v>
      </c>
      <c r="G851">
        <f>RTD("tos.rtd", , "OPEN_INT", ".XLU201120P66")</f>
        <v>1151</v>
      </c>
      <c r="H851">
        <f>RTD("tos.rtd", , "BID", ".XLU201120P66")</f>
        <v>0.52</v>
      </c>
      <c r="I851">
        <f>RTD("tos.rtd", , "ASK", ".XLU201120P66")</f>
        <v>1.45</v>
      </c>
      <c r="J851">
        <f>RTD("tos.rtd", , "HIGH", ".XLU201120P66")</f>
        <v>1.22</v>
      </c>
      <c r="K851">
        <f>RTD("tos.rtd", , "LOW", ".XLU201120P66")</f>
        <v>0.65</v>
      </c>
      <c r="L851">
        <f>RTD("tos.rtd", , "OPEN", ".XLU201120P66")</f>
        <v>0.66</v>
      </c>
      <c r="M851" t="str">
        <f>RTD("tos.rtd", , "DELTA", ".XLU201120P66")</f>
        <v>N/A</v>
      </c>
      <c r="N851" t="str">
        <f>RTD("tos.rtd", , "GAMMA", ".XLU201120P66")</f>
        <v>N/A</v>
      </c>
      <c r="O851" t="str">
        <f>RTD("tos.rtd", , "THETA", ".XLU201120P66")</f>
        <v>N/A</v>
      </c>
      <c r="P851" t="str">
        <f>RTD("tos.rtd", , "VEGA", ".XLU201120P66")</f>
        <v>N/A</v>
      </c>
      <c r="Q851" t="str">
        <f>RTD("tos.rtd", , "RHO", ".XLU201120P66")</f>
        <v>N/A</v>
      </c>
      <c r="R851" t="str">
        <f>RTD("tos.rtd", , "INTRINSIC", ".XLU201120P66")</f>
        <v>N/A</v>
      </c>
      <c r="S851" t="str">
        <f>RTD("tos.rtd", , "EXTRINSIC", ".XLU201120P66")</f>
        <v>N/A</v>
      </c>
      <c r="T851" t="str">
        <f>RTD("tos.rtd", , "PROB_OF_EXPIRING", ".XLU201120P66")</f>
        <v>N/A</v>
      </c>
      <c r="U851" t="str">
        <f>RTD("tos.rtd", , "PROB_OTM", ".XLU201120P66")</f>
        <v>N/A</v>
      </c>
      <c r="V851" t="str">
        <f>RTD("tos.rtd", , "PROB_OF_TOUCHING", ".XLU201120P66")</f>
        <v>N/A</v>
      </c>
      <c r="W851" t="str">
        <f>RTD("tos.rtd", , "STRIKE", ".XLU201120P66")</f>
        <v>N/A</v>
      </c>
    </row>
    <row r="852" spans="1:23" x14ac:dyDescent="0.45">
      <c r="A852" t="s">
        <v>873</v>
      </c>
      <c r="B852" t="str">
        <f>RTD("tos.rtd", , "DESCRIPTION", ".XLU201120C66.5")</f>
        <v>N/A</v>
      </c>
      <c r="C852" t="str">
        <f>RTD("tos.rtd", , "PUT_CALL_RATIO", ".XLU201120C66.5")</f>
        <v>N/A</v>
      </c>
      <c r="D852" t="str">
        <f>RTD("tos.rtd", , "IMPL_VOL", ".XLU201120C66.5")</f>
        <v>N/A</v>
      </c>
      <c r="E852">
        <f>RTD("tos.rtd", , "LAST", ".XLU201120C66.5")</f>
        <v>0.35</v>
      </c>
      <c r="F852">
        <f>RTD("tos.rtd", , "VOLUME", ".XLU201120C66.5")</f>
        <v>349</v>
      </c>
      <c r="G852">
        <f>RTD("tos.rtd", , "OPEN_INT", ".XLU201120C66.5")</f>
        <v>176</v>
      </c>
      <c r="H852">
        <f>RTD("tos.rtd", , "BID", ".XLU201120C66.5")</f>
        <v>0.25</v>
      </c>
      <c r="I852">
        <f>RTD("tos.rtd", , "ASK", ".XLU201120C66.5")</f>
        <v>0.55000000000000004</v>
      </c>
      <c r="J852">
        <f>RTD("tos.rtd", , "HIGH", ".XLU201120C66.5")</f>
        <v>0.53</v>
      </c>
      <c r="K852">
        <f>RTD("tos.rtd", , "LOW", ".XLU201120C66.5")</f>
        <v>0.25</v>
      </c>
      <c r="L852">
        <f>RTD("tos.rtd", , "OPEN", ".XLU201120C66.5")</f>
        <v>0.5</v>
      </c>
      <c r="M852" t="str">
        <f>RTD("tos.rtd", , "DELTA", ".XLU201120C66.5")</f>
        <v>N/A</v>
      </c>
      <c r="N852" t="str">
        <f>RTD("tos.rtd", , "GAMMA", ".XLU201120C66.5")</f>
        <v>N/A</v>
      </c>
      <c r="O852" t="str">
        <f>RTD("tos.rtd", , "THETA", ".XLU201120C66.5")</f>
        <v>N/A</v>
      </c>
      <c r="P852" t="str">
        <f>RTD("tos.rtd", , "VEGA", ".XLU201120C66.5")</f>
        <v>N/A</v>
      </c>
      <c r="Q852" t="str">
        <f>RTD("tos.rtd", , "RHO", ".XLU201120C66.5")</f>
        <v>N/A</v>
      </c>
      <c r="R852" t="str">
        <f>RTD("tos.rtd", , "INTRINSIC", ".XLU201120C66.5")</f>
        <v>N/A</v>
      </c>
      <c r="S852" t="str">
        <f>RTD("tos.rtd", , "EXTRINSIC", ".XLU201120C66.5")</f>
        <v>N/A</v>
      </c>
      <c r="T852" t="str">
        <f>RTD("tos.rtd", , "PROB_OF_EXPIRING", ".XLU201120C66.5")</f>
        <v>N/A</v>
      </c>
      <c r="U852" t="str">
        <f>RTD("tos.rtd", , "PROB_OTM", ".XLU201120C66.5")</f>
        <v>N/A</v>
      </c>
      <c r="V852" t="str">
        <f>RTD("tos.rtd", , "PROB_OF_TOUCHING", ".XLU201120C66.5")</f>
        <v>N/A</v>
      </c>
      <c r="W852" t="str">
        <f>RTD("tos.rtd", , "STRIKE", ".XLU201120C66.5")</f>
        <v>N/A</v>
      </c>
    </row>
    <row r="853" spans="1:23" x14ac:dyDescent="0.45">
      <c r="A853" t="s">
        <v>874</v>
      </c>
      <c r="B853" t="str">
        <f>RTD("tos.rtd", , "DESCRIPTION", ".XLU201120P66.5")</f>
        <v>N/A</v>
      </c>
      <c r="C853" t="str">
        <f>RTD("tos.rtd", , "PUT_CALL_RATIO", ".XLU201120P66.5")</f>
        <v>N/A</v>
      </c>
      <c r="D853" t="str">
        <f>RTD("tos.rtd", , "IMPL_VOL", ".XLU201120P66.5")</f>
        <v>N/A</v>
      </c>
      <c r="E853" t="str">
        <f>RTD("tos.rtd", , "LAST", ".XLU201120P66.5")</f>
        <v>N/A</v>
      </c>
      <c r="F853" t="str">
        <f>RTD("tos.rtd", , "VOLUME", ".XLU201120P66.5")</f>
        <v>N/A</v>
      </c>
      <c r="G853" t="str">
        <f>RTD("tos.rtd", , "OPEN_INT", ".XLU201120P66.5")</f>
        <v>N/A</v>
      </c>
      <c r="H853" t="str">
        <f>RTD("tos.rtd", , "BID", ".XLU201120P66.5")</f>
        <v>N/A</v>
      </c>
      <c r="I853" t="str">
        <f>RTD("tos.rtd", , "ASK", ".XLU201120P66.5")</f>
        <v>N/A</v>
      </c>
      <c r="J853" t="str">
        <f>RTD("tos.rtd", , "HIGH", ".XLU201120P66.5")</f>
        <v>N/A</v>
      </c>
      <c r="K853" t="str">
        <f>RTD("tos.rtd", , "LOW", ".XLU201120P66.5")</f>
        <v>N/A</v>
      </c>
      <c r="L853" t="str">
        <f>RTD("tos.rtd", , "OPEN", ".XLU201120P66.5")</f>
        <v>N/A</v>
      </c>
      <c r="M853" t="str">
        <f>RTD("tos.rtd", , "DELTA", ".XLU201120P66.5")</f>
        <v>N/A</v>
      </c>
      <c r="N853" t="str">
        <f>RTD("tos.rtd", , "GAMMA", ".XLU201120P66.5")</f>
        <v>N/A</v>
      </c>
      <c r="O853" t="str">
        <f>RTD("tos.rtd", , "THETA", ".XLU201120P66.5")</f>
        <v>N/A</v>
      </c>
      <c r="P853" t="str">
        <f>RTD("tos.rtd", , "VEGA", ".XLU201120P66.5")</f>
        <v>N/A</v>
      </c>
      <c r="Q853" t="str">
        <f>RTD("tos.rtd", , "RHO", ".XLU201120P66.5")</f>
        <v>N/A</v>
      </c>
      <c r="R853" t="str">
        <f>RTD("tos.rtd", , "INTRINSIC", ".XLU201120P66.5")</f>
        <v>N/A</v>
      </c>
      <c r="S853" t="str">
        <f>RTD("tos.rtd", , "EXTRINSIC", ".XLU201120P66.5")</f>
        <v>N/A</v>
      </c>
      <c r="T853" t="str">
        <f>RTD("tos.rtd", , "PROB_OF_EXPIRING", ".XLU201120P66.5")</f>
        <v>N/A</v>
      </c>
      <c r="U853" t="str">
        <f>RTD("tos.rtd", , "PROB_OTM", ".XLU201120P66.5")</f>
        <v>N/A</v>
      </c>
      <c r="V853" t="str">
        <f>RTD("tos.rtd", , "PROB_OF_TOUCHING", ".XLU201120P66.5")</f>
        <v>N/A</v>
      </c>
      <c r="W853" t="str">
        <f>RTD("tos.rtd", , "STRIKE", ".XLU201120P66.5")</f>
        <v>N/A</v>
      </c>
    </row>
    <row r="854" spans="1:23" x14ac:dyDescent="0.45">
      <c r="A854" t="s">
        <v>875</v>
      </c>
      <c r="B854" t="str">
        <f>RTD("tos.rtd", , "DESCRIPTION", ".XLU201120C67")</f>
        <v>N/A</v>
      </c>
      <c r="C854" t="str">
        <f>RTD("tos.rtd", , "PUT_CALL_RATIO", ".XLU201120C67")</f>
        <v>N/A</v>
      </c>
      <c r="D854" t="str">
        <f>RTD("tos.rtd", , "IMPL_VOL", ".XLU201120C67")</f>
        <v>N/A</v>
      </c>
      <c r="E854">
        <f>RTD("tos.rtd", , "LAST", ".XLU201120C67")</f>
        <v>0.17</v>
      </c>
      <c r="F854">
        <f>RTD("tos.rtd", , "VOLUME", ".XLU201120C67")</f>
        <v>720</v>
      </c>
      <c r="G854">
        <f>RTD("tos.rtd", , "OPEN_INT", ".XLU201120C67")</f>
        <v>1899</v>
      </c>
      <c r="H854">
        <f>RTD("tos.rtd", , "BID", ".XLU201120C67")</f>
        <v>0.09</v>
      </c>
      <c r="I854">
        <f>RTD("tos.rtd", , "ASK", ".XLU201120C67")</f>
        <v>0.28000000000000003</v>
      </c>
      <c r="J854">
        <f>RTD("tos.rtd", , "HIGH", ".XLU201120C67")</f>
        <v>0.37</v>
      </c>
      <c r="K854">
        <f>RTD("tos.rtd", , "LOW", ".XLU201120C67")</f>
        <v>0.14000000000000001</v>
      </c>
      <c r="L854">
        <f>RTD("tos.rtd", , "OPEN", ".XLU201120C67")</f>
        <v>0.28999999999999998</v>
      </c>
      <c r="M854" t="str">
        <f>RTD("tos.rtd", , "DELTA", ".XLU201120C67")</f>
        <v>N/A</v>
      </c>
      <c r="N854" t="str">
        <f>RTD("tos.rtd", , "GAMMA", ".XLU201120C67")</f>
        <v>N/A</v>
      </c>
      <c r="O854" t="str">
        <f>RTD("tos.rtd", , "THETA", ".XLU201120C67")</f>
        <v>N/A</v>
      </c>
      <c r="P854" t="str">
        <f>RTD("tos.rtd", , "VEGA", ".XLU201120C67")</f>
        <v>N/A</v>
      </c>
      <c r="Q854" t="str">
        <f>RTD("tos.rtd", , "RHO", ".XLU201120C67")</f>
        <v>N/A</v>
      </c>
      <c r="R854" t="str">
        <f>RTD("tos.rtd", , "INTRINSIC", ".XLU201120C67")</f>
        <v>N/A</v>
      </c>
      <c r="S854" t="str">
        <f>RTD("tos.rtd", , "EXTRINSIC", ".XLU201120C67")</f>
        <v>N/A</v>
      </c>
      <c r="T854" t="str">
        <f>RTD("tos.rtd", , "PROB_OF_EXPIRING", ".XLU201120C67")</f>
        <v>N/A</v>
      </c>
      <c r="U854" t="str">
        <f>RTD("tos.rtd", , "PROB_OTM", ".XLU201120C67")</f>
        <v>N/A</v>
      </c>
      <c r="V854" t="str">
        <f>RTD("tos.rtd", , "PROB_OF_TOUCHING", ".XLU201120C67")</f>
        <v>N/A</v>
      </c>
      <c r="W854" t="str">
        <f>RTD("tos.rtd", , "STRIKE", ".XLU201120C67")</f>
        <v>N/A</v>
      </c>
    </row>
    <row r="855" spans="1:23" x14ac:dyDescent="0.45">
      <c r="A855" t="s">
        <v>876</v>
      </c>
      <c r="B855" t="str">
        <f>RTD("tos.rtd", , "DESCRIPTION", ".XLU201120P67")</f>
        <v>N/A</v>
      </c>
      <c r="C855" t="str">
        <f>RTD("tos.rtd", , "PUT_CALL_RATIO", ".XLU201120P67")</f>
        <v>N/A</v>
      </c>
      <c r="D855" t="str">
        <f>RTD("tos.rtd", , "IMPL_VOL", ".XLU201120P67")</f>
        <v>N/A</v>
      </c>
      <c r="E855">
        <f>RTD("tos.rtd", , "LAST", ".XLU201120P67")</f>
        <v>1</v>
      </c>
      <c r="F855">
        <f>RTD("tos.rtd", , "VOLUME", ".XLU201120P67")</f>
        <v>0</v>
      </c>
      <c r="G855">
        <f>RTD("tos.rtd", , "OPEN_INT", ".XLU201120P67")</f>
        <v>131</v>
      </c>
      <c r="H855">
        <f>RTD("tos.rtd", , "BID", ".XLU201120P67")</f>
        <v>1.1399999999999999</v>
      </c>
      <c r="I855">
        <f>RTD("tos.rtd", , "ASK", ".XLU201120P67")</f>
        <v>1.86</v>
      </c>
      <c r="J855">
        <f>RTD("tos.rtd", , "HIGH", ".XLU201120P67")</f>
        <v>0</v>
      </c>
      <c r="K855">
        <f>RTD("tos.rtd", , "LOW", ".XLU201120P67")</f>
        <v>0</v>
      </c>
      <c r="L855">
        <f>RTD("tos.rtd", , "OPEN", ".XLU201120P67")</f>
        <v>0</v>
      </c>
      <c r="M855" t="str">
        <f>RTD("tos.rtd", , "DELTA", ".XLU201120P67")</f>
        <v>N/A</v>
      </c>
      <c r="N855" t="str">
        <f>RTD("tos.rtd", , "GAMMA", ".XLU201120P67")</f>
        <v>N/A</v>
      </c>
      <c r="O855" t="str">
        <f>RTD("tos.rtd", , "THETA", ".XLU201120P67")</f>
        <v>N/A</v>
      </c>
      <c r="P855" t="str">
        <f>RTD("tos.rtd", , "VEGA", ".XLU201120P67")</f>
        <v>N/A</v>
      </c>
      <c r="Q855" t="str">
        <f>RTD("tos.rtd", , "RHO", ".XLU201120P67")</f>
        <v>N/A</v>
      </c>
      <c r="R855" t="str">
        <f>RTD("tos.rtd", , "INTRINSIC", ".XLU201120P67")</f>
        <v>N/A</v>
      </c>
      <c r="S855" t="str">
        <f>RTD("tos.rtd", , "EXTRINSIC", ".XLU201120P67")</f>
        <v>N/A</v>
      </c>
      <c r="T855" t="str">
        <f>RTD("tos.rtd", , "PROB_OF_EXPIRING", ".XLU201120P67")</f>
        <v>N/A</v>
      </c>
      <c r="U855" t="str">
        <f>RTD("tos.rtd", , "PROB_OTM", ".XLU201120P67")</f>
        <v>N/A</v>
      </c>
      <c r="V855" t="str">
        <f>RTD("tos.rtd", , "PROB_OF_TOUCHING", ".XLU201120P67")</f>
        <v>N/A</v>
      </c>
      <c r="W855" t="str">
        <f>RTD("tos.rtd", , "STRIKE", ".XLU201120P67")</f>
        <v>N/A</v>
      </c>
    </row>
    <row r="856" spans="1:23" x14ac:dyDescent="0.45">
      <c r="A856" t="s">
        <v>877</v>
      </c>
      <c r="B856" t="str">
        <f>RTD("tos.rtd", , "DESCRIPTION", "XLV")</f>
        <v>SELECT SECTOR SPDR TRUST SBI HEALTHCARE ETF</v>
      </c>
      <c r="C856">
        <f>RTD("tos.rtd", , "PUT_CALL_RATIO", "XLV")</f>
        <v>0.47799999999999998</v>
      </c>
      <c r="D856" t="str">
        <f>RTD("tos.rtd", , "IMPL_VOL", "XLV")</f>
        <v>21.05%</v>
      </c>
      <c r="E856">
        <f>RTD("tos.rtd", , "LAST", "XLV")</f>
        <v>110.72</v>
      </c>
      <c r="F856">
        <f>RTD("tos.rtd", , "VOLUME", "XLV")</f>
        <v>7856407</v>
      </c>
      <c r="G856">
        <f>RTD("tos.rtd", , "OPEN_INT", "XLV")</f>
        <v>0</v>
      </c>
      <c r="H856">
        <f>RTD("tos.rtd", , "BID", "XLV")</f>
        <v>109.81</v>
      </c>
      <c r="I856">
        <f>RTD("tos.rtd", , "ASK", "XLV")</f>
        <v>110.64</v>
      </c>
      <c r="J856">
        <f>RTD("tos.rtd", , "HIGH", "XLV")</f>
        <v>111.36</v>
      </c>
      <c r="K856">
        <f>RTD("tos.rtd", , "LOW", "XLV")</f>
        <v>109.98</v>
      </c>
      <c r="L856">
        <f>RTD("tos.rtd", , "OPEN", "XLV")</f>
        <v>110.92</v>
      </c>
      <c r="M856">
        <f>RTD("tos.rtd", , "DELTA", "XLV")</f>
        <v>1</v>
      </c>
      <c r="N856">
        <f>RTD("tos.rtd", , "GAMMA", "XLV")</f>
        <v>0</v>
      </c>
      <c r="O856">
        <f>RTD("tos.rtd", , "THETA", "XLV")</f>
        <v>0</v>
      </c>
      <c r="P856">
        <f>RTD("tos.rtd", , "VEGA", "XLV")</f>
        <v>0</v>
      </c>
      <c r="Q856">
        <f>RTD("tos.rtd", , "RHO", "XLV")</f>
        <v>0</v>
      </c>
      <c r="R856" t="str">
        <f>RTD("tos.rtd", , "INTRINSIC", "XLV")</f>
        <v>N/A</v>
      </c>
      <c r="S856" t="str">
        <f>RTD("tos.rtd", , "EXTRINSIC", "XLV")</f>
        <v>N/A</v>
      </c>
      <c r="T856" t="str">
        <f>RTD("tos.rtd", , "PROB_OF_EXPIRING", "XLV")</f>
        <v>N/A</v>
      </c>
      <c r="U856" t="str">
        <f>RTD("tos.rtd", , "PROB_OTM", "XLV")</f>
        <v>N/A</v>
      </c>
      <c r="V856" t="str">
        <f>RTD("tos.rtd", , "PROB_OF_TOUCHING", "XLV")</f>
        <v>N/A</v>
      </c>
      <c r="W856" t="str">
        <f>RTD("tos.rtd", , "STRIKE", "XLV")</f>
        <v>N/A</v>
      </c>
    </row>
    <row r="857" spans="1:23" x14ac:dyDescent="0.45">
      <c r="A857" t="s">
        <v>878</v>
      </c>
      <c r="B857" t="str">
        <f>RTD("tos.rtd", , "DESCRIPTION", ".XLV201120C110")</f>
        <v>N/A</v>
      </c>
      <c r="C857" t="str">
        <f>RTD("tos.rtd", , "PUT_CALL_RATIO", ".XLV201120C110")</f>
        <v>N/A</v>
      </c>
      <c r="D857" t="str">
        <f>RTD("tos.rtd", , "IMPL_VOL", ".XLV201120C110")</f>
        <v>N/A</v>
      </c>
      <c r="E857">
        <f>RTD("tos.rtd", , "LAST", ".XLV201120C110")</f>
        <v>1.68</v>
      </c>
      <c r="F857">
        <f>RTD("tos.rtd", , "VOLUME", ".XLV201120C110")</f>
        <v>49</v>
      </c>
      <c r="G857">
        <f>RTD("tos.rtd", , "OPEN_INT", ".XLV201120C110")</f>
        <v>2666</v>
      </c>
      <c r="H857">
        <f>RTD("tos.rtd", , "BID", ".XLV201120C110")</f>
        <v>1.36</v>
      </c>
      <c r="I857">
        <f>RTD("tos.rtd", , "ASK", ".XLV201120C110")</f>
        <v>1.89</v>
      </c>
      <c r="J857">
        <f>RTD("tos.rtd", , "HIGH", ".XLV201120C110")</f>
        <v>2.0499999999999998</v>
      </c>
      <c r="K857">
        <f>RTD("tos.rtd", , "LOW", ".XLV201120C110")</f>
        <v>1.43</v>
      </c>
      <c r="L857">
        <f>RTD("tos.rtd", , "OPEN", ".XLV201120C110")</f>
        <v>2.0299999999999998</v>
      </c>
      <c r="M857" t="str">
        <f>RTD("tos.rtd", , "DELTA", ".XLV201120C110")</f>
        <v>N/A</v>
      </c>
      <c r="N857" t="str">
        <f>RTD("tos.rtd", , "GAMMA", ".XLV201120C110")</f>
        <v>N/A</v>
      </c>
      <c r="O857" t="str">
        <f>RTD("tos.rtd", , "THETA", ".XLV201120C110")</f>
        <v>N/A</v>
      </c>
      <c r="P857" t="str">
        <f>RTD("tos.rtd", , "VEGA", ".XLV201120C110")</f>
        <v>N/A</v>
      </c>
      <c r="Q857" t="str">
        <f>RTD("tos.rtd", , "RHO", ".XLV201120C110")</f>
        <v>N/A</v>
      </c>
      <c r="R857" t="str">
        <f>RTD("tos.rtd", , "INTRINSIC", ".XLV201120C110")</f>
        <v>N/A</v>
      </c>
      <c r="S857" t="str">
        <f>RTD("tos.rtd", , "EXTRINSIC", ".XLV201120C110")</f>
        <v>N/A</v>
      </c>
      <c r="T857" t="str">
        <f>RTD("tos.rtd", , "PROB_OF_EXPIRING", ".XLV201120C110")</f>
        <v>N/A</v>
      </c>
      <c r="U857" t="str">
        <f>RTD("tos.rtd", , "PROB_OTM", ".XLV201120C110")</f>
        <v>N/A</v>
      </c>
      <c r="V857" t="str">
        <f>RTD("tos.rtd", , "PROB_OF_TOUCHING", ".XLV201120C110")</f>
        <v>N/A</v>
      </c>
      <c r="W857" t="str">
        <f>RTD("tos.rtd", , "STRIKE", ".XLV201120C110")</f>
        <v>N/A</v>
      </c>
    </row>
    <row r="858" spans="1:23" x14ac:dyDescent="0.45">
      <c r="A858" t="s">
        <v>879</v>
      </c>
      <c r="B858" t="str">
        <f>RTD("tos.rtd", , "DESCRIPTION", ".XLV201120P110")</f>
        <v>N/A</v>
      </c>
      <c r="C858" t="str">
        <f>RTD("tos.rtd", , "PUT_CALL_RATIO", ".XLV201120P110")</f>
        <v>N/A</v>
      </c>
      <c r="D858" t="str">
        <f>RTD("tos.rtd", , "IMPL_VOL", ".XLV201120P110")</f>
        <v>N/A</v>
      </c>
      <c r="E858">
        <f>RTD("tos.rtd", , "LAST", ".XLV201120P110")</f>
        <v>1.03</v>
      </c>
      <c r="F858">
        <f>RTD("tos.rtd", , "VOLUME", ".XLV201120P110")</f>
        <v>530</v>
      </c>
      <c r="G858">
        <f>RTD("tos.rtd", , "OPEN_INT", ".XLV201120P110")</f>
        <v>9251</v>
      </c>
      <c r="H858">
        <f>RTD("tos.rtd", , "BID", ".XLV201120P110")</f>
        <v>0.76</v>
      </c>
      <c r="I858">
        <f>RTD("tos.rtd", , "ASK", ".XLV201120P110")</f>
        <v>1.0900000000000001</v>
      </c>
      <c r="J858">
        <f>RTD("tos.rtd", , "HIGH", ".XLV201120P110")</f>
        <v>1.34</v>
      </c>
      <c r="K858">
        <f>RTD("tos.rtd", , "LOW", ".XLV201120P110")</f>
        <v>0.74</v>
      </c>
      <c r="L858">
        <f>RTD("tos.rtd", , "OPEN", ".XLV201120P110")</f>
        <v>0.74</v>
      </c>
      <c r="M858" t="str">
        <f>RTD("tos.rtd", , "DELTA", ".XLV201120P110")</f>
        <v>N/A</v>
      </c>
      <c r="N858" t="str">
        <f>RTD("tos.rtd", , "GAMMA", ".XLV201120P110")</f>
        <v>N/A</v>
      </c>
      <c r="O858" t="str">
        <f>RTD("tos.rtd", , "THETA", ".XLV201120P110")</f>
        <v>N/A</v>
      </c>
      <c r="P858" t="str">
        <f>RTD("tos.rtd", , "VEGA", ".XLV201120P110")</f>
        <v>N/A</v>
      </c>
      <c r="Q858" t="str">
        <f>RTD("tos.rtd", , "RHO", ".XLV201120P110")</f>
        <v>N/A</v>
      </c>
      <c r="R858" t="str">
        <f>RTD("tos.rtd", , "INTRINSIC", ".XLV201120P110")</f>
        <v>N/A</v>
      </c>
      <c r="S858" t="str">
        <f>RTD("tos.rtd", , "EXTRINSIC", ".XLV201120P110")</f>
        <v>N/A</v>
      </c>
      <c r="T858" t="str">
        <f>RTD("tos.rtd", , "PROB_OF_EXPIRING", ".XLV201120P110")</f>
        <v>N/A</v>
      </c>
      <c r="U858" t="str">
        <f>RTD("tos.rtd", , "PROB_OTM", ".XLV201120P110")</f>
        <v>N/A</v>
      </c>
      <c r="V858" t="str">
        <f>RTD("tos.rtd", , "PROB_OF_TOUCHING", ".XLV201120P110")</f>
        <v>N/A</v>
      </c>
      <c r="W858" t="str">
        <f>RTD("tos.rtd", , "STRIKE", ".XLV201120P110")</f>
        <v>N/A</v>
      </c>
    </row>
    <row r="859" spans="1:23" x14ac:dyDescent="0.45">
      <c r="A859" t="s">
        <v>880</v>
      </c>
      <c r="B859" t="str">
        <f>RTD("tos.rtd", , "DESCRIPTION", ".XLV201120C110.5")</f>
        <v>N/A</v>
      </c>
      <c r="C859" t="str">
        <f>RTD("tos.rtd", , "PUT_CALL_RATIO", ".XLV201120C110.5")</f>
        <v>N/A</v>
      </c>
      <c r="D859" t="str">
        <f>RTD("tos.rtd", , "IMPL_VOL", ".XLV201120C110.5")</f>
        <v>N/A</v>
      </c>
      <c r="E859">
        <f>RTD("tos.rtd", , "LAST", ".XLV201120C110.5")</f>
        <v>1.21</v>
      </c>
      <c r="F859">
        <f>RTD("tos.rtd", , "VOLUME", ".XLV201120C110.5")</f>
        <v>3</v>
      </c>
      <c r="G859">
        <f>RTD("tos.rtd", , "OPEN_INT", ".XLV201120C110.5")</f>
        <v>79</v>
      </c>
      <c r="H859">
        <f>RTD("tos.rtd", , "BID", ".XLV201120C110.5")</f>
        <v>1.08</v>
      </c>
      <c r="I859">
        <f>RTD("tos.rtd", , "ASK", ".XLV201120C110.5")</f>
        <v>1.68</v>
      </c>
      <c r="J859">
        <f>RTD("tos.rtd", , "HIGH", ".XLV201120C110.5")</f>
        <v>1.21</v>
      </c>
      <c r="K859">
        <f>RTD("tos.rtd", , "LOW", ".XLV201120C110.5")</f>
        <v>1.21</v>
      </c>
      <c r="L859">
        <f>RTD("tos.rtd", , "OPEN", ".XLV201120C110.5")</f>
        <v>1.21</v>
      </c>
      <c r="M859" t="str">
        <f>RTD("tos.rtd", , "DELTA", ".XLV201120C110.5")</f>
        <v>N/A</v>
      </c>
      <c r="N859" t="str">
        <f>RTD("tos.rtd", , "GAMMA", ".XLV201120C110.5")</f>
        <v>N/A</v>
      </c>
      <c r="O859" t="str">
        <f>RTD("tos.rtd", , "THETA", ".XLV201120C110.5")</f>
        <v>N/A</v>
      </c>
      <c r="P859" t="str">
        <f>RTD("tos.rtd", , "VEGA", ".XLV201120C110.5")</f>
        <v>N/A</v>
      </c>
      <c r="Q859" t="str">
        <f>RTD("tos.rtd", , "RHO", ".XLV201120C110.5")</f>
        <v>N/A</v>
      </c>
      <c r="R859" t="str">
        <f>RTD("tos.rtd", , "INTRINSIC", ".XLV201120C110.5")</f>
        <v>N/A</v>
      </c>
      <c r="S859" t="str">
        <f>RTD("tos.rtd", , "EXTRINSIC", ".XLV201120C110.5")</f>
        <v>N/A</v>
      </c>
      <c r="T859" t="str">
        <f>RTD("tos.rtd", , "PROB_OF_EXPIRING", ".XLV201120C110.5")</f>
        <v>N/A</v>
      </c>
      <c r="U859" t="str">
        <f>RTD("tos.rtd", , "PROB_OTM", ".XLV201120C110.5")</f>
        <v>N/A</v>
      </c>
      <c r="V859" t="str">
        <f>RTD("tos.rtd", , "PROB_OF_TOUCHING", ".XLV201120C110.5")</f>
        <v>N/A</v>
      </c>
      <c r="W859" t="str">
        <f>RTD("tos.rtd", , "STRIKE", ".XLV201120C110.5")</f>
        <v>N/A</v>
      </c>
    </row>
    <row r="860" spans="1:23" x14ac:dyDescent="0.45">
      <c r="A860" t="s">
        <v>881</v>
      </c>
      <c r="B860" t="str">
        <f>RTD("tos.rtd", , "DESCRIPTION", ".XLV201120P110.5")</f>
        <v>N/A</v>
      </c>
      <c r="C860" t="str">
        <f>RTD("tos.rtd", , "PUT_CALL_RATIO", ".XLV201120P110.5")</f>
        <v>N/A</v>
      </c>
      <c r="D860" t="str">
        <f>RTD("tos.rtd", , "IMPL_VOL", ".XLV201120P110.5")</f>
        <v>N/A</v>
      </c>
      <c r="E860">
        <f>RTD("tos.rtd", , "LAST", ".XLV201120P110.5")</f>
        <v>1</v>
      </c>
      <c r="F860">
        <f>RTD("tos.rtd", , "VOLUME", ".XLV201120P110.5")</f>
        <v>117</v>
      </c>
      <c r="G860">
        <f>RTD("tos.rtd", , "OPEN_INT", ".XLV201120P110.5")</f>
        <v>1030</v>
      </c>
      <c r="H860">
        <f>RTD("tos.rtd", , "BID", ".XLV201120P110.5")</f>
        <v>0.89</v>
      </c>
      <c r="I860">
        <f>RTD("tos.rtd", , "ASK", ".XLV201120P110.5")</f>
        <v>1.49</v>
      </c>
      <c r="J860">
        <f>RTD("tos.rtd", , "HIGH", ".XLV201120P110.5")</f>
        <v>1.1599999999999999</v>
      </c>
      <c r="K860">
        <f>RTD("tos.rtd", , "LOW", ".XLV201120P110.5")</f>
        <v>1</v>
      </c>
      <c r="L860">
        <f>RTD("tos.rtd", , "OPEN", ".XLV201120P110.5")</f>
        <v>1.1499999999999999</v>
      </c>
      <c r="M860" t="str">
        <f>RTD("tos.rtd", , "DELTA", ".XLV201120P110.5")</f>
        <v>N/A</v>
      </c>
      <c r="N860" t="str">
        <f>RTD("tos.rtd", , "GAMMA", ".XLV201120P110.5")</f>
        <v>N/A</v>
      </c>
      <c r="O860" t="str">
        <f>RTD("tos.rtd", , "THETA", ".XLV201120P110.5")</f>
        <v>N/A</v>
      </c>
      <c r="P860" t="str">
        <f>RTD("tos.rtd", , "VEGA", ".XLV201120P110.5")</f>
        <v>N/A</v>
      </c>
      <c r="Q860" t="str">
        <f>RTD("tos.rtd", , "RHO", ".XLV201120P110.5")</f>
        <v>N/A</v>
      </c>
      <c r="R860" t="str">
        <f>RTD("tos.rtd", , "INTRINSIC", ".XLV201120P110.5")</f>
        <v>N/A</v>
      </c>
      <c r="S860" t="str">
        <f>RTD("tos.rtd", , "EXTRINSIC", ".XLV201120P110.5")</f>
        <v>N/A</v>
      </c>
      <c r="T860" t="str">
        <f>RTD("tos.rtd", , "PROB_OF_EXPIRING", ".XLV201120P110.5")</f>
        <v>N/A</v>
      </c>
      <c r="U860" t="str">
        <f>RTD("tos.rtd", , "PROB_OTM", ".XLV201120P110.5")</f>
        <v>N/A</v>
      </c>
      <c r="V860" t="str">
        <f>RTD("tos.rtd", , "PROB_OF_TOUCHING", ".XLV201120P110.5")</f>
        <v>N/A</v>
      </c>
      <c r="W860" t="str">
        <f>RTD("tos.rtd", , "STRIKE", ".XLV201120P110.5")</f>
        <v>N/A</v>
      </c>
    </row>
    <row r="861" spans="1:23" x14ac:dyDescent="0.45">
      <c r="A861" t="s">
        <v>882</v>
      </c>
      <c r="B861" t="str">
        <f>RTD("tos.rtd", , "DESCRIPTION", ".XLV201120C111")</f>
        <v>N/A</v>
      </c>
      <c r="C861" t="str">
        <f>RTD("tos.rtd", , "PUT_CALL_RATIO", ".XLV201120C111")</f>
        <v>N/A</v>
      </c>
      <c r="D861" t="str">
        <f>RTD("tos.rtd", , "IMPL_VOL", ".XLV201120C111")</f>
        <v>N/A</v>
      </c>
      <c r="E861">
        <f>RTD("tos.rtd", , "LAST", ".XLV201120C111")</f>
        <v>0.86</v>
      </c>
      <c r="F861">
        <f>RTD("tos.rtd", , "VOLUME", ".XLV201120C111")</f>
        <v>16</v>
      </c>
      <c r="G861">
        <f>RTD("tos.rtd", , "OPEN_INT", ".XLV201120C111")</f>
        <v>1458</v>
      </c>
      <c r="H861">
        <f>RTD("tos.rtd", , "BID", ".XLV201120C111")</f>
        <v>0.88</v>
      </c>
      <c r="I861">
        <f>RTD("tos.rtd", , "ASK", ".XLV201120C111")</f>
        <v>1.47</v>
      </c>
      <c r="J861">
        <f>RTD("tos.rtd", , "HIGH", ".XLV201120C111")</f>
        <v>1.43</v>
      </c>
      <c r="K861">
        <f>RTD("tos.rtd", , "LOW", ".XLV201120C111")</f>
        <v>0.86</v>
      </c>
      <c r="L861">
        <f>RTD("tos.rtd", , "OPEN", ".XLV201120C111")</f>
        <v>1.43</v>
      </c>
      <c r="M861" t="str">
        <f>RTD("tos.rtd", , "DELTA", ".XLV201120C111")</f>
        <v>N/A</v>
      </c>
      <c r="N861" t="str">
        <f>RTD("tos.rtd", , "GAMMA", ".XLV201120C111")</f>
        <v>N/A</v>
      </c>
      <c r="O861" t="str">
        <f>RTD("tos.rtd", , "THETA", ".XLV201120C111")</f>
        <v>N/A</v>
      </c>
      <c r="P861" t="str">
        <f>RTD("tos.rtd", , "VEGA", ".XLV201120C111")</f>
        <v>N/A</v>
      </c>
      <c r="Q861" t="str">
        <f>RTD("tos.rtd", , "RHO", ".XLV201120C111")</f>
        <v>N/A</v>
      </c>
      <c r="R861" t="str">
        <f>RTD("tos.rtd", , "INTRINSIC", ".XLV201120C111")</f>
        <v>N/A</v>
      </c>
      <c r="S861" t="str">
        <f>RTD("tos.rtd", , "EXTRINSIC", ".XLV201120C111")</f>
        <v>N/A</v>
      </c>
      <c r="T861" t="str">
        <f>RTD("tos.rtd", , "PROB_OF_EXPIRING", ".XLV201120C111")</f>
        <v>N/A</v>
      </c>
      <c r="U861" t="str">
        <f>RTD("tos.rtd", , "PROB_OTM", ".XLV201120C111")</f>
        <v>N/A</v>
      </c>
      <c r="V861" t="str">
        <f>RTD("tos.rtd", , "PROB_OF_TOUCHING", ".XLV201120C111")</f>
        <v>N/A</v>
      </c>
      <c r="W861" t="str">
        <f>RTD("tos.rtd", , "STRIKE", ".XLV201120C111")</f>
        <v>N/A</v>
      </c>
    </row>
    <row r="862" spans="1:23" x14ac:dyDescent="0.45">
      <c r="A862" t="s">
        <v>883</v>
      </c>
      <c r="B862" t="str">
        <f>RTD("tos.rtd", , "DESCRIPTION", ".XLV201120P111")</f>
        <v>N/A</v>
      </c>
      <c r="C862" t="str">
        <f>RTD("tos.rtd", , "PUT_CALL_RATIO", ".XLV201120P111")</f>
        <v>N/A</v>
      </c>
      <c r="D862" t="str">
        <f>RTD("tos.rtd", , "IMPL_VOL", ".XLV201120P111")</f>
        <v>N/A</v>
      </c>
      <c r="E862">
        <f>RTD("tos.rtd", , "LAST", ".XLV201120P111")</f>
        <v>1.36</v>
      </c>
      <c r="F862">
        <f>RTD("tos.rtd", , "VOLUME", ".XLV201120P111")</f>
        <v>5</v>
      </c>
      <c r="G862">
        <f>RTD("tos.rtd", , "OPEN_INT", ".XLV201120P111")</f>
        <v>1846</v>
      </c>
      <c r="H862">
        <f>RTD("tos.rtd", , "BID", ".XLV201120P111")</f>
        <v>1.07</v>
      </c>
      <c r="I862">
        <f>RTD("tos.rtd", , "ASK", ".XLV201120P111")</f>
        <v>1.73</v>
      </c>
      <c r="J862">
        <f>RTD("tos.rtd", , "HIGH", ".XLV201120P111")</f>
        <v>1.36</v>
      </c>
      <c r="K862">
        <f>RTD("tos.rtd", , "LOW", ".XLV201120P111")</f>
        <v>1.36</v>
      </c>
      <c r="L862">
        <f>RTD("tos.rtd", , "OPEN", ".XLV201120P111")</f>
        <v>1.36</v>
      </c>
      <c r="M862" t="str">
        <f>RTD("tos.rtd", , "DELTA", ".XLV201120P111")</f>
        <v>N/A</v>
      </c>
      <c r="N862" t="str">
        <f>RTD("tos.rtd", , "GAMMA", ".XLV201120P111")</f>
        <v>N/A</v>
      </c>
      <c r="O862" t="str">
        <f>RTD("tos.rtd", , "THETA", ".XLV201120P111")</f>
        <v>N/A</v>
      </c>
      <c r="P862" t="str">
        <f>RTD("tos.rtd", , "VEGA", ".XLV201120P111")</f>
        <v>N/A</v>
      </c>
      <c r="Q862" t="str">
        <f>RTD("tos.rtd", , "RHO", ".XLV201120P111")</f>
        <v>N/A</v>
      </c>
      <c r="R862" t="str">
        <f>RTD("tos.rtd", , "INTRINSIC", ".XLV201120P111")</f>
        <v>N/A</v>
      </c>
      <c r="S862" t="str">
        <f>RTD("tos.rtd", , "EXTRINSIC", ".XLV201120P111")</f>
        <v>N/A</v>
      </c>
      <c r="T862" t="str">
        <f>RTD("tos.rtd", , "PROB_OF_EXPIRING", ".XLV201120P111")</f>
        <v>N/A</v>
      </c>
      <c r="U862" t="str">
        <f>RTD("tos.rtd", , "PROB_OTM", ".XLV201120P111")</f>
        <v>N/A</v>
      </c>
      <c r="V862" t="str">
        <f>RTD("tos.rtd", , "PROB_OF_TOUCHING", ".XLV201120P111")</f>
        <v>N/A</v>
      </c>
      <c r="W862" t="str">
        <f>RTD("tos.rtd", , "STRIKE", ".XLV201120P111")</f>
        <v>N/A</v>
      </c>
    </row>
    <row r="863" spans="1:23" x14ac:dyDescent="0.45">
      <c r="A863" t="s">
        <v>884</v>
      </c>
      <c r="B863" t="str">
        <f>RTD("tos.rtd", , "DESCRIPTION", ".XLV201120C111.5")</f>
        <v>N/A</v>
      </c>
      <c r="C863" t="str">
        <f>RTD("tos.rtd", , "PUT_CALL_RATIO", ".XLV201120C111.5")</f>
        <v>N/A</v>
      </c>
      <c r="D863" t="str">
        <f>RTD("tos.rtd", , "IMPL_VOL", ".XLV201120C111.5")</f>
        <v>N/A</v>
      </c>
      <c r="E863">
        <f>RTD("tos.rtd", , "LAST", ".XLV201120C111.5")</f>
        <v>0.82</v>
      </c>
      <c r="F863">
        <f>RTD("tos.rtd", , "VOLUME", ".XLV201120C111.5")</f>
        <v>1</v>
      </c>
      <c r="G863">
        <f>RTD("tos.rtd", , "OPEN_INT", ".XLV201120C111.5")</f>
        <v>97</v>
      </c>
      <c r="H863">
        <f>RTD("tos.rtd", , "BID", ".XLV201120C111.5")</f>
        <v>0.56999999999999995</v>
      </c>
      <c r="I863">
        <f>RTD("tos.rtd", , "ASK", ".XLV201120C111.5")</f>
        <v>0.99</v>
      </c>
      <c r="J863">
        <f>RTD("tos.rtd", , "HIGH", ".XLV201120C111.5")</f>
        <v>0.82</v>
      </c>
      <c r="K863">
        <f>RTD("tos.rtd", , "LOW", ".XLV201120C111.5")</f>
        <v>0.82</v>
      </c>
      <c r="L863">
        <f>RTD("tos.rtd", , "OPEN", ".XLV201120C111.5")</f>
        <v>0.82</v>
      </c>
      <c r="M863" t="str">
        <f>RTD("tos.rtd", , "DELTA", ".XLV201120C111.5")</f>
        <v>N/A</v>
      </c>
      <c r="N863" t="str">
        <f>RTD("tos.rtd", , "GAMMA", ".XLV201120C111.5")</f>
        <v>N/A</v>
      </c>
      <c r="O863" t="str">
        <f>RTD("tos.rtd", , "THETA", ".XLV201120C111.5")</f>
        <v>N/A</v>
      </c>
      <c r="P863" t="str">
        <f>RTD("tos.rtd", , "VEGA", ".XLV201120C111.5")</f>
        <v>N/A</v>
      </c>
      <c r="Q863" t="str">
        <f>RTD("tos.rtd", , "RHO", ".XLV201120C111.5")</f>
        <v>N/A</v>
      </c>
      <c r="R863" t="str">
        <f>RTD("tos.rtd", , "INTRINSIC", ".XLV201120C111.5")</f>
        <v>N/A</v>
      </c>
      <c r="S863" t="str">
        <f>RTD("tos.rtd", , "EXTRINSIC", ".XLV201120C111.5")</f>
        <v>N/A</v>
      </c>
      <c r="T863" t="str">
        <f>RTD("tos.rtd", , "PROB_OF_EXPIRING", ".XLV201120C111.5")</f>
        <v>N/A</v>
      </c>
      <c r="U863" t="str">
        <f>RTD("tos.rtd", , "PROB_OTM", ".XLV201120C111.5")</f>
        <v>N/A</v>
      </c>
      <c r="V863" t="str">
        <f>RTD("tos.rtd", , "PROB_OF_TOUCHING", ".XLV201120C111.5")</f>
        <v>N/A</v>
      </c>
      <c r="W863" t="str">
        <f>RTD("tos.rtd", , "STRIKE", ".XLV201120C111.5")</f>
        <v>N/A</v>
      </c>
    </row>
    <row r="864" spans="1:23" x14ac:dyDescent="0.45">
      <c r="A864" t="s">
        <v>885</v>
      </c>
      <c r="B864" t="str">
        <f>RTD("tos.rtd", , "DESCRIPTION", ".XLV201120P111.5")</f>
        <v>N/A</v>
      </c>
      <c r="C864" t="str">
        <f>RTD("tos.rtd", , "PUT_CALL_RATIO", ".XLV201120P111.5")</f>
        <v>N/A</v>
      </c>
      <c r="D864" t="str">
        <f>RTD("tos.rtd", , "IMPL_VOL", ".XLV201120P111.5")</f>
        <v>N/A</v>
      </c>
      <c r="E864">
        <f>RTD("tos.rtd", , "LAST", ".XLV201120P111.5")</f>
        <v>1.41</v>
      </c>
      <c r="F864">
        <f>RTD("tos.rtd", , "VOLUME", ".XLV201120P111.5")</f>
        <v>0</v>
      </c>
      <c r="G864">
        <f>RTD("tos.rtd", , "OPEN_INT", ".XLV201120P111.5")</f>
        <v>205</v>
      </c>
      <c r="H864">
        <f>RTD("tos.rtd", , "BID", ".XLV201120P111.5")</f>
        <v>1.3</v>
      </c>
      <c r="I864">
        <f>RTD("tos.rtd", , "ASK", ".XLV201120P111.5")</f>
        <v>2.0299999999999998</v>
      </c>
      <c r="J864">
        <f>RTD("tos.rtd", , "HIGH", ".XLV201120P111.5")</f>
        <v>0</v>
      </c>
      <c r="K864">
        <f>RTD("tos.rtd", , "LOW", ".XLV201120P111.5")</f>
        <v>0</v>
      </c>
      <c r="L864">
        <f>RTD("tos.rtd", , "OPEN", ".XLV201120P111.5")</f>
        <v>0</v>
      </c>
      <c r="M864" t="str">
        <f>RTD("tos.rtd", , "DELTA", ".XLV201120P111.5")</f>
        <v>N/A</v>
      </c>
      <c r="N864" t="str">
        <f>RTD("tos.rtd", , "GAMMA", ".XLV201120P111.5")</f>
        <v>N/A</v>
      </c>
      <c r="O864" t="str">
        <f>RTD("tos.rtd", , "THETA", ".XLV201120P111.5")</f>
        <v>N/A</v>
      </c>
      <c r="P864" t="str">
        <f>RTD("tos.rtd", , "VEGA", ".XLV201120P111.5")</f>
        <v>N/A</v>
      </c>
      <c r="Q864" t="str">
        <f>RTD("tos.rtd", , "RHO", ".XLV201120P111.5")</f>
        <v>N/A</v>
      </c>
      <c r="R864" t="str">
        <f>RTD("tos.rtd", , "INTRINSIC", ".XLV201120P111.5")</f>
        <v>N/A</v>
      </c>
      <c r="S864" t="str">
        <f>RTD("tos.rtd", , "EXTRINSIC", ".XLV201120P111.5")</f>
        <v>N/A</v>
      </c>
      <c r="T864" t="str">
        <f>RTD("tos.rtd", , "PROB_OF_EXPIRING", ".XLV201120P111.5")</f>
        <v>N/A</v>
      </c>
      <c r="U864" t="str">
        <f>RTD("tos.rtd", , "PROB_OTM", ".XLV201120P111.5")</f>
        <v>N/A</v>
      </c>
      <c r="V864" t="str">
        <f>RTD("tos.rtd", , "PROB_OF_TOUCHING", ".XLV201120P111.5")</f>
        <v>N/A</v>
      </c>
      <c r="W864" t="str">
        <f>RTD("tos.rtd", , "STRIKE", ".XLV201120P111.5")</f>
        <v>N/A</v>
      </c>
    </row>
    <row r="865" spans="1:23" x14ac:dyDescent="0.45">
      <c r="A865" t="s">
        <v>886</v>
      </c>
      <c r="B865" t="str">
        <f>RTD("tos.rtd", , "DESCRIPTION", ".XLV201120C112")</f>
        <v>N/A</v>
      </c>
      <c r="C865" t="str">
        <f>RTD("tos.rtd", , "PUT_CALL_RATIO", ".XLV201120C112")</f>
        <v>N/A</v>
      </c>
      <c r="D865" t="str">
        <f>RTD("tos.rtd", , "IMPL_VOL", ".XLV201120C112")</f>
        <v>N/A</v>
      </c>
      <c r="E865">
        <f>RTD("tos.rtd", , "LAST", ".XLV201120C112")</f>
        <v>0.5</v>
      </c>
      <c r="F865">
        <f>RTD("tos.rtd", , "VOLUME", ".XLV201120C112")</f>
        <v>137</v>
      </c>
      <c r="G865">
        <f>RTD("tos.rtd", , "OPEN_INT", ".XLV201120C112")</f>
        <v>2645</v>
      </c>
      <c r="H865">
        <f>RTD("tos.rtd", , "BID", ".XLV201120C112")</f>
        <v>0.47</v>
      </c>
      <c r="I865">
        <f>RTD("tos.rtd", , "ASK", ".XLV201120C112")</f>
        <v>0.76</v>
      </c>
      <c r="J865">
        <f>RTD("tos.rtd", , "HIGH", ".XLV201120C112")</f>
        <v>0.89</v>
      </c>
      <c r="K865">
        <f>RTD("tos.rtd", , "LOW", ".XLV201120C112")</f>
        <v>0.5</v>
      </c>
      <c r="L865">
        <f>RTD("tos.rtd", , "OPEN", ".XLV201120C112")</f>
        <v>0.74</v>
      </c>
      <c r="M865" t="str">
        <f>RTD("tos.rtd", , "DELTA", ".XLV201120C112")</f>
        <v>N/A</v>
      </c>
      <c r="N865" t="str">
        <f>RTD("tos.rtd", , "GAMMA", ".XLV201120C112")</f>
        <v>N/A</v>
      </c>
      <c r="O865" t="str">
        <f>RTD("tos.rtd", , "THETA", ".XLV201120C112")</f>
        <v>N/A</v>
      </c>
      <c r="P865" t="str">
        <f>RTD("tos.rtd", , "VEGA", ".XLV201120C112")</f>
        <v>N/A</v>
      </c>
      <c r="Q865" t="str">
        <f>RTD("tos.rtd", , "RHO", ".XLV201120C112")</f>
        <v>N/A</v>
      </c>
      <c r="R865" t="str">
        <f>RTD("tos.rtd", , "INTRINSIC", ".XLV201120C112")</f>
        <v>N/A</v>
      </c>
      <c r="S865" t="str">
        <f>RTD("tos.rtd", , "EXTRINSIC", ".XLV201120C112")</f>
        <v>N/A</v>
      </c>
      <c r="T865" t="str">
        <f>RTD("tos.rtd", , "PROB_OF_EXPIRING", ".XLV201120C112")</f>
        <v>N/A</v>
      </c>
      <c r="U865" t="str">
        <f>RTD("tos.rtd", , "PROB_OTM", ".XLV201120C112")</f>
        <v>N/A</v>
      </c>
      <c r="V865" t="str">
        <f>RTD("tos.rtd", , "PROB_OF_TOUCHING", ".XLV201120C112")</f>
        <v>N/A</v>
      </c>
      <c r="W865" t="str">
        <f>RTD("tos.rtd", , "STRIKE", ".XLV201120C112")</f>
        <v>N/A</v>
      </c>
    </row>
    <row r="866" spans="1:23" x14ac:dyDescent="0.45">
      <c r="A866" t="s">
        <v>887</v>
      </c>
      <c r="B866" t="str">
        <f>RTD("tos.rtd", , "DESCRIPTION", ".XLV201120P112")</f>
        <v>N/A</v>
      </c>
      <c r="C866" t="str">
        <f>RTD("tos.rtd", , "PUT_CALL_RATIO", ".XLV201120P112")</f>
        <v>N/A</v>
      </c>
      <c r="D866" t="str">
        <f>RTD("tos.rtd", , "IMPL_VOL", ".XLV201120P112")</f>
        <v>N/A</v>
      </c>
      <c r="E866">
        <f>RTD("tos.rtd", , "LAST", ".XLV201120P112")</f>
        <v>1.76</v>
      </c>
      <c r="F866">
        <f>RTD("tos.rtd", , "VOLUME", ".XLV201120P112")</f>
        <v>11</v>
      </c>
      <c r="G866">
        <f>RTD("tos.rtd", , "OPEN_INT", ".XLV201120P112")</f>
        <v>671</v>
      </c>
      <c r="H866">
        <f>RTD("tos.rtd", , "BID", ".XLV201120P112")</f>
        <v>1.58</v>
      </c>
      <c r="I866">
        <f>RTD("tos.rtd", , "ASK", ".XLV201120P112")</f>
        <v>2.2400000000000002</v>
      </c>
      <c r="J866">
        <f>RTD("tos.rtd", , "HIGH", ".XLV201120P112")</f>
        <v>1.77</v>
      </c>
      <c r="K866">
        <f>RTD("tos.rtd", , "LOW", ".XLV201120P112")</f>
        <v>1.57</v>
      </c>
      <c r="L866">
        <f>RTD("tos.rtd", , "OPEN", ".XLV201120P112")</f>
        <v>1.77</v>
      </c>
      <c r="M866" t="str">
        <f>RTD("tos.rtd", , "DELTA", ".XLV201120P112")</f>
        <v>N/A</v>
      </c>
      <c r="N866" t="str">
        <f>RTD("tos.rtd", , "GAMMA", ".XLV201120P112")</f>
        <v>N/A</v>
      </c>
      <c r="O866" t="str">
        <f>RTD("tos.rtd", , "THETA", ".XLV201120P112")</f>
        <v>N/A</v>
      </c>
      <c r="P866" t="str">
        <f>RTD("tos.rtd", , "VEGA", ".XLV201120P112")</f>
        <v>N/A</v>
      </c>
      <c r="Q866" t="str">
        <f>RTD("tos.rtd", , "RHO", ".XLV201120P112")</f>
        <v>N/A</v>
      </c>
      <c r="R866" t="str">
        <f>RTD("tos.rtd", , "INTRINSIC", ".XLV201120P112")</f>
        <v>N/A</v>
      </c>
      <c r="S866" t="str">
        <f>RTD("tos.rtd", , "EXTRINSIC", ".XLV201120P112")</f>
        <v>N/A</v>
      </c>
      <c r="T866" t="str">
        <f>RTD("tos.rtd", , "PROB_OF_EXPIRING", ".XLV201120P112")</f>
        <v>N/A</v>
      </c>
      <c r="U866" t="str">
        <f>RTD("tos.rtd", , "PROB_OTM", ".XLV201120P112")</f>
        <v>N/A</v>
      </c>
      <c r="V866" t="str">
        <f>RTD("tos.rtd", , "PROB_OF_TOUCHING", ".XLV201120P112")</f>
        <v>N/A</v>
      </c>
      <c r="W866" t="str">
        <f>RTD("tos.rtd", , "STRIKE", ".XLV201120P112")</f>
        <v>N/A</v>
      </c>
    </row>
    <row r="867" spans="1:23" x14ac:dyDescent="0.45">
      <c r="A867" t="s">
        <v>888</v>
      </c>
      <c r="B867" t="str">
        <f>RTD("tos.rtd", , "DESCRIPTION", "XLY")</f>
        <v>SELECT SECTOR SPDR TRUST SBI CONS DISCR ETF</v>
      </c>
      <c r="C867">
        <f>RTD("tos.rtd", , "PUT_CALL_RATIO", "XLY")</f>
        <v>0.49</v>
      </c>
      <c r="D867" t="str">
        <f>RTD("tos.rtd", , "IMPL_VOL", "XLY")</f>
        <v>26.13%</v>
      </c>
      <c r="E867">
        <f>RTD("tos.rtd", , "LAST", "XLY")</f>
        <v>151</v>
      </c>
      <c r="F867">
        <f>RTD("tos.rtd", , "VOLUME", "XLY")</f>
        <v>2964886</v>
      </c>
      <c r="G867">
        <f>RTD("tos.rtd", , "OPEN_INT", "XLY")</f>
        <v>0</v>
      </c>
      <c r="H867">
        <f>RTD("tos.rtd", , "BID", "XLY")</f>
        <v>150</v>
      </c>
      <c r="I867">
        <f>RTD("tos.rtd", , "ASK", "XLY")</f>
        <v>151.91999999999999</v>
      </c>
      <c r="J867">
        <f>RTD("tos.rtd", , "HIGH", "XLY")</f>
        <v>153.065</v>
      </c>
      <c r="K867">
        <f>RTD("tos.rtd", , "LOW", "XLY")</f>
        <v>150.13499999999999</v>
      </c>
      <c r="L867">
        <f>RTD("tos.rtd", , "OPEN", "XLY")</f>
        <v>153.05000000000001</v>
      </c>
      <c r="M867">
        <f>RTD("tos.rtd", , "DELTA", "XLY")</f>
        <v>1</v>
      </c>
      <c r="N867">
        <f>RTD("tos.rtd", , "GAMMA", "XLY")</f>
        <v>0</v>
      </c>
      <c r="O867">
        <f>RTD("tos.rtd", , "THETA", "XLY")</f>
        <v>0</v>
      </c>
      <c r="P867">
        <f>RTD("tos.rtd", , "VEGA", "XLY")</f>
        <v>0</v>
      </c>
      <c r="Q867">
        <f>RTD("tos.rtd", , "RHO", "XLY")</f>
        <v>0</v>
      </c>
      <c r="R867" t="str">
        <f>RTD("tos.rtd", , "INTRINSIC", "XLY")</f>
        <v>N/A</v>
      </c>
      <c r="S867" t="str">
        <f>RTD("tos.rtd", , "EXTRINSIC", "XLY")</f>
        <v>N/A</v>
      </c>
      <c r="T867" t="str">
        <f>RTD("tos.rtd", , "PROB_OF_EXPIRING", "XLY")</f>
        <v>N/A</v>
      </c>
      <c r="U867" t="str">
        <f>RTD("tos.rtd", , "PROB_OTM", "XLY")</f>
        <v>N/A</v>
      </c>
      <c r="V867" t="str">
        <f>RTD("tos.rtd", , "PROB_OF_TOUCHING", "XLY")</f>
        <v>N/A</v>
      </c>
      <c r="W867" t="str">
        <f>RTD("tos.rtd", , "STRIKE", "XLY")</f>
        <v>N/A</v>
      </c>
    </row>
    <row r="868" spans="1:23" x14ac:dyDescent="0.45">
      <c r="A868" t="s">
        <v>889</v>
      </c>
      <c r="B868" t="str">
        <f>RTD("tos.rtd", , "DESCRIPTION", ".XLY201120C151.5")</f>
        <v>N/A</v>
      </c>
      <c r="C868" t="str">
        <f>RTD("tos.rtd", , "PUT_CALL_RATIO", ".XLY201120C151.5")</f>
        <v>N/A</v>
      </c>
      <c r="D868" t="str">
        <f>RTD("tos.rtd", , "IMPL_VOL", ".XLY201120C151.5")</f>
        <v>N/A</v>
      </c>
      <c r="E868">
        <f>RTD("tos.rtd", , "LAST", ".XLY201120C151.5")</f>
        <v>1.65</v>
      </c>
      <c r="F868">
        <f>RTD("tos.rtd", , "VOLUME", ".XLY201120C151.5")</f>
        <v>12</v>
      </c>
      <c r="G868">
        <f>RTD("tos.rtd", , "OPEN_INT", ".XLY201120C151.5")</f>
        <v>63</v>
      </c>
      <c r="H868">
        <f>RTD("tos.rtd", , "BID", ".XLY201120C151.5")</f>
        <v>1.7</v>
      </c>
      <c r="I868">
        <f>RTD("tos.rtd", , "ASK", ".XLY201120C151.5")</f>
        <v>2.5099999999999998</v>
      </c>
      <c r="J868">
        <f>RTD("tos.rtd", , "HIGH", ".XLY201120C151.5")</f>
        <v>2.25</v>
      </c>
      <c r="K868">
        <f>RTD("tos.rtd", , "LOW", ".XLY201120C151.5")</f>
        <v>1.65</v>
      </c>
      <c r="L868">
        <f>RTD("tos.rtd", , "OPEN", ".XLY201120C151.5")</f>
        <v>2.25</v>
      </c>
      <c r="M868" t="str">
        <f>RTD("tos.rtd", , "DELTA", ".XLY201120C151.5")</f>
        <v>N/A</v>
      </c>
      <c r="N868" t="str">
        <f>RTD("tos.rtd", , "GAMMA", ".XLY201120C151.5")</f>
        <v>N/A</v>
      </c>
      <c r="O868" t="str">
        <f>RTD("tos.rtd", , "THETA", ".XLY201120C151.5")</f>
        <v>N/A</v>
      </c>
      <c r="P868" t="str">
        <f>RTD("tos.rtd", , "VEGA", ".XLY201120C151.5")</f>
        <v>N/A</v>
      </c>
      <c r="Q868" t="str">
        <f>RTD("tos.rtd", , "RHO", ".XLY201120C151.5")</f>
        <v>N/A</v>
      </c>
      <c r="R868" t="str">
        <f>RTD("tos.rtd", , "INTRINSIC", ".XLY201120C151.5")</f>
        <v>N/A</v>
      </c>
      <c r="S868" t="str">
        <f>RTD("tos.rtd", , "EXTRINSIC", ".XLY201120C151.5")</f>
        <v>N/A</v>
      </c>
      <c r="T868" t="str">
        <f>RTD("tos.rtd", , "PROB_OF_EXPIRING", ".XLY201120C151.5")</f>
        <v>N/A</v>
      </c>
      <c r="U868" t="str">
        <f>RTD("tos.rtd", , "PROB_OTM", ".XLY201120C151.5")</f>
        <v>N/A</v>
      </c>
      <c r="V868" t="str">
        <f>RTD("tos.rtd", , "PROB_OF_TOUCHING", ".XLY201120C151.5")</f>
        <v>N/A</v>
      </c>
      <c r="W868" t="str">
        <f>RTD("tos.rtd", , "STRIKE", ".XLY201120C151.5")</f>
        <v>N/A</v>
      </c>
    </row>
    <row r="869" spans="1:23" x14ac:dyDescent="0.45">
      <c r="A869" t="s">
        <v>890</v>
      </c>
      <c r="B869" t="str">
        <f>RTD("tos.rtd", , "DESCRIPTION", ".XLY201120P151.5")</f>
        <v>N/A</v>
      </c>
      <c r="C869" t="str">
        <f>RTD("tos.rtd", , "PUT_CALL_RATIO", ".XLY201120P151.5")</f>
        <v>N/A</v>
      </c>
      <c r="D869" t="str">
        <f>RTD("tos.rtd", , "IMPL_VOL", ".XLY201120P151.5")</f>
        <v>N/A</v>
      </c>
      <c r="E869" t="str">
        <f>RTD("tos.rtd", , "LAST", ".XLY201120P151.5")</f>
        <v>N/A</v>
      </c>
      <c r="F869" t="str">
        <f>RTD("tos.rtd", , "VOLUME", ".XLY201120P151.5")</f>
        <v>N/A</v>
      </c>
      <c r="G869" t="str">
        <f>RTD("tos.rtd", , "OPEN_INT", ".XLY201120P151.5")</f>
        <v>N/A</v>
      </c>
      <c r="H869" t="str">
        <f>RTD("tos.rtd", , "BID", ".XLY201120P151.5")</f>
        <v>N/A</v>
      </c>
      <c r="I869" t="str">
        <f>RTD("tos.rtd", , "ASK", ".XLY201120P151.5")</f>
        <v>N/A</v>
      </c>
      <c r="J869" t="str">
        <f>RTD("tos.rtd", , "HIGH", ".XLY201120P151.5")</f>
        <v>N/A</v>
      </c>
      <c r="K869" t="str">
        <f>RTD("tos.rtd", , "LOW", ".XLY201120P151.5")</f>
        <v>N/A</v>
      </c>
      <c r="L869" t="str">
        <f>RTD("tos.rtd", , "OPEN", ".XLY201120P151.5")</f>
        <v>N/A</v>
      </c>
      <c r="M869" t="str">
        <f>RTD("tos.rtd", , "DELTA", ".XLY201120P151.5")</f>
        <v>N/A</v>
      </c>
      <c r="N869" t="str">
        <f>RTD("tos.rtd", , "GAMMA", ".XLY201120P151.5")</f>
        <v>N/A</v>
      </c>
      <c r="O869" t="str">
        <f>RTD("tos.rtd", , "THETA", ".XLY201120P151.5")</f>
        <v>N/A</v>
      </c>
      <c r="P869" t="str">
        <f>RTD("tos.rtd", , "VEGA", ".XLY201120P151.5")</f>
        <v>N/A</v>
      </c>
      <c r="Q869" t="str">
        <f>RTD("tos.rtd", , "RHO", ".XLY201120P151.5")</f>
        <v>N/A</v>
      </c>
      <c r="R869" t="str">
        <f>RTD("tos.rtd", , "INTRINSIC", ".XLY201120P151.5")</f>
        <v>N/A</v>
      </c>
      <c r="S869" t="str">
        <f>RTD("tos.rtd", , "EXTRINSIC", ".XLY201120P151.5")</f>
        <v>N/A</v>
      </c>
      <c r="T869" t="str">
        <f>RTD("tos.rtd", , "PROB_OF_EXPIRING", ".XLY201120P151.5")</f>
        <v>N/A</v>
      </c>
      <c r="U869" t="str">
        <f>RTD("tos.rtd", , "PROB_OTM", ".XLY201120P151.5")</f>
        <v>N/A</v>
      </c>
      <c r="V869" t="str">
        <f>RTD("tos.rtd", , "PROB_OF_TOUCHING", ".XLY201120P151.5")</f>
        <v>N/A</v>
      </c>
      <c r="W869" t="str">
        <f>RTD("tos.rtd", , "STRIKE", ".XLY201120P151.5")</f>
        <v>N/A</v>
      </c>
    </row>
    <row r="870" spans="1:23" x14ac:dyDescent="0.45">
      <c r="A870" t="s">
        <v>891</v>
      </c>
      <c r="B870" t="str">
        <f>RTD("tos.rtd", , "DESCRIPTION", ".XLY201120C152")</f>
        <v>N/A</v>
      </c>
      <c r="C870" t="str">
        <f>RTD("tos.rtd", , "PUT_CALL_RATIO", ".XLY201120C152")</f>
        <v>N/A</v>
      </c>
      <c r="D870" t="str">
        <f>RTD("tos.rtd", , "IMPL_VOL", ".XLY201120C152")</f>
        <v>N/A</v>
      </c>
      <c r="E870">
        <f>RTD("tos.rtd", , "LAST", ".XLY201120C152")</f>
        <v>1.47</v>
      </c>
      <c r="F870">
        <f>RTD("tos.rtd", , "VOLUME", ".XLY201120C152")</f>
        <v>51</v>
      </c>
      <c r="G870">
        <f>RTD("tos.rtd", , "OPEN_INT", ".XLY201120C152")</f>
        <v>163</v>
      </c>
      <c r="H870">
        <f>RTD("tos.rtd", , "BID", ".XLY201120C152")</f>
        <v>1.43</v>
      </c>
      <c r="I870">
        <f>RTD("tos.rtd", , "ASK", ".XLY201120C152")</f>
        <v>2.25</v>
      </c>
      <c r="J870">
        <f>RTD("tos.rtd", , "HIGH", ".XLY201120C152")</f>
        <v>2.13</v>
      </c>
      <c r="K870">
        <f>RTD("tos.rtd", , "LOW", ".XLY201120C152")</f>
        <v>1.37</v>
      </c>
      <c r="L870">
        <f>RTD("tos.rtd", , "OPEN", ".XLY201120C152")</f>
        <v>2.13</v>
      </c>
      <c r="M870" t="str">
        <f>RTD("tos.rtd", , "DELTA", ".XLY201120C152")</f>
        <v>N/A</v>
      </c>
      <c r="N870" t="str">
        <f>RTD("tos.rtd", , "GAMMA", ".XLY201120C152")</f>
        <v>N/A</v>
      </c>
      <c r="O870" t="str">
        <f>RTD("tos.rtd", , "THETA", ".XLY201120C152")</f>
        <v>N/A</v>
      </c>
      <c r="P870" t="str">
        <f>RTD("tos.rtd", , "VEGA", ".XLY201120C152")</f>
        <v>N/A</v>
      </c>
      <c r="Q870" t="str">
        <f>RTD("tos.rtd", , "RHO", ".XLY201120C152")</f>
        <v>N/A</v>
      </c>
      <c r="R870" t="str">
        <f>RTD("tos.rtd", , "INTRINSIC", ".XLY201120C152")</f>
        <v>N/A</v>
      </c>
      <c r="S870" t="str">
        <f>RTD("tos.rtd", , "EXTRINSIC", ".XLY201120C152")</f>
        <v>N/A</v>
      </c>
      <c r="T870" t="str">
        <f>RTD("tos.rtd", , "PROB_OF_EXPIRING", ".XLY201120C152")</f>
        <v>N/A</v>
      </c>
      <c r="U870" t="str">
        <f>RTD("tos.rtd", , "PROB_OTM", ".XLY201120C152")</f>
        <v>N/A</v>
      </c>
      <c r="V870" t="str">
        <f>RTD("tos.rtd", , "PROB_OF_TOUCHING", ".XLY201120C152")</f>
        <v>N/A</v>
      </c>
      <c r="W870" t="str">
        <f>RTD("tos.rtd", , "STRIKE", ".XLY201120C152")</f>
        <v>N/A</v>
      </c>
    </row>
    <row r="871" spans="1:23" x14ac:dyDescent="0.45">
      <c r="A871" t="s">
        <v>892</v>
      </c>
      <c r="B871" t="str">
        <f>RTD("tos.rtd", , "DESCRIPTION", ".XLY201120P152")</f>
        <v>N/A</v>
      </c>
      <c r="C871" t="str">
        <f>RTD("tos.rtd", , "PUT_CALL_RATIO", ".XLY201120P152")</f>
        <v>N/A</v>
      </c>
      <c r="D871" t="str">
        <f>RTD("tos.rtd", , "IMPL_VOL", ".XLY201120P152")</f>
        <v>N/A</v>
      </c>
      <c r="E871" t="str">
        <f>RTD("tos.rtd", , "LAST", ".XLY201120P152")</f>
        <v>N/A</v>
      </c>
      <c r="F871" t="str">
        <f>RTD("tos.rtd", , "VOLUME", ".XLY201120P152")</f>
        <v>N/A</v>
      </c>
      <c r="G871" t="str">
        <f>RTD("tos.rtd", , "OPEN_INT", ".XLY201120P152")</f>
        <v>N/A</v>
      </c>
      <c r="H871" t="str">
        <f>RTD("tos.rtd", , "BID", ".XLY201120P152")</f>
        <v>N/A</v>
      </c>
      <c r="I871" t="str">
        <f>RTD("tos.rtd", , "ASK", ".XLY201120P152")</f>
        <v>N/A</v>
      </c>
      <c r="J871" t="str">
        <f>RTD("tos.rtd", , "HIGH", ".XLY201120P152")</f>
        <v>N/A</v>
      </c>
      <c r="K871" t="str">
        <f>RTD("tos.rtd", , "LOW", ".XLY201120P152")</f>
        <v>N/A</v>
      </c>
      <c r="L871" t="str">
        <f>RTD("tos.rtd", , "OPEN", ".XLY201120P152")</f>
        <v>N/A</v>
      </c>
      <c r="M871" t="str">
        <f>RTD("tos.rtd", , "DELTA", ".XLY201120P152")</f>
        <v>N/A</v>
      </c>
      <c r="N871" t="str">
        <f>RTD("tos.rtd", , "GAMMA", ".XLY201120P152")</f>
        <v>N/A</v>
      </c>
      <c r="O871" t="str">
        <f>RTD("tos.rtd", , "THETA", ".XLY201120P152")</f>
        <v>N/A</v>
      </c>
      <c r="P871" t="str">
        <f>RTD("tos.rtd", , "VEGA", ".XLY201120P152")</f>
        <v>N/A</v>
      </c>
      <c r="Q871" t="str">
        <f>RTD("tos.rtd", , "RHO", ".XLY201120P152")</f>
        <v>N/A</v>
      </c>
      <c r="R871" t="str">
        <f>RTD("tos.rtd", , "INTRINSIC", ".XLY201120P152")</f>
        <v>N/A</v>
      </c>
      <c r="S871" t="str">
        <f>RTD("tos.rtd", , "EXTRINSIC", ".XLY201120P152")</f>
        <v>N/A</v>
      </c>
      <c r="T871" t="str">
        <f>RTD("tos.rtd", , "PROB_OF_EXPIRING", ".XLY201120P152")</f>
        <v>N/A</v>
      </c>
      <c r="U871" t="str">
        <f>RTD("tos.rtd", , "PROB_OTM", ".XLY201120P152")</f>
        <v>N/A</v>
      </c>
      <c r="V871" t="str">
        <f>RTD("tos.rtd", , "PROB_OF_TOUCHING", ".XLY201120P152")</f>
        <v>N/A</v>
      </c>
      <c r="W871" t="str">
        <f>RTD("tos.rtd", , "STRIKE", ".XLY201120P152")</f>
        <v>N/A</v>
      </c>
    </row>
    <row r="872" spans="1:23" x14ac:dyDescent="0.45">
      <c r="A872" t="s">
        <v>893</v>
      </c>
      <c r="B872" t="str">
        <f>RTD("tos.rtd", , "DESCRIPTION", ".XLY201120C152.5")</f>
        <v>N/A</v>
      </c>
      <c r="C872" t="str">
        <f>RTD("tos.rtd", , "PUT_CALL_RATIO", ".XLY201120C152.5")</f>
        <v>N/A</v>
      </c>
      <c r="D872" t="str">
        <f>RTD("tos.rtd", , "IMPL_VOL", ".XLY201120C152.5")</f>
        <v>N/A</v>
      </c>
      <c r="E872" t="str">
        <f>RTD("tos.rtd", , "LAST", ".XLY201120C152.5")</f>
        <v>N/A</v>
      </c>
      <c r="F872" t="str">
        <f>RTD("tos.rtd", , "VOLUME", ".XLY201120C152.5")</f>
        <v>N/A</v>
      </c>
      <c r="G872" t="str">
        <f>RTD("tos.rtd", , "OPEN_INT", ".XLY201120C152.5")</f>
        <v>N/A</v>
      </c>
      <c r="H872" t="str">
        <f>RTD("tos.rtd", , "BID", ".XLY201120C152.5")</f>
        <v>N/A</v>
      </c>
      <c r="I872" t="str">
        <f>RTD("tos.rtd", , "ASK", ".XLY201120C152.5")</f>
        <v>N/A</v>
      </c>
      <c r="J872" t="str">
        <f>RTD("tos.rtd", , "HIGH", ".XLY201120C152.5")</f>
        <v>N/A</v>
      </c>
      <c r="K872" t="str">
        <f>RTD("tos.rtd", , "LOW", ".XLY201120C152.5")</f>
        <v>N/A</v>
      </c>
      <c r="L872" t="str">
        <f>RTD("tos.rtd", , "OPEN", ".XLY201120C152.5")</f>
        <v>N/A</v>
      </c>
      <c r="M872" t="str">
        <f>RTD("tos.rtd", , "DELTA", ".XLY201120C152.5")</f>
        <v>N/A</v>
      </c>
      <c r="N872" t="str">
        <f>RTD("tos.rtd", , "GAMMA", ".XLY201120C152.5")</f>
        <v>N/A</v>
      </c>
      <c r="O872" t="str">
        <f>RTD("tos.rtd", , "THETA", ".XLY201120C152.5")</f>
        <v>N/A</v>
      </c>
      <c r="P872" t="str">
        <f>RTD("tos.rtd", , "VEGA", ".XLY201120C152.5")</f>
        <v>N/A</v>
      </c>
      <c r="Q872" t="str">
        <f>RTD("tos.rtd", , "RHO", ".XLY201120C152.5")</f>
        <v>N/A</v>
      </c>
      <c r="R872" t="str">
        <f>RTD("tos.rtd", , "INTRINSIC", ".XLY201120C152.5")</f>
        <v>N/A</v>
      </c>
      <c r="S872" t="str">
        <f>RTD("tos.rtd", , "EXTRINSIC", ".XLY201120C152.5")</f>
        <v>N/A</v>
      </c>
      <c r="T872" t="str">
        <f>RTD("tos.rtd", , "PROB_OF_EXPIRING", ".XLY201120C152.5")</f>
        <v>N/A</v>
      </c>
      <c r="U872" t="str">
        <f>RTD("tos.rtd", , "PROB_OTM", ".XLY201120C152.5")</f>
        <v>N/A</v>
      </c>
      <c r="V872" t="str">
        <f>RTD("tos.rtd", , "PROB_OF_TOUCHING", ".XLY201120C152.5")</f>
        <v>N/A</v>
      </c>
      <c r="W872" t="str">
        <f>RTD("tos.rtd", , "STRIKE", ".XLY201120C152.5")</f>
        <v>N/A</v>
      </c>
    </row>
    <row r="873" spans="1:23" x14ac:dyDescent="0.45">
      <c r="A873" t="s">
        <v>894</v>
      </c>
      <c r="B873" t="str">
        <f>RTD("tos.rtd", , "DESCRIPTION", ".XLY201120P152.5")</f>
        <v>N/A</v>
      </c>
      <c r="C873" t="str">
        <f>RTD("tos.rtd", , "PUT_CALL_RATIO", ".XLY201120P152.5")</f>
        <v>N/A</v>
      </c>
      <c r="D873" t="str">
        <f>RTD("tos.rtd", , "IMPL_VOL", ".XLY201120P152.5")</f>
        <v>N/A</v>
      </c>
      <c r="E873" t="str">
        <f>RTD("tos.rtd", , "LAST", ".XLY201120P152.5")</f>
        <v>N/A</v>
      </c>
      <c r="F873" t="str">
        <f>RTD("tos.rtd", , "VOLUME", ".XLY201120P152.5")</f>
        <v>N/A</v>
      </c>
      <c r="G873" t="str">
        <f>RTD("tos.rtd", , "OPEN_INT", ".XLY201120P152.5")</f>
        <v>N/A</v>
      </c>
      <c r="H873" t="str">
        <f>RTD("tos.rtd", , "BID", ".XLY201120P152.5")</f>
        <v>N/A</v>
      </c>
      <c r="I873" t="str">
        <f>RTD("tos.rtd", , "ASK", ".XLY201120P152.5")</f>
        <v>N/A</v>
      </c>
      <c r="J873" t="str">
        <f>RTD("tos.rtd", , "HIGH", ".XLY201120P152.5")</f>
        <v>N/A</v>
      </c>
      <c r="K873" t="str">
        <f>RTD("tos.rtd", , "LOW", ".XLY201120P152.5")</f>
        <v>N/A</v>
      </c>
      <c r="L873" t="str">
        <f>RTD("tos.rtd", , "OPEN", ".XLY201120P152.5")</f>
        <v>N/A</v>
      </c>
      <c r="M873" t="str">
        <f>RTD("tos.rtd", , "DELTA", ".XLY201120P152.5")</f>
        <v>N/A</v>
      </c>
      <c r="N873" t="str">
        <f>RTD("tos.rtd", , "GAMMA", ".XLY201120P152.5")</f>
        <v>N/A</v>
      </c>
      <c r="O873" t="str">
        <f>RTD("tos.rtd", , "THETA", ".XLY201120P152.5")</f>
        <v>N/A</v>
      </c>
      <c r="P873" t="str">
        <f>RTD("tos.rtd", , "VEGA", ".XLY201120P152.5")</f>
        <v>N/A</v>
      </c>
      <c r="Q873" t="str">
        <f>RTD("tos.rtd", , "RHO", ".XLY201120P152.5")</f>
        <v>N/A</v>
      </c>
      <c r="R873" t="str">
        <f>RTD("tos.rtd", , "INTRINSIC", ".XLY201120P152.5")</f>
        <v>N/A</v>
      </c>
      <c r="S873" t="str">
        <f>RTD("tos.rtd", , "EXTRINSIC", ".XLY201120P152.5")</f>
        <v>N/A</v>
      </c>
      <c r="T873" t="str">
        <f>RTD("tos.rtd", , "PROB_OF_EXPIRING", ".XLY201120P152.5")</f>
        <v>N/A</v>
      </c>
      <c r="U873" t="str">
        <f>RTD("tos.rtd", , "PROB_OTM", ".XLY201120P152.5")</f>
        <v>N/A</v>
      </c>
      <c r="V873" t="str">
        <f>RTD("tos.rtd", , "PROB_OF_TOUCHING", ".XLY201120P152.5")</f>
        <v>N/A</v>
      </c>
      <c r="W873" t="str">
        <f>RTD("tos.rtd", , "STRIKE", ".XLY201120P152.5")</f>
        <v>N/A</v>
      </c>
    </row>
    <row r="874" spans="1:23" x14ac:dyDescent="0.45">
      <c r="A874" t="s">
        <v>895</v>
      </c>
      <c r="B874" t="str">
        <f>RTD("tos.rtd", , "DESCRIPTION", ".XLY201120C153")</f>
        <v>N/A</v>
      </c>
      <c r="C874" t="str">
        <f>RTD("tos.rtd", , "PUT_CALL_RATIO", ".XLY201120C153")</f>
        <v>N/A</v>
      </c>
      <c r="D874" t="str">
        <f>RTD("tos.rtd", , "IMPL_VOL", ".XLY201120C153")</f>
        <v>N/A</v>
      </c>
      <c r="E874">
        <f>RTD("tos.rtd", , "LAST", ".XLY201120C153")</f>
        <v>0</v>
      </c>
      <c r="F874" t="str">
        <f>RTD("tos.rtd", , "VOLUME", ".XLY201120C153")</f>
        <v>N/A</v>
      </c>
      <c r="G874" t="str">
        <f>RTD("tos.rtd", , "OPEN_INT", ".XLY201120C153")</f>
        <v>N/A</v>
      </c>
      <c r="H874">
        <f>RTD("tos.rtd", , "BID", ".XLY201120C153")</f>
        <v>1.24</v>
      </c>
      <c r="I874">
        <f>RTD("tos.rtd", , "ASK", ".XLY201120C153")</f>
        <v>1.79</v>
      </c>
      <c r="J874" t="str">
        <f>RTD("tos.rtd", , "HIGH", ".XLY201120C153")</f>
        <v>N/A</v>
      </c>
      <c r="K874" t="str">
        <f>RTD("tos.rtd", , "LOW", ".XLY201120C153")</f>
        <v>N/A</v>
      </c>
      <c r="L874" t="str">
        <f>RTD("tos.rtd", , "OPEN", ".XLY201120C153")</f>
        <v>N/A</v>
      </c>
      <c r="M874" t="str">
        <f>RTD("tos.rtd", , "DELTA", ".XLY201120C153")</f>
        <v>N/A</v>
      </c>
      <c r="N874" t="str">
        <f>RTD("tos.rtd", , "GAMMA", ".XLY201120C153")</f>
        <v>N/A</v>
      </c>
      <c r="O874" t="str">
        <f>RTD("tos.rtd", , "THETA", ".XLY201120C153")</f>
        <v>N/A</v>
      </c>
      <c r="P874" t="str">
        <f>RTD("tos.rtd", , "VEGA", ".XLY201120C153")</f>
        <v>N/A</v>
      </c>
      <c r="Q874" t="str">
        <f>RTD("tos.rtd", , "RHO", ".XLY201120C153")</f>
        <v>N/A</v>
      </c>
      <c r="R874" t="str">
        <f>RTD("tos.rtd", , "INTRINSIC", ".XLY201120C153")</f>
        <v>N/A</v>
      </c>
      <c r="S874" t="str">
        <f>RTD("tos.rtd", , "EXTRINSIC", ".XLY201120C153")</f>
        <v>N/A</v>
      </c>
      <c r="T874" t="str">
        <f>RTD("tos.rtd", , "PROB_OF_EXPIRING", ".XLY201120C153")</f>
        <v>N/A</v>
      </c>
      <c r="U874" t="str">
        <f>RTD("tos.rtd", , "PROB_OTM", ".XLY201120C153")</f>
        <v>N/A</v>
      </c>
      <c r="V874" t="str">
        <f>RTD("tos.rtd", , "PROB_OF_TOUCHING", ".XLY201120C153")</f>
        <v>N/A</v>
      </c>
      <c r="W874" t="str">
        <f>RTD("tos.rtd", , "STRIKE", ".XLY201120C153")</f>
        <v>N/A</v>
      </c>
    </row>
    <row r="875" spans="1:23" x14ac:dyDescent="0.45">
      <c r="A875" t="s">
        <v>896</v>
      </c>
      <c r="B875" t="str">
        <f>RTD("tos.rtd", , "DESCRIPTION", ".XLY201120P153")</f>
        <v>N/A</v>
      </c>
      <c r="C875" t="str">
        <f>RTD("tos.rtd", , "PUT_CALL_RATIO", ".XLY201120P153")</f>
        <v>N/A</v>
      </c>
      <c r="D875" t="str">
        <f>RTD("tos.rtd", , "IMPL_VOL", ".XLY201120P153")</f>
        <v>N/A</v>
      </c>
      <c r="E875" t="str">
        <f>RTD("tos.rtd", , "LAST", ".XLY201120P153")</f>
        <v>N/A</v>
      </c>
      <c r="F875" t="str">
        <f>RTD("tos.rtd", , "VOLUME", ".XLY201120P153")</f>
        <v>N/A</v>
      </c>
      <c r="G875" t="str">
        <f>RTD("tos.rtd", , "OPEN_INT", ".XLY201120P153")</f>
        <v>N/A</v>
      </c>
      <c r="H875" t="str">
        <f>RTD("tos.rtd", , "BID", ".XLY201120P153")</f>
        <v>N/A</v>
      </c>
      <c r="I875" t="str">
        <f>RTD("tos.rtd", , "ASK", ".XLY201120P153")</f>
        <v>N/A</v>
      </c>
      <c r="J875" t="str">
        <f>RTD("tos.rtd", , "HIGH", ".XLY201120P153")</f>
        <v>N/A</v>
      </c>
      <c r="K875" t="str">
        <f>RTD("tos.rtd", , "LOW", ".XLY201120P153")</f>
        <v>N/A</v>
      </c>
      <c r="L875" t="str">
        <f>RTD("tos.rtd", , "OPEN", ".XLY201120P153")</f>
        <v>N/A</v>
      </c>
      <c r="M875" t="str">
        <f>RTD("tos.rtd", , "DELTA", ".XLY201120P153")</f>
        <v>N/A</v>
      </c>
      <c r="N875" t="str">
        <f>RTD("tos.rtd", , "GAMMA", ".XLY201120P153")</f>
        <v>N/A</v>
      </c>
      <c r="O875" t="str">
        <f>RTD("tos.rtd", , "THETA", ".XLY201120P153")</f>
        <v>N/A</v>
      </c>
      <c r="P875" t="str">
        <f>RTD("tos.rtd", , "VEGA", ".XLY201120P153")</f>
        <v>N/A</v>
      </c>
      <c r="Q875" t="str">
        <f>RTD("tos.rtd", , "RHO", ".XLY201120P153")</f>
        <v>N/A</v>
      </c>
      <c r="R875" t="str">
        <f>RTD("tos.rtd", , "INTRINSIC", ".XLY201120P153")</f>
        <v>N/A</v>
      </c>
      <c r="S875" t="str">
        <f>RTD("tos.rtd", , "EXTRINSIC", ".XLY201120P153")</f>
        <v>N/A</v>
      </c>
      <c r="T875" t="str">
        <f>RTD("tos.rtd", , "PROB_OF_EXPIRING", ".XLY201120P153")</f>
        <v>N/A</v>
      </c>
      <c r="U875" t="str">
        <f>RTD("tos.rtd", , "PROB_OTM", ".XLY201120P153")</f>
        <v>N/A</v>
      </c>
      <c r="V875" t="str">
        <f>RTD("tos.rtd", , "PROB_OF_TOUCHING", ".XLY201120P153")</f>
        <v>N/A</v>
      </c>
      <c r="W875" t="str">
        <f>RTD("tos.rtd", , "STRIKE", ".XLY201120P153")</f>
        <v>N/A</v>
      </c>
    </row>
    <row r="876" spans="1:23" x14ac:dyDescent="0.45">
      <c r="A876" t="s">
        <v>897</v>
      </c>
      <c r="B876" t="str">
        <f>RTD("tos.rtd", , "DESCRIPTION", ".XLY201120C153.5")</f>
        <v>N/A</v>
      </c>
      <c r="C876" t="str">
        <f>RTD("tos.rtd", , "PUT_CALL_RATIO", ".XLY201120C153.5")</f>
        <v>N/A</v>
      </c>
      <c r="D876" t="str">
        <f>RTD("tos.rtd", , "IMPL_VOL", ".XLY201120C153.5")</f>
        <v>N/A</v>
      </c>
      <c r="E876" t="str">
        <f>RTD("tos.rtd", , "LAST", ".XLY201120C153.5")</f>
        <v>N/A</v>
      </c>
      <c r="F876" t="str">
        <f>RTD("tos.rtd", , "VOLUME", ".XLY201120C153.5")</f>
        <v>N/A</v>
      </c>
      <c r="G876" t="str">
        <f>RTD("tos.rtd", , "OPEN_INT", ".XLY201120C153.5")</f>
        <v>N/A</v>
      </c>
      <c r="H876" t="str">
        <f>RTD("tos.rtd", , "BID", ".XLY201120C153.5")</f>
        <v>N/A</v>
      </c>
      <c r="I876" t="str">
        <f>RTD("tos.rtd", , "ASK", ".XLY201120C153.5")</f>
        <v>N/A</v>
      </c>
      <c r="J876" t="str">
        <f>RTD("tos.rtd", , "HIGH", ".XLY201120C153.5")</f>
        <v>N/A</v>
      </c>
      <c r="K876" t="str">
        <f>RTD("tos.rtd", , "LOW", ".XLY201120C153.5")</f>
        <v>N/A</v>
      </c>
      <c r="L876" t="str">
        <f>RTD("tos.rtd", , "OPEN", ".XLY201120C153.5")</f>
        <v>N/A</v>
      </c>
      <c r="M876" t="str">
        <f>RTD("tos.rtd", , "DELTA", ".XLY201120C153.5")</f>
        <v>N/A</v>
      </c>
      <c r="N876" t="str">
        <f>RTD("tos.rtd", , "GAMMA", ".XLY201120C153.5")</f>
        <v>N/A</v>
      </c>
      <c r="O876" t="str">
        <f>RTD("tos.rtd", , "THETA", ".XLY201120C153.5")</f>
        <v>N/A</v>
      </c>
      <c r="P876" t="str">
        <f>RTD("tos.rtd", , "VEGA", ".XLY201120C153.5")</f>
        <v>N/A</v>
      </c>
      <c r="Q876" t="str">
        <f>RTD("tos.rtd", , "RHO", ".XLY201120C153.5")</f>
        <v>N/A</v>
      </c>
      <c r="R876" t="str">
        <f>RTD("tos.rtd", , "INTRINSIC", ".XLY201120C153.5")</f>
        <v>N/A</v>
      </c>
      <c r="S876" t="str">
        <f>RTD("tos.rtd", , "EXTRINSIC", ".XLY201120C153.5")</f>
        <v>N/A</v>
      </c>
      <c r="T876" t="str">
        <f>RTD("tos.rtd", , "PROB_OF_EXPIRING", ".XLY201120C153.5")</f>
        <v>N/A</v>
      </c>
      <c r="U876" t="str">
        <f>RTD("tos.rtd", , "PROB_OTM", ".XLY201120C153.5")</f>
        <v>N/A</v>
      </c>
      <c r="V876" t="str">
        <f>RTD("tos.rtd", , "PROB_OF_TOUCHING", ".XLY201120C153.5")</f>
        <v>N/A</v>
      </c>
      <c r="W876" t="str">
        <f>RTD("tos.rtd", , "STRIKE", ".XLY201120C153.5")</f>
        <v>N/A</v>
      </c>
    </row>
    <row r="877" spans="1:23" x14ac:dyDescent="0.45">
      <c r="A877" t="s">
        <v>898</v>
      </c>
      <c r="B877" t="str">
        <f>RTD("tos.rtd", , "DESCRIPTION", ".XLY201120P153.5")</f>
        <v>N/A</v>
      </c>
      <c r="C877" t="str">
        <f>RTD("tos.rtd", , "PUT_CALL_RATIO", ".XLY201120P153.5")</f>
        <v>N/A</v>
      </c>
      <c r="D877" t="str">
        <f>RTD("tos.rtd", , "IMPL_VOL", ".XLY201120P153.5")</f>
        <v>N/A</v>
      </c>
      <c r="E877">
        <f>RTD("tos.rtd", , "LAST", ".XLY201120P153.5")</f>
        <v>0</v>
      </c>
      <c r="F877" t="str">
        <f>RTD("tos.rtd", , "VOLUME", ".XLY201120P153.5")</f>
        <v>N/A</v>
      </c>
      <c r="G877" t="str">
        <f>RTD("tos.rtd", , "OPEN_INT", ".XLY201120P153.5")</f>
        <v>N/A</v>
      </c>
      <c r="H877">
        <f>RTD("tos.rtd", , "BID", ".XLY201120P153.5")</f>
        <v>2.84</v>
      </c>
      <c r="I877">
        <f>RTD("tos.rtd", , "ASK", ".XLY201120P153.5")</f>
        <v>3.75</v>
      </c>
      <c r="J877" t="str">
        <f>RTD("tos.rtd", , "HIGH", ".XLY201120P153.5")</f>
        <v>N/A</v>
      </c>
      <c r="K877" t="str">
        <f>RTD("tos.rtd", , "LOW", ".XLY201120P153.5")</f>
        <v>N/A</v>
      </c>
      <c r="L877" t="str">
        <f>RTD("tos.rtd", , "OPEN", ".XLY201120P153.5")</f>
        <v>N/A</v>
      </c>
      <c r="M877" t="str">
        <f>RTD("tos.rtd", , "DELTA", ".XLY201120P153.5")</f>
        <v>N/A</v>
      </c>
      <c r="N877" t="str">
        <f>RTD("tos.rtd", , "GAMMA", ".XLY201120P153.5")</f>
        <v>N/A</v>
      </c>
      <c r="O877" t="str">
        <f>RTD("tos.rtd", , "THETA", ".XLY201120P153.5")</f>
        <v>N/A</v>
      </c>
      <c r="P877" t="str">
        <f>RTD("tos.rtd", , "VEGA", ".XLY201120P153.5")</f>
        <v>N/A</v>
      </c>
      <c r="Q877" t="str">
        <f>RTD("tos.rtd", , "RHO", ".XLY201120P153.5")</f>
        <v>N/A</v>
      </c>
      <c r="R877" t="str">
        <f>RTD("tos.rtd", , "INTRINSIC", ".XLY201120P153.5")</f>
        <v>N/A</v>
      </c>
      <c r="S877" t="str">
        <f>RTD("tos.rtd", , "EXTRINSIC", ".XLY201120P153.5")</f>
        <v>N/A</v>
      </c>
      <c r="T877" t="str">
        <f>RTD("tos.rtd", , "PROB_OF_EXPIRING", ".XLY201120P153.5")</f>
        <v>N/A</v>
      </c>
      <c r="U877" t="str">
        <f>RTD("tos.rtd", , "PROB_OTM", ".XLY201120P153.5")</f>
        <v>N/A</v>
      </c>
      <c r="V877" t="str">
        <f>RTD("tos.rtd", , "PROB_OF_TOUCHING", ".XLY201120P153.5")</f>
        <v>N/A</v>
      </c>
      <c r="W877" t="str">
        <f>RTD("tos.rtd", , "STRIKE", ".XLY201120P153.5")</f>
        <v>N/A</v>
      </c>
    </row>
    <row r="878" spans="1:23" x14ac:dyDescent="0.45">
      <c r="A878" t="s">
        <v>899</v>
      </c>
      <c r="B878" t="str">
        <f>RTD("tos.rtd", , "DESCRIPTION", ".XLY201120C154")</f>
        <v>N/A</v>
      </c>
      <c r="C878" t="str">
        <f>RTD("tos.rtd", , "PUT_CALL_RATIO", ".XLY201120C154")</f>
        <v>N/A</v>
      </c>
      <c r="D878" t="str">
        <f>RTD("tos.rtd", , "IMPL_VOL", ".XLY201120C154")</f>
        <v>N/A</v>
      </c>
      <c r="E878">
        <f>RTD("tos.rtd", , "LAST", ".XLY201120C154")</f>
        <v>1.1399999999999999</v>
      </c>
      <c r="F878">
        <f>RTD("tos.rtd", , "VOLUME", ".XLY201120C154")</f>
        <v>2</v>
      </c>
      <c r="G878">
        <f>RTD("tos.rtd", , "OPEN_INT", ".XLY201120C154")</f>
        <v>171</v>
      </c>
      <c r="H878">
        <f>RTD("tos.rtd", , "BID", ".XLY201120C154")</f>
        <v>0.59</v>
      </c>
      <c r="I878">
        <f>RTD("tos.rtd", , "ASK", ".XLY201120C154")</f>
        <v>1.42</v>
      </c>
      <c r="J878">
        <f>RTD("tos.rtd", , "HIGH", ".XLY201120C154")</f>
        <v>1.25</v>
      </c>
      <c r="K878">
        <f>RTD("tos.rtd", , "LOW", ".XLY201120C154")</f>
        <v>1.1399999999999999</v>
      </c>
      <c r="L878">
        <f>RTD("tos.rtd", , "OPEN", ".XLY201120C154")</f>
        <v>1.25</v>
      </c>
      <c r="M878" t="str">
        <f>RTD("tos.rtd", , "DELTA", ".XLY201120C154")</f>
        <v>N/A</v>
      </c>
      <c r="N878" t="str">
        <f>RTD("tos.rtd", , "GAMMA", ".XLY201120C154")</f>
        <v>N/A</v>
      </c>
      <c r="O878" t="str">
        <f>RTD("tos.rtd", , "THETA", ".XLY201120C154")</f>
        <v>N/A</v>
      </c>
      <c r="P878" t="str">
        <f>RTD("tos.rtd", , "VEGA", ".XLY201120C154")</f>
        <v>N/A</v>
      </c>
      <c r="Q878" t="str">
        <f>RTD("tos.rtd", , "RHO", ".XLY201120C154")</f>
        <v>N/A</v>
      </c>
      <c r="R878" t="str">
        <f>RTD("tos.rtd", , "INTRINSIC", ".XLY201120C154")</f>
        <v>N/A</v>
      </c>
      <c r="S878" t="str">
        <f>RTD("tos.rtd", , "EXTRINSIC", ".XLY201120C154")</f>
        <v>N/A</v>
      </c>
      <c r="T878" t="str">
        <f>RTD("tos.rtd", , "PROB_OF_EXPIRING", ".XLY201120C154")</f>
        <v>N/A</v>
      </c>
      <c r="U878" t="str">
        <f>RTD("tos.rtd", , "PROB_OTM", ".XLY201120C154")</f>
        <v>N/A</v>
      </c>
      <c r="V878" t="str">
        <f>RTD("tos.rtd", , "PROB_OF_TOUCHING", ".XLY201120C154")</f>
        <v>N/A</v>
      </c>
      <c r="W878" t="str">
        <f>RTD("tos.rtd", , "STRIKE", ".XLY201120C154")</f>
        <v>N/A</v>
      </c>
    </row>
    <row r="879" spans="1:23" x14ac:dyDescent="0.45">
      <c r="A879" t="s">
        <v>900</v>
      </c>
      <c r="B879" t="str">
        <f>RTD("tos.rtd", , "DESCRIPTION", ".XLY201120P154")</f>
        <v>N/A</v>
      </c>
      <c r="C879" t="str">
        <f>RTD("tos.rtd", , "PUT_CALL_RATIO", ".XLY201120P154")</f>
        <v>N/A</v>
      </c>
      <c r="D879" t="str">
        <f>RTD("tos.rtd", , "IMPL_VOL", ".XLY201120P154")</f>
        <v>N/A</v>
      </c>
      <c r="E879" t="str">
        <f>RTD("tos.rtd", , "LAST", ".XLY201120P154")</f>
        <v>N/A</v>
      </c>
      <c r="F879" t="str">
        <f>RTD("tos.rtd", , "VOLUME", ".XLY201120P154")</f>
        <v>N/A</v>
      </c>
      <c r="G879" t="str">
        <f>RTD("tos.rtd", , "OPEN_INT", ".XLY201120P154")</f>
        <v>N/A</v>
      </c>
      <c r="H879" t="str">
        <f>RTD("tos.rtd", , "BID", ".XLY201120P154")</f>
        <v>N/A</v>
      </c>
      <c r="I879" t="str">
        <f>RTD("tos.rtd", , "ASK", ".XLY201120P154")</f>
        <v>N/A</v>
      </c>
      <c r="J879" t="str">
        <f>RTD("tos.rtd", , "HIGH", ".XLY201120P154")</f>
        <v>N/A</v>
      </c>
      <c r="K879" t="str">
        <f>RTD("tos.rtd", , "LOW", ".XLY201120P154")</f>
        <v>N/A</v>
      </c>
      <c r="L879" t="str">
        <f>RTD("tos.rtd", , "OPEN", ".XLY201120P154")</f>
        <v>N/A</v>
      </c>
      <c r="M879" t="str">
        <f>RTD("tos.rtd", , "DELTA", ".XLY201120P154")</f>
        <v>N/A</v>
      </c>
      <c r="N879" t="str">
        <f>RTD("tos.rtd", , "GAMMA", ".XLY201120P154")</f>
        <v>N/A</v>
      </c>
      <c r="O879" t="str">
        <f>RTD("tos.rtd", , "THETA", ".XLY201120P154")</f>
        <v>N/A</v>
      </c>
      <c r="P879" t="str">
        <f>RTD("tos.rtd", , "VEGA", ".XLY201120P154")</f>
        <v>N/A</v>
      </c>
      <c r="Q879" t="str">
        <f>RTD("tos.rtd", , "RHO", ".XLY201120P154")</f>
        <v>N/A</v>
      </c>
      <c r="R879" t="str">
        <f>RTD("tos.rtd", , "INTRINSIC", ".XLY201120P154")</f>
        <v>N/A</v>
      </c>
      <c r="S879" t="str">
        <f>RTD("tos.rtd", , "EXTRINSIC", ".XLY201120P154")</f>
        <v>N/A</v>
      </c>
      <c r="T879" t="str">
        <f>RTD("tos.rtd", , "PROB_OF_EXPIRING", ".XLY201120P154")</f>
        <v>N/A</v>
      </c>
      <c r="U879" t="str">
        <f>RTD("tos.rtd", , "PROB_OTM", ".XLY201120P154")</f>
        <v>N/A</v>
      </c>
      <c r="V879" t="str">
        <f>RTD("tos.rtd", , "PROB_OF_TOUCHING", ".XLY201120P154")</f>
        <v>N/A</v>
      </c>
      <c r="W879" t="str">
        <f>RTD("tos.rtd", , "STRIKE", ".XLY201120P154")</f>
        <v>N/A</v>
      </c>
    </row>
    <row r="880" spans="1:23" x14ac:dyDescent="0.45">
      <c r="A880" t="s">
        <v>901</v>
      </c>
      <c r="B880" t="str">
        <f>RTD("tos.rtd", , "DESCRIPTION", ".XLY201120C154.5")</f>
        <v>N/A</v>
      </c>
      <c r="C880" t="str">
        <f>RTD("tos.rtd", , "PUT_CALL_RATIO", ".XLY201120C154.5")</f>
        <v>N/A</v>
      </c>
      <c r="D880" t="str">
        <f>RTD("tos.rtd", , "IMPL_VOL", ".XLY201120C154.5")</f>
        <v>N/A</v>
      </c>
      <c r="E880" t="str">
        <f>RTD("tos.rtd", , "LAST", ".XLY201120C154.5")</f>
        <v>N/A</v>
      </c>
      <c r="F880" t="str">
        <f>RTD("tos.rtd", , "VOLUME", ".XLY201120C154.5")</f>
        <v>N/A</v>
      </c>
      <c r="G880" t="str">
        <f>RTD("tos.rtd", , "OPEN_INT", ".XLY201120C154.5")</f>
        <v>N/A</v>
      </c>
      <c r="H880" t="str">
        <f>RTD("tos.rtd", , "BID", ".XLY201120C154.5")</f>
        <v>N/A</v>
      </c>
      <c r="I880" t="str">
        <f>RTD("tos.rtd", , "ASK", ".XLY201120C154.5")</f>
        <v>N/A</v>
      </c>
      <c r="J880" t="str">
        <f>RTD("tos.rtd", , "HIGH", ".XLY201120C154.5")</f>
        <v>N/A</v>
      </c>
      <c r="K880" t="str">
        <f>RTD("tos.rtd", , "LOW", ".XLY201120C154.5")</f>
        <v>N/A</v>
      </c>
      <c r="L880" t="str">
        <f>RTD("tos.rtd", , "OPEN", ".XLY201120C154.5")</f>
        <v>N/A</v>
      </c>
      <c r="M880" t="str">
        <f>RTD("tos.rtd", , "DELTA", ".XLY201120C154.5")</f>
        <v>N/A</v>
      </c>
      <c r="N880" t="str">
        <f>RTD("tos.rtd", , "GAMMA", ".XLY201120C154.5")</f>
        <v>N/A</v>
      </c>
      <c r="O880" t="str">
        <f>RTD("tos.rtd", , "THETA", ".XLY201120C154.5")</f>
        <v>N/A</v>
      </c>
      <c r="P880" t="str">
        <f>RTD("tos.rtd", , "VEGA", ".XLY201120C154.5")</f>
        <v>N/A</v>
      </c>
      <c r="Q880" t="str">
        <f>RTD("tos.rtd", , "RHO", ".XLY201120C154.5")</f>
        <v>N/A</v>
      </c>
      <c r="R880" t="str">
        <f>RTD("tos.rtd", , "INTRINSIC", ".XLY201120C154.5")</f>
        <v>N/A</v>
      </c>
      <c r="S880" t="str">
        <f>RTD("tos.rtd", , "EXTRINSIC", ".XLY201120C154.5")</f>
        <v>N/A</v>
      </c>
      <c r="T880" t="str">
        <f>RTD("tos.rtd", , "PROB_OF_EXPIRING", ".XLY201120C154.5")</f>
        <v>N/A</v>
      </c>
      <c r="U880" t="str">
        <f>RTD("tos.rtd", , "PROB_OTM", ".XLY201120C154.5")</f>
        <v>N/A</v>
      </c>
      <c r="V880" t="str">
        <f>RTD("tos.rtd", , "PROB_OF_TOUCHING", ".XLY201120C154.5")</f>
        <v>N/A</v>
      </c>
      <c r="W880" t="str">
        <f>RTD("tos.rtd", , "STRIKE", ".XLY201120C154.5")</f>
        <v>N/A</v>
      </c>
    </row>
    <row r="881" spans="1:23" x14ac:dyDescent="0.45">
      <c r="A881" t="s">
        <v>902</v>
      </c>
      <c r="B881" t="str">
        <f>RTD("tos.rtd", , "DESCRIPTION", ".XLY201120P154.5")</f>
        <v>N/A</v>
      </c>
      <c r="C881" t="str">
        <f>RTD("tos.rtd", , "PUT_CALL_RATIO", ".XLY201120P154.5")</f>
        <v>N/A</v>
      </c>
      <c r="D881" t="str">
        <f>RTD("tos.rtd", , "IMPL_VOL", ".XLY201120P154.5")</f>
        <v>N/A</v>
      </c>
      <c r="E881" t="str">
        <f>RTD("tos.rtd", , "LAST", ".XLY201120P154.5")</f>
        <v>N/A</v>
      </c>
      <c r="F881" t="str">
        <f>RTD("tos.rtd", , "VOLUME", ".XLY201120P154.5")</f>
        <v>N/A</v>
      </c>
      <c r="G881" t="str">
        <f>RTD("tos.rtd", , "OPEN_INT", ".XLY201120P154.5")</f>
        <v>N/A</v>
      </c>
      <c r="H881" t="str">
        <f>RTD("tos.rtd", , "BID", ".XLY201120P154.5")</f>
        <v>N/A</v>
      </c>
      <c r="I881" t="str">
        <f>RTD("tos.rtd", , "ASK", ".XLY201120P154.5")</f>
        <v>N/A</v>
      </c>
      <c r="J881" t="str">
        <f>RTD("tos.rtd", , "HIGH", ".XLY201120P154.5")</f>
        <v>N/A</v>
      </c>
      <c r="K881" t="str">
        <f>RTD("tos.rtd", , "LOW", ".XLY201120P154.5")</f>
        <v>N/A</v>
      </c>
      <c r="L881" t="str">
        <f>RTD("tos.rtd", , "OPEN", ".XLY201120P154.5")</f>
        <v>N/A</v>
      </c>
      <c r="M881" t="str">
        <f>RTD("tos.rtd", , "DELTA", ".XLY201120P154.5")</f>
        <v>N/A</v>
      </c>
      <c r="N881" t="str">
        <f>RTD("tos.rtd", , "GAMMA", ".XLY201120P154.5")</f>
        <v>N/A</v>
      </c>
      <c r="O881" t="str">
        <f>RTD("tos.rtd", , "THETA", ".XLY201120P154.5")</f>
        <v>N/A</v>
      </c>
      <c r="P881" t="str">
        <f>RTD("tos.rtd", , "VEGA", ".XLY201120P154.5")</f>
        <v>N/A</v>
      </c>
      <c r="Q881" t="str">
        <f>RTD("tos.rtd", , "RHO", ".XLY201120P154.5")</f>
        <v>N/A</v>
      </c>
      <c r="R881" t="str">
        <f>RTD("tos.rtd", , "INTRINSIC", ".XLY201120P154.5")</f>
        <v>N/A</v>
      </c>
      <c r="S881" t="str">
        <f>RTD("tos.rtd", , "EXTRINSIC", ".XLY201120P154.5")</f>
        <v>N/A</v>
      </c>
      <c r="T881" t="str">
        <f>RTD("tos.rtd", , "PROB_OF_EXPIRING", ".XLY201120P154.5")</f>
        <v>N/A</v>
      </c>
      <c r="U881" t="str">
        <f>RTD("tos.rtd", , "PROB_OTM", ".XLY201120P154.5")</f>
        <v>N/A</v>
      </c>
      <c r="V881" t="str">
        <f>RTD("tos.rtd", , "PROB_OF_TOUCHING", ".XLY201120P154.5")</f>
        <v>N/A</v>
      </c>
      <c r="W881" t="str">
        <f>RTD("tos.rtd", , "STRIKE", ".XLY201120P154.5")</f>
        <v>N/A</v>
      </c>
    </row>
    <row r="882" spans="1:23" x14ac:dyDescent="0.45">
      <c r="A882" t="s">
        <v>903</v>
      </c>
      <c r="B882" t="str">
        <f>RTD("tos.rtd", , "DESCRIPTION", ".XLY201120C155")</f>
        <v>N/A</v>
      </c>
      <c r="C882" t="str">
        <f>RTD("tos.rtd", , "PUT_CALL_RATIO", ".XLY201120C155")</f>
        <v>N/A</v>
      </c>
      <c r="D882" t="str">
        <f>RTD("tos.rtd", , "IMPL_VOL", ".XLY201120C155")</f>
        <v>N/A</v>
      </c>
      <c r="E882">
        <f>RTD("tos.rtd", , "LAST", ".XLY201120C155")</f>
        <v>0.68</v>
      </c>
      <c r="F882">
        <f>RTD("tos.rtd", , "VOLUME", ".XLY201120C155")</f>
        <v>102</v>
      </c>
      <c r="G882">
        <f>RTD("tos.rtd", , "OPEN_INT", ".XLY201120C155")</f>
        <v>797</v>
      </c>
      <c r="H882">
        <f>RTD("tos.rtd", , "BID", ".XLY201120C155")</f>
        <v>0.54</v>
      </c>
      <c r="I882">
        <f>RTD("tos.rtd", , "ASK", ".XLY201120C155")</f>
        <v>1.1100000000000001</v>
      </c>
      <c r="J882">
        <f>RTD("tos.rtd", , "HIGH", ".XLY201120C155")</f>
        <v>1.25</v>
      </c>
      <c r="K882">
        <f>RTD("tos.rtd", , "LOW", ".XLY201120C155")</f>
        <v>0.6</v>
      </c>
      <c r="L882">
        <f>RTD("tos.rtd", , "OPEN", ".XLY201120C155")</f>
        <v>1.25</v>
      </c>
      <c r="M882" t="str">
        <f>RTD("tos.rtd", , "DELTA", ".XLY201120C155")</f>
        <v>N/A</v>
      </c>
      <c r="N882" t="str">
        <f>RTD("tos.rtd", , "GAMMA", ".XLY201120C155")</f>
        <v>N/A</v>
      </c>
      <c r="O882" t="str">
        <f>RTD("tos.rtd", , "THETA", ".XLY201120C155")</f>
        <v>N/A</v>
      </c>
      <c r="P882" t="str">
        <f>RTD("tos.rtd", , "VEGA", ".XLY201120C155")</f>
        <v>N/A</v>
      </c>
      <c r="Q882" t="str">
        <f>RTD("tos.rtd", , "RHO", ".XLY201120C155")</f>
        <v>N/A</v>
      </c>
      <c r="R882" t="str">
        <f>RTD("tos.rtd", , "INTRINSIC", ".XLY201120C155")</f>
        <v>N/A</v>
      </c>
      <c r="S882" t="str">
        <f>RTD("tos.rtd", , "EXTRINSIC", ".XLY201120C155")</f>
        <v>N/A</v>
      </c>
      <c r="T882" t="str">
        <f>RTD("tos.rtd", , "PROB_OF_EXPIRING", ".XLY201120C155")</f>
        <v>N/A</v>
      </c>
      <c r="U882" t="str">
        <f>RTD("tos.rtd", , "PROB_OTM", ".XLY201120C155")</f>
        <v>N/A</v>
      </c>
      <c r="V882" t="str">
        <f>RTD("tos.rtd", , "PROB_OF_TOUCHING", ".XLY201120C155")</f>
        <v>N/A</v>
      </c>
      <c r="W882" t="str">
        <f>RTD("tos.rtd", , "STRIKE", ".XLY201120C155")</f>
        <v>N/A</v>
      </c>
    </row>
    <row r="883" spans="1:23" x14ac:dyDescent="0.45">
      <c r="A883" t="s">
        <v>904</v>
      </c>
      <c r="B883" t="str">
        <f>RTD("tos.rtd", , "DESCRIPTION", ".XLY201120P155")</f>
        <v>N/A</v>
      </c>
      <c r="C883" t="str">
        <f>RTD("tos.rtd", , "PUT_CALL_RATIO", ".XLY201120P155")</f>
        <v>N/A</v>
      </c>
      <c r="D883" t="str">
        <f>RTD("tos.rtd", , "IMPL_VOL", ".XLY201120P155")</f>
        <v>N/A</v>
      </c>
      <c r="E883" t="str">
        <f>RTD("tos.rtd", , "LAST", ".XLY201120P155")</f>
        <v>N/A</v>
      </c>
      <c r="F883" t="str">
        <f>RTD("tos.rtd", , "VOLUME", ".XLY201120P155")</f>
        <v>N/A</v>
      </c>
      <c r="G883" t="str">
        <f>RTD("tos.rtd", , "OPEN_INT", ".XLY201120P155")</f>
        <v>N/A</v>
      </c>
      <c r="H883" t="str">
        <f>RTD("tos.rtd", , "BID", ".XLY201120P155")</f>
        <v>N/A</v>
      </c>
      <c r="I883" t="str">
        <f>RTD("tos.rtd", , "ASK", ".XLY201120P155")</f>
        <v>N/A</v>
      </c>
      <c r="J883" t="str">
        <f>RTD("tos.rtd", , "HIGH", ".XLY201120P155")</f>
        <v>N/A</v>
      </c>
      <c r="K883" t="str">
        <f>RTD("tos.rtd", , "LOW", ".XLY201120P155")</f>
        <v>N/A</v>
      </c>
      <c r="L883" t="str">
        <f>RTD("tos.rtd", , "OPEN", ".XLY201120P155")</f>
        <v>N/A</v>
      </c>
      <c r="M883" t="str">
        <f>RTD("tos.rtd", , "DELTA", ".XLY201120P155")</f>
        <v>N/A</v>
      </c>
      <c r="N883" t="str">
        <f>RTD("tos.rtd", , "GAMMA", ".XLY201120P155")</f>
        <v>N/A</v>
      </c>
      <c r="O883" t="str">
        <f>RTD("tos.rtd", , "THETA", ".XLY201120P155")</f>
        <v>N/A</v>
      </c>
      <c r="P883" t="str">
        <f>RTD("tos.rtd", , "VEGA", ".XLY201120P155")</f>
        <v>N/A</v>
      </c>
      <c r="Q883" t="str">
        <f>RTD("tos.rtd", , "RHO", ".XLY201120P155")</f>
        <v>N/A</v>
      </c>
      <c r="R883" t="str">
        <f>RTD("tos.rtd", , "INTRINSIC", ".XLY201120P155")</f>
        <v>N/A</v>
      </c>
      <c r="S883" t="str">
        <f>RTD("tos.rtd", , "EXTRINSIC", ".XLY201120P155")</f>
        <v>N/A</v>
      </c>
      <c r="T883" t="str">
        <f>RTD("tos.rtd", , "PROB_OF_EXPIRING", ".XLY201120P155")</f>
        <v>N/A</v>
      </c>
      <c r="U883" t="str">
        <f>RTD("tos.rtd", , "PROB_OTM", ".XLY201120P155")</f>
        <v>N/A</v>
      </c>
      <c r="V883" t="str">
        <f>RTD("tos.rtd", , "PROB_OF_TOUCHING", ".XLY201120P155")</f>
        <v>N/A</v>
      </c>
      <c r="W883" t="str">
        <f>RTD("tos.rtd", , "STRIKE", ".XLY201120P155")</f>
        <v>N/A</v>
      </c>
    </row>
    <row r="884" spans="1:23" x14ac:dyDescent="0.45">
      <c r="A884" t="s">
        <v>905</v>
      </c>
      <c r="B884" t="str">
        <f>RTD("tos.rtd", , "DESCRIPTION", "XME")</f>
        <v>SPDR SERIES TRUST S&amp;P METALS MNG ETF</v>
      </c>
      <c r="C884">
        <f>RTD("tos.rtd", , "PUT_CALL_RATIO", "XME")</f>
        <v>1.2849999999999999</v>
      </c>
      <c r="D884" t="str">
        <f>RTD("tos.rtd", , "IMPL_VOL", "XME")</f>
        <v>38.34%</v>
      </c>
      <c r="E884">
        <f>RTD("tos.rtd", , "LAST", "XME")</f>
        <v>26.49</v>
      </c>
      <c r="F884">
        <f>RTD("tos.rtd", , "VOLUME", "XME")</f>
        <v>1432673</v>
      </c>
      <c r="G884">
        <f>RTD("tos.rtd", , "OPEN_INT", "XME")</f>
        <v>0</v>
      </c>
      <c r="H884">
        <f>RTD("tos.rtd", , "BID", "XME")</f>
        <v>26.38</v>
      </c>
      <c r="I884">
        <f>RTD("tos.rtd", , "ASK", "XME")</f>
        <v>26.59</v>
      </c>
      <c r="J884">
        <f>RTD("tos.rtd", , "HIGH", "XME")</f>
        <v>27.04</v>
      </c>
      <c r="K884">
        <f>RTD("tos.rtd", , "LOW", "XME")</f>
        <v>26.274999999999999</v>
      </c>
      <c r="L884">
        <f>RTD("tos.rtd", , "OPEN", "XME")</f>
        <v>26.81</v>
      </c>
      <c r="M884">
        <f>RTD("tos.rtd", , "DELTA", "XME")</f>
        <v>1</v>
      </c>
      <c r="N884">
        <f>RTD("tos.rtd", , "GAMMA", "XME")</f>
        <v>0</v>
      </c>
      <c r="O884">
        <f>RTD("tos.rtd", , "THETA", "XME")</f>
        <v>0</v>
      </c>
      <c r="P884">
        <f>RTD("tos.rtd", , "VEGA", "XME")</f>
        <v>0</v>
      </c>
      <c r="Q884">
        <f>RTD("tos.rtd", , "RHO", "XME")</f>
        <v>0</v>
      </c>
      <c r="R884" t="str">
        <f>RTD("tos.rtd", , "INTRINSIC", "XME")</f>
        <v>N/A</v>
      </c>
      <c r="S884" t="str">
        <f>RTD("tos.rtd", , "EXTRINSIC", "XME")</f>
        <v>N/A</v>
      </c>
      <c r="T884" t="str">
        <f>RTD("tos.rtd", , "PROB_OF_EXPIRING", "XME")</f>
        <v>N/A</v>
      </c>
      <c r="U884" t="str">
        <f>RTD("tos.rtd", , "PROB_OTM", "XME")</f>
        <v>N/A</v>
      </c>
      <c r="V884" t="str">
        <f>RTD("tos.rtd", , "PROB_OF_TOUCHING", "XME")</f>
        <v>N/A</v>
      </c>
      <c r="W884" t="str">
        <f>RTD("tos.rtd", , "STRIKE", "XME")</f>
        <v>N/A</v>
      </c>
    </row>
    <row r="885" spans="1:23" x14ac:dyDescent="0.45">
      <c r="A885" t="s">
        <v>906</v>
      </c>
      <c r="B885" t="str">
        <f>RTD("tos.rtd", , "DESCRIPTION", ".XME201120C26.5")</f>
        <v>N/A</v>
      </c>
      <c r="C885" t="str">
        <f>RTD("tos.rtd", , "PUT_CALL_RATIO", ".XME201120C26.5")</f>
        <v>N/A</v>
      </c>
      <c r="D885" t="str">
        <f>RTD("tos.rtd", , "IMPL_VOL", ".XME201120C26.5")</f>
        <v>N/A</v>
      </c>
      <c r="E885" t="str">
        <f>RTD("tos.rtd", , "LAST", ".XME201120C26.5")</f>
        <v>N/A</v>
      </c>
      <c r="F885" t="str">
        <f>RTD("tos.rtd", , "VOLUME", ".XME201120C26.5")</f>
        <v>N/A</v>
      </c>
      <c r="G885" t="str">
        <f>RTD("tos.rtd", , "OPEN_INT", ".XME201120C26.5")</f>
        <v>N/A</v>
      </c>
      <c r="H885" t="str">
        <f>RTD("tos.rtd", , "BID", ".XME201120C26.5")</f>
        <v>N/A</v>
      </c>
      <c r="I885" t="str">
        <f>RTD("tos.rtd", , "ASK", ".XME201120C26.5")</f>
        <v>N/A</v>
      </c>
      <c r="J885" t="str">
        <f>RTD("tos.rtd", , "HIGH", ".XME201120C26.5")</f>
        <v>N/A</v>
      </c>
      <c r="K885" t="str">
        <f>RTD("tos.rtd", , "LOW", ".XME201120C26.5")</f>
        <v>N/A</v>
      </c>
      <c r="L885" t="str">
        <f>RTD("tos.rtd", , "OPEN", ".XME201120C26.5")</f>
        <v>N/A</v>
      </c>
      <c r="M885" t="str">
        <f>RTD("tos.rtd", , "DELTA", ".XME201120C26.5")</f>
        <v>N/A</v>
      </c>
      <c r="N885" t="str">
        <f>RTD("tos.rtd", , "GAMMA", ".XME201120C26.5")</f>
        <v>N/A</v>
      </c>
      <c r="O885" t="str">
        <f>RTD("tos.rtd", , "THETA", ".XME201120C26.5")</f>
        <v>N/A</v>
      </c>
      <c r="P885" t="str">
        <f>RTD("tos.rtd", , "VEGA", ".XME201120C26.5")</f>
        <v>N/A</v>
      </c>
      <c r="Q885" t="str">
        <f>RTD("tos.rtd", , "RHO", ".XME201120C26.5")</f>
        <v>N/A</v>
      </c>
      <c r="R885" t="str">
        <f>RTD("tos.rtd", , "INTRINSIC", ".XME201120C26.5")</f>
        <v>N/A</v>
      </c>
      <c r="S885" t="str">
        <f>RTD("tos.rtd", , "EXTRINSIC", ".XME201120C26.5")</f>
        <v>N/A</v>
      </c>
      <c r="T885" t="str">
        <f>RTD("tos.rtd", , "PROB_OF_EXPIRING", ".XME201120C26.5")</f>
        <v>N/A</v>
      </c>
      <c r="U885" t="str">
        <f>RTD("tos.rtd", , "PROB_OTM", ".XME201120C26.5")</f>
        <v>N/A</v>
      </c>
      <c r="V885" t="str">
        <f>RTD("tos.rtd", , "PROB_OF_TOUCHING", ".XME201120C26.5")</f>
        <v>N/A</v>
      </c>
      <c r="W885" t="str">
        <f>RTD("tos.rtd", , "STRIKE", ".XME201120C26.5")</f>
        <v>N/A</v>
      </c>
    </row>
    <row r="886" spans="1:23" x14ac:dyDescent="0.45">
      <c r="A886" t="s">
        <v>907</v>
      </c>
      <c r="B886" t="str">
        <f>RTD("tos.rtd", , "DESCRIPTION", ".XME201120P26.5")</f>
        <v>N/A</v>
      </c>
      <c r="C886" t="str">
        <f>RTD("tos.rtd", , "PUT_CALL_RATIO", ".XME201120P26.5")</f>
        <v>N/A</v>
      </c>
      <c r="D886" t="str">
        <f>RTD("tos.rtd", , "IMPL_VOL", ".XME201120P26.5")</f>
        <v>N/A</v>
      </c>
      <c r="E886" t="str">
        <f>RTD("tos.rtd", , "LAST", ".XME201120P26.5")</f>
        <v>N/A</v>
      </c>
      <c r="F886" t="str">
        <f>RTD("tos.rtd", , "VOLUME", ".XME201120P26.5")</f>
        <v>N/A</v>
      </c>
      <c r="G886" t="str">
        <f>RTD("tos.rtd", , "OPEN_INT", ".XME201120P26.5")</f>
        <v>N/A</v>
      </c>
      <c r="H886" t="str">
        <f>RTD("tos.rtd", , "BID", ".XME201120P26.5")</f>
        <v>N/A</v>
      </c>
      <c r="I886" t="str">
        <f>RTD("tos.rtd", , "ASK", ".XME201120P26.5")</f>
        <v>N/A</v>
      </c>
      <c r="J886" t="str">
        <f>RTD("tos.rtd", , "HIGH", ".XME201120P26.5")</f>
        <v>N/A</v>
      </c>
      <c r="K886" t="str">
        <f>RTD("tos.rtd", , "LOW", ".XME201120P26.5")</f>
        <v>N/A</v>
      </c>
      <c r="L886" t="str">
        <f>RTD("tos.rtd", , "OPEN", ".XME201120P26.5")</f>
        <v>N/A</v>
      </c>
      <c r="M886" t="str">
        <f>RTD("tos.rtd", , "DELTA", ".XME201120P26.5")</f>
        <v>N/A</v>
      </c>
      <c r="N886" t="str">
        <f>RTD("tos.rtd", , "GAMMA", ".XME201120P26.5")</f>
        <v>N/A</v>
      </c>
      <c r="O886" t="str">
        <f>RTD("tos.rtd", , "THETA", ".XME201120P26.5")</f>
        <v>N/A</v>
      </c>
      <c r="P886" t="str">
        <f>RTD("tos.rtd", , "VEGA", ".XME201120P26.5")</f>
        <v>N/A</v>
      </c>
      <c r="Q886" t="str">
        <f>RTD("tos.rtd", , "RHO", ".XME201120P26.5")</f>
        <v>N/A</v>
      </c>
      <c r="R886" t="str">
        <f>RTD("tos.rtd", , "INTRINSIC", ".XME201120P26.5")</f>
        <v>N/A</v>
      </c>
      <c r="S886" t="str">
        <f>RTD("tos.rtd", , "EXTRINSIC", ".XME201120P26.5")</f>
        <v>N/A</v>
      </c>
      <c r="T886" t="str">
        <f>RTD("tos.rtd", , "PROB_OF_EXPIRING", ".XME201120P26.5")</f>
        <v>N/A</v>
      </c>
      <c r="U886" t="str">
        <f>RTD("tos.rtd", , "PROB_OTM", ".XME201120P26.5")</f>
        <v>N/A</v>
      </c>
      <c r="V886" t="str">
        <f>RTD("tos.rtd", , "PROB_OF_TOUCHING", ".XME201120P26.5")</f>
        <v>N/A</v>
      </c>
      <c r="W886" t="str">
        <f>RTD("tos.rtd", , "STRIKE", ".XME201120P26.5")</f>
        <v>N/A</v>
      </c>
    </row>
    <row r="887" spans="1:23" x14ac:dyDescent="0.45">
      <c r="A887" t="s">
        <v>908</v>
      </c>
      <c r="B887" t="str">
        <f>RTD("tos.rtd", , "DESCRIPTION", ".XME201120C27")</f>
        <v>N/A</v>
      </c>
      <c r="C887" t="str">
        <f>RTD("tos.rtd", , "PUT_CALL_RATIO", ".XME201120C27")</f>
        <v>N/A</v>
      </c>
      <c r="D887" t="str">
        <f>RTD("tos.rtd", , "IMPL_VOL", ".XME201120C27")</f>
        <v>N/A</v>
      </c>
      <c r="E887">
        <f>RTD("tos.rtd", , "LAST", ".XME201120C27")</f>
        <v>0.42</v>
      </c>
      <c r="F887">
        <f>RTD("tos.rtd", , "VOLUME", ".XME201120C27")</f>
        <v>7</v>
      </c>
      <c r="G887">
        <f>RTD("tos.rtd", , "OPEN_INT", ".XME201120C27")</f>
        <v>1395</v>
      </c>
      <c r="H887">
        <f>RTD("tos.rtd", , "BID", ".XME201120C27")</f>
        <v>0.18</v>
      </c>
      <c r="I887">
        <f>RTD("tos.rtd", , "ASK", ".XME201120C27")</f>
        <v>0.4</v>
      </c>
      <c r="J887">
        <f>RTD("tos.rtd", , "HIGH", ".XME201120C27")</f>
        <v>0.54</v>
      </c>
      <c r="K887">
        <f>RTD("tos.rtd", , "LOW", ".XME201120C27")</f>
        <v>0.42</v>
      </c>
      <c r="L887">
        <f>RTD("tos.rtd", , "OPEN", ".XME201120C27")</f>
        <v>0.54</v>
      </c>
      <c r="M887" t="str">
        <f>RTD("tos.rtd", , "DELTA", ".XME201120C27")</f>
        <v>N/A</v>
      </c>
      <c r="N887" t="str">
        <f>RTD("tos.rtd", , "GAMMA", ".XME201120C27")</f>
        <v>N/A</v>
      </c>
      <c r="O887" t="str">
        <f>RTD("tos.rtd", , "THETA", ".XME201120C27")</f>
        <v>N/A</v>
      </c>
      <c r="P887" t="str">
        <f>RTD("tos.rtd", , "VEGA", ".XME201120C27")</f>
        <v>N/A</v>
      </c>
      <c r="Q887" t="str">
        <f>RTD("tos.rtd", , "RHO", ".XME201120C27")</f>
        <v>N/A</v>
      </c>
      <c r="R887" t="str">
        <f>RTD("tos.rtd", , "INTRINSIC", ".XME201120C27")</f>
        <v>N/A</v>
      </c>
      <c r="S887" t="str">
        <f>RTD("tos.rtd", , "EXTRINSIC", ".XME201120C27")</f>
        <v>N/A</v>
      </c>
      <c r="T887" t="str">
        <f>RTD("tos.rtd", , "PROB_OF_EXPIRING", ".XME201120C27")</f>
        <v>N/A</v>
      </c>
      <c r="U887" t="str">
        <f>RTD("tos.rtd", , "PROB_OTM", ".XME201120C27")</f>
        <v>N/A</v>
      </c>
      <c r="V887" t="str">
        <f>RTD("tos.rtd", , "PROB_OF_TOUCHING", ".XME201120C27")</f>
        <v>N/A</v>
      </c>
      <c r="W887" t="str">
        <f>RTD("tos.rtd", , "STRIKE", ".XME201120C27")</f>
        <v>N/A</v>
      </c>
    </row>
    <row r="888" spans="1:23" x14ac:dyDescent="0.45">
      <c r="A888" t="s">
        <v>909</v>
      </c>
      <c r="B888" t="str">
        <f>RTD("tos.rtd", , "DESCRIPTION", ".XME201120P27")</f>
        <v>N/A</v>
      </c>
      <c r="C888" t="str">
        <f>RTD("tos.rtd", , "PUT_CALL_RATIO", ".XME201120P27")</f>
        <v>N/A</v>
      </c>
      <c r="D888" t="str">
        <f>RTD("tos.rtd", , "IMPL_VOL", ".XME201120P27")</f>
        <v>N/A</v>
      </c>
      <c r="E888">
        <f>RTD("tos.rtd", , "LAST", ".XME201120P27")</f>
        <v>0.86</v>
      </c>
      <c r="F888">
        <f>RTD("tos.rtd", , "VOLUME", ".XME201120P27")</f>
        <v>0</v>
      </c>
      <c r="G888">
        <f>RTD("tos.rtd", , "OPEN_INT", ".XME201120P27")</f>
        <v>77</v>
      </c>
      <c r="H888">
        <f>RTD("tos.rtd", , "BID", ".XME201120P27")</f>
        <v>0.62</v>
      </c>
      <c r="I888">
        <f>RTD("tos.rtd", , "ASK", ".XME201120P27")</f>
        <v>0.9</v>
      </c>
      <c r="J888">
        <f>RTD("tos.rtd", , "HIGH", ".XME201120P27")</f>
        <v>0</v>
      </c>
      <c r="K888">
        <f>RTD("tos.rtd", , "LOW", ".XME201120P27")</f>
        <v>0</v>
      </c>
      <c r="L888">
        <f>RTD("tos.rtd", , "OPEN", ".XME201120P27")</f>
        <v>0</v>
      </c>
      <c r="M888" t="str">
        <f>RTD("tos.rtd", , "DELTA", ".XME201120P27")</f>
        <v>N/A</v>
      </c>
      <c r="N888" t="str">
        <f>RTD("tos.rtd", , "GAMMA", ".XME201120P27")</f>
        <v>N/A</v>
      </c>
      <c r="O888" t="str">
        <f>RTD("tos.rtd", , "THETA", ".XME201120P27")</f>
        <v>N/A</v>
      </c>
      <c r="P888" t="str">
        <f>RTD("tos.rtd", , "VEGA", ".XME201120P27")</f>
        <v>N/A</v>
      </c>
      <c r="Q888" t="str">
        <f>RTD("tos.rtd", , "RHO", ".XME201120P27")</f>
        <v>N/A</v>
      </c>
      <c r="R888" t="str">
        <f>RTD("tos.rtd", , "INTRINSIC", ".XME201120P27")</f>
        <v>N/A</v>
      </c>
      <c r="S888" t="str">
        <f>RTD("tos.rtd", , "EXTRINSIC", ".XME201120P27")</f>
        <v>N/A</v>
      </c>
      <c r="T888" t="str">
        <f>RTD("tos.rtd", , "PROB_OF_EXPIRING", ".XME201120P27")</f>
        <v>N/A</v>
      </c>
      <c r="U888" t="str">
        <f>RTD("tos.rtd", , "PROB_OTM", ".XME201120P27")</f>
        <v>N/A</v>
      </c>
      <c r="V888" t="str">
        <f>RTD("tos.rtd", , "PROB_OF_TOUCHING", ".XME201120P27")</f>
        <v>N/A</v>
      </c>
      <c r="W888" t="str">
        <f>RTD("tos.rtd", , "STRIKE", ".XME201120P27")</f>
        <v>N/A</v>
      </c>
    </row>
    <row r="889" spans="1:23" x14ac:dyDescent="0.45">
      <c r="A889" t="s">
        <v>910</v>
      </c>
      <c r="B889" t="str">
        <f>RTD("tos.rtd", , "DESCRIPTION", "XOP")</f>
        <v>SPDR SERIES TRUST S&amp;P OILGAS EXP ETF</v>
      </c>
      <c r="C889">
        <f>RTD("tos.rtd", , "PUT_CALL_RATIO", "XOP")</f>
        <v>0.74299999999999999</v>
      </c>
      <c r="D889" t="str">
        <f>RTD("tos.rtd", , "IMPL_VOL", "XOP")</f>
        <v>58.46%</v>
      </c>
      <c r="E889">
        <f>RTD("tos.rtd", , "LAST", "XOP")</f>
        <v>46.34</v>
      </c>
      <c r="F889">
        <f>RTD("tos.rtd", , "VOLUME", "XOP")</f>
        <v>9677974</v>
      </c>
      <c r="G889">
        <f>RTD("tos.rtd", , "OPEN_INT", "XOP")</f>
        <v>0</v>
      </c>
      <c r="H889">
        <f>RTD("tos.rtd", , "BID", "XOP")</f>
        <v>46.2</v>
      </c>
      <c r="I889">
        <f>RTD("tos.rtd", , "ASK", "XOP")</f>
        <v>46.44</v>
      </c>
      <c r="J889">
        <f>RTD("tos.rtd", , "HIGH", "XOP")</f>
        <v>48.38</v>
      </c>
      <c r="K889">
        <f>RTD("tos.rtd", , "LOW", "XOP")</f>
        <v>45.88</v>
      </c>
      <c r="L889">
        <f>RTD("tos.rtd", , "OPEN", "XOP")</f>
        <v>47.45</v>
      </c>
      <c r="M889">
        <f>RTD("tos.rtd", , "DELTA", "XOP")</f>
        <v>1</v>
      </c>
      <c r="N889">
        <f>RTD("tos.rtd", , "GAMMA", "XOP")</f>
        <v>0</v>
      </c>
      <c r="O889">
        <f>RTD("tos.rtd", , "THETA", "XOP")</f>
        <v>0</v>
      </c>
      <c r="P889">
        <f>RTD("tos.rtd", , "VEGA", "XOP")</f>
        <v>0</v>
      </c>
      <c r="Q889">
        <f>RTD("tos.rtd", , "RHO", "XOP")</f>
        <v>0</v>
      </c>
      <c r="R889" t="str">
        <f>RTD("tos.rtd", , "INTRINSIC", "XOP")</f>
        <v>N/A</v>
      </c>
      <c r="S889" t="str">
        <f>RTD("tos.rtd", , "EXTRINSIC", "XOP")</f>
        <v>N/A</v>
      </c>
      <c r="T889" t="str">
        <f>RTD("tos.rtd", , "PROB_OF_EXPIRING", "XOP")</f>
        <v>N/A</v>
      </c>
      <c r="U889" t="str">
        <f>RTD("tos.rtd", , "PROB_OTM", "XOP")</f>
        <v>N/A</v>
      </c>
      <c r="V889" t="str">
        <f>RTD("tos.rtd", , "PROB_OF_TOUCHING", "XOP")</f>
        <v>N/A</v>
      </c>
      <c r="W889" t="str">
        <f>RTD("tos.rtd", , "STRIKE", "XOP")</f>
        <v>N/A</v>
      </c>
    </row>
    <row r="890" spans="1:23" x14ac:dyDescent="0.45">
      <c r="A890" t="s">
        <v>911</v>
      </c>
      <c r="B890" t="str">
        <f>RTD("tos.rtd", , "DESCRIPTION", ".XOP201120C47")</f>
        <v>N/A</v>
      </c>
      <c r="C890" t="str">
        <f>RTD("tos.rtd", , "PUT_CALL_RATIO", ".XOP201120C47")</f>
        <v>N/A</v>
      </c>
      <c r="D890" t="str">
        <f>RTD("tos.rtd", , "IMPL_VOL", ".XOP201120C47")</f>
        <v>N/A</v>
      </c>
      <c r="E890" t="str">
        <f>RTD("tos.rtd", , "LAST", ".XOP201120C47")</f>
        <v>N/A</v>
      </c>
      <c r="F890" t="str">
        <f>RTD("tos.rtd", , "VOLUME", ".XOP201120C47")</f>
        <v>N/A</v>
      </c>
      <c r="G890" t="str">
        <f>RTD("tos.rtd", , "OPEN_INT", ".XOP201120C47")</f>
        <v>N/A</v>
      </c>
      <c r="H890" t="str">
        <f>RTD("tos.rtd", , "BID", ".XOP201120C47")</f>
        <v>N/A</v>
      </c>
      <c r="I890" t="str">
        <f>RTD("tos.rtd", , "ASK", ".XOP201120C47")</f>
        <v>N/A</v>
      </c>
      <c r="J890" t="str">
        <f>RTD("tos.rtd", , "HIGH", ".XOP201120C47")</f>
        <v>N/A</v>
      </c>
      <c r="K890" t="str">
        <f>RTD("tos.rtd", , "LOW", ".XOP201120C47")</f>
        <v>N/A</v>
      </c>
      <c r="L890" t="str">
        <f>RTD("tos.rtd", , "OPEN", ".XOP201120C47")</f>
        <v>N/A</v>
      </c>
      <c r="M890" t="str">
        <f>RTD("tos.rtd", , "DELTA", ".XOP201120C47")</f>
        <v>N/A</v>
      </c>
      <c r="N890" t="str">
        <f>RTD("tos.rtd", , "GAMMA", ".XOP201120C47")</f>
        <v>N/A</v>
      </c>
      <c r="O890" t="str">
        <f>RTD("tos.rtd", , "THETA", ".XOP201120C47")</f>
        <v>N/A</v>
      </c>
      <c r="P890" t="str">
        <f>RTD("tos.rtd", , "VEGA", ".XOP201120C47")</f>
        <v>N/A</v>
      </c>
      <c r="Q890" t="str">
        <f>RTD("tos.rtd", , "RHO", ".XOP201120C47")</f>
        <v>N/A</v>
      </c>
      <c r="R890" t="str">
        <f>RTD("tos.rtd", , "INTRINSIC", ".XOP201120C47")</f>
        <v>N/A</v>
      </c>
      <c r="S890" t="str">
        <f>RTD("tos.rtd", , "EXTRINSIC", ".XOP201120C47")</f>
        <v>N/A</v>
      </c>
      <c r="T890" t="str">
        <f>RTD("tos.rtd", , "PROB_OF_EXPIRING", ".XOP201120C47")</f>
        <v>N/A</v>
      </c>
      <c r="U890" t="str">
        <f>RTD("tos.rtd", , "PROB_OTM", ".XOP201120C47")</f>
        <v>N/A</v>
      </c>
      <c r="V890" t="str">
        <f>RTD("tos.rtd", , "PROB_OF_TOUCHING", ".XOP201120C47")</f>
        <v>N/A</v>
      </c>
      <c r="W890" t="str">
        <f>RTD("tos.rtd", , "STRIKE", ".XOP201120C47")</f>
        <v>N/A</v>
      </c>
    </row>
    <row r="891" spans="1:23" x14ac:dyDescent="0.45">
      <c r="A891" t="s">
        <v>912</v>
      </c>
      <c r="B891" t="str">
        <f>RTD("tos.rtd", , "DESCRIPTION", ".XOP201120P47")</f>
        <v>N/A</v>
      </c>
      <c r="C891" t="str">
        <f>RTD("tos.rtd", , "PUT_CALL_RATIO", ".XOP201120P47")</f>
        <v>N/A</v>
      </c>
      <c r="D891" t="str">
        <f>RTD("tos.rtd", , "IMPL_VOL", ".XOP201120P47")</f>
        <v>N/A</v>
      </c>
      <c r="E891" t="str">
        <f>RTD("tos.rtd", , "LAST", ".XOP201120P47")</f>
        <v>N/A</v>
      </c>
      <c r="F891" t="str">
        <f>RTD("tos.rtd", , "VOLUME", ".XOP201120P47")</f>
        <v>N/A</v>
      </c>
      <c r="G891" t="str">
        <f>RTD("tos.rtd", , "OPEN_INT", ".XOP201120P47")</f>
        <v>N/A</v>
      </c>
      <c r="H891" t="str">
        <f>RTD("tos.rtd", , "BID", ".XOP201120P47")</f>
        <v>N/A</v>
      </c>
      <c r="I891" t="str">
        <f>RTD("tos.rtd", , "ASK", ".XOP201120P47")</f>
        <v>N/A</v>
      </c>
      <c r="J891" t="str">
        <f>RTD("tos.rtd", , "HIGH", ".XOP201120P47")</f>
        <v>N/A</v>
      </c>
      <c r="K891" t="str">
        <f>RTD("tos.rtd", , "LOW", ".XOP201120P47")</f>
        <v>N/A</v>
      </c>
      <c r="L891" t="str">
        <f>RTD("tos.rtd", , "OPEN", ".XOP201120P47")</f>
        <v>N/A</v>
      </c>
      <c r="M891" t="str">
        <f>RTD("tos.rtd", , "DELTA", ".XOP201120P47")</f>
        <v>N/A</v>
      </c>
      <c r="N891" t="str">
        <f>RTD("tos.rtd", , "GAMMA", ".XOP201120P47")</f>
        <v>N/A</v>
      </c>
      <c r="O891" t="str">
        <f>RTD("tos.rtd", , "THETA", ".XOP201120P47")</f>
        <v>N/A</v>
      </c>
      <c r="P891" t="str">
        <f>RTD("tos.rtd", , "VEGA", ".XOP201120P47")</f>
        <v>N/A</v>
      </c>
      <c r="Q891" t="str">
        <f>RTD("tos.rtd", , "RHO", ".XOP201120P47")</f>
        <v>N/A</v>
      </c>
      <c r="R891" t="str">
        <f>RTD("tos.rtd", , "INTRINSIC", ".XOP201120P47")</f>
        <v>N/A</v>
      </c>
      <c r="S891" t="str">
        <f>RTD("tos.rtd", , "EXTRINSIC", ".XOP201120P47")</f>
        <v>N/A</v>
      </c>
      <c r="T891" t="str">
        <f>RTD("tos.rtd", , "PROB_OF_EXPIRING", ".XOP201120P47")</f>
        <v>N/A</v>
      </c>
      <c r="U891" t="str">
        <f>RTD("tos.rtd", , "PROB_OTM", ".XOP201120P47")</f>
        <v>N/A</v>
      </c>
      <c r="V891" t="str">
        <f>RTD("tos.rtd", , "PROB_OF_TOUCHING", ".XOP201120P47")</f>
        <v>N/A</v>
      </c>
      <c r="W891" t="str">
        <f>RTD("tos.rtd", , "STRIKE", ".XOP201120P47")</f>
        <v>N/A</v>
      </c>
    </row>
    <row r="892" spans="1:23" x14ac:dyDescent="0.45">
      <c r="A892" t="s">
        <v>913</v>
      </c>
      <c r="B892" t="str">
        <f>RTD("tos.rtd", , "DESCRIPTION", ".XOP201120C47.5")</f>
        <v>N/A</v>
      </c>
      <c r="C892" t="str">
        <f>RTD("tos.rtd", , "PUT_CALL_RATIO", ".XOP201120C47.5")</f>
        <v>N/A</v>
      </c>
      <c r="D892" t="str">
        <f>RTD("tos.rtd", , "IMPL_VOL", ".XOP201120C47.5")</f>
        <v>N/A</v>
      </c>
      <c r="E892">
        <f>RTD("tos.rtd", , "LAST", ".XOP201120C47.5")</f>
        <v>0.9</v>
      </c>
      <c r="F892">
        <f>RTD("tos.rtd", , "VOLUME", ".XOP201120C47.5")</f>
        <v>19</v>
      </c>
      <c r="G892">
        <f>RTD("tos.rtd", , "OPEN_INT", ".XOP201120C47.5")</f>
        <v>187</v>
      </c>
      <c r="H892">
        <f>RTD("tos.rtd", , "BID", ".XOP201120C47.5")</f>
        <v>0.9</v>
      </c>
      <c r="I892">
        <f>RTD("tos.rtd", , "ASK", ".XOP201120C47.5")</f>
        <v>1.01</v>
      </c>
      <c r="J892">
        <f>RTD("tos.rtd", , "HIGH", ".XOP201120C47.5")</f>
        <v>1.79</v>
      </c>
      <c r="K892">
        <f>RTD("tos.rtd", , "LOW", ".XOP201120C47.5")</f>
        <v>0.9</v>
      </c>
      <c r="L892">
        <f>RTD("tos.rtd", , "OPEN", ".XOP201120C47.5")</f>
        <v>1.4</v>
      </c>
      <c r="M892" t="str">
        <f>RTD("tos.rtd", , "DELTA", ".XOP201120C47.5")</f>
        <v>N/A</v>
      </c>
      <c r="N892" t="str">
        <f>RTD("tos.rtd", , "GAMMA", ".XOP201120C47.5")</f>
        <v>N/A</v>
      </c>
      <c r="O892" t="str">
        <f>RTD("tos.rtd", , "THETA", ".XOP201120C47.5")</f>
        <v>N/A</v>
      </c>
      <c r="P892" t="str">
        <f>RTD("tos.rtd", , "VEGA", ".XOP201120C47.5")</f>
        <v>N/A</v>
      </c>
      <c r="Q892" t="str">
        <f>RTD("tos.rtd", , "RHO", ".XOP201120C47.5")</f>
        <v>N/A</v>
      </c>
      <c r="R892" t="str">
        <f>RTD("tos.rtd", , "INTRINSIC", ".XOP201120C47.5")</f>
        <v>N/A</v>
      </c>
      <c r="S892" t="str">
        <f>RTD("tos.rtd", , "EXTRINSIC", ".XOP201120C47.5")</f>
        <v>N/A</v>
      </c>
      <c r="T892" t="str">
        <f>RTD("tos.rtd", , "PROB_OF_EXPIRING", ".XOP201120C47.5")</f>
        <v>N/A</v>
      </c>
      <c r="U892" t="str">
        <f>RTD("tos.rtd", , "PROB_OTM", ".XOP201120C47.5")</f>
        <v>N/A</v>
      </c>
      <c r="V892" t="str">
        <f>RTD("tos.rtd", , "PROB_OF_TOUCHING", ".XOP201120C47.5")</f>
        <v>N/A</v>
      </c>
      <c r="W892" t="str">
        <f>RTD("tos.rtd", , "STRIKE", ".XOP201120C47.5")</f>
        <v>N/A</v>
      </c>
    </row>
    <row r="893" spans="1:23" x14ac:dyDescent="0.45">
      <c r="A893" t="s">
        <v>914</v>
      </c>
      <c r="B893" t="str">
        <f>RTD("tos.rtd", , "DESCRIPTION", ".XOP201120P47.5")</f>
        <v>N/A</v>
      </c>
      <c r="C893" t="str">
        <f>RTD("tos.rtd", , "PUT_CALL_RATIO", ".XOP201120P47.5")</f>
        <v>N/A</v>
      </c>
      <c r="D893" t="str">
        <f>RTD("tos.rtd", , "IMPL_VOL", ".XOP201120P47.5")</f>
        <v>N/A</v>
      </c>
      <c r="E893">
        <f>RTD("tos.rtd", , "LAST", ".XOP201120P47.5")</f>
        <v>2.33</v>
      </c>
      <c r="F893">
        <f>RTD("tos.rtd", , "VOLUME", ".XOP201120P47.5")</f>
        <v>515</v>
      </c>
      <c r="G893">
        <f>RTD("tos.rtd", , "OPEN_INT", ".XOP201120P47.5")</f>
        <v>64</v>
      </c>
      <c r="H893">
        <f>RTD("tos.rtd", , "BID", ".XOP201120P47.5")</f>
        <v>2.0699999999999998</v>
      </c>
      <c r="I893">
        <f>RTD("tos.rtd", , "ASK", ".XOP201120P47.5")</f>
        <v>2.35</v>
      </c>
      <c r="J893">
        <f>RTD("tos.rtd", , "HIGH", ".XOP201120P47.5")</f>
        <v>2.33</v>
      </c>
      <c r="K893">
        <f>RTD("tos.rtd", , "LOW", ".XOP201120P47.5")</f>
        <v>1.31</v>
      </c>
      <c r="L893">
        <f>RTD("tos.rtd", , "OPEN", ".XOP201120P47.5")</f>
        <v>1.31</v>
      </c>
      <c r="M893" t="str">
        <f>RTD("tos.rtd", , "DELTA", ".XOP201120P47.5")</f>
        <v>N/A</v>
      </c>
      <c r="N893" t="str">
        <f>RTD("tos.rtd", , "GAMMA", ".XOP201120P47.5")</f>
        <v>N/A</v>
      </c>
      <c r="O893" t="str">
        <f>RTD("tos.rtd", , "THETA", ".XOP201120P47.5")</f>
        <v>N/A</v>
      </c>
      <c r="P893" t="str">
        <f>RTD("tos.rtd", , "VEGA", ".XOP201120P47.5")</f>
        <v>N/A</v>
      </c>
      <c r="Q893" t="str">
        <f>RTD("tos.rtd", , "RHO", ".XOP201120P47.5")</f>
        <v>N/A</v>
      </c>
      <c r="R893" t="str">
        <f>RTD("tos.rtd", , "INTRINSIC", ".XOP201120P47.5")</f>
        <v>N/A</v>
      </c>
      <c r="S893" t="str">
        <f>RTD("tos.rtd", , "EXTRINSIC", ".XOP201120P47.5")</f>
        <v>N/A</v>
      </c>
      <c r="T893" t="str">
        <f>RTD("tos.rtd", , "PROB_OF_EXPIRING", ".XOP201120P47.5")</f>
        <v>N/A</v>
      </c>
      <c r="U893" t="str">
        <f>RTD("tos.rtd", , "PROB_OTM", ".XOP201120P47.5")</f>
        <v>N/A</v>
      </c>
      <c r="V893" t="str">
        <f>RTD("tos.rtd", , "PROB_OF_TOUCHING", ".XOP201120P47.5")</f>
        <v>N/A</v>
      </c>
      <c r="W893" t="str">
        <f>RTD("tos.rtd", , "STRIKE", ".XOP201120P47.5")</f>
        <v>N/A</v>
      </c>
    </row>
    <row r="894" spans="1:23" x14ac:dyDescent="0.45">
      <c r="A894" t="s">
        <v>915</v>
      </c>
      <c r="B894" t="str">
        <f>RTD("tos.rtd", , "DESCRIPTION", ".XOP201120C48")</f>
        <v>N/A</v>
      </c>
      <c r="C894" t="str">
        <f>RTD("tos.rtd", , "PUT_CALL_RATIO", ".XOP201120C48")</f>
        <v>N/A</v>
      </c>
      <c r="D894" t="str">
        <f>RTD("tos.rtd", , "IMPL_VOL", ".XOP201120C48")</f>
        <v>N/A</v>
      </c>
      <c r="E894" t="str">
        <f>RTD("tos.rtd", , "LAST", ".XOP201120C48")</f>
        <v>N/A</v>
      </c>
      <c r="F894" t="str">
        <f>RTD("tos.rtd", , "VOLUME", ".XOP201120C48")</f>
        <v>N/A</v>
      </c>
      <c r="G894" t="str">
        <f>RTD("tos.rtd", , "OPEN_INT", ".XOP201120C48")</f>
        <v>N/A</v>
      </c>
      <c r="H894" t="str">
        <f>RTD("tos.rtd", , "BID", ".XOP201120C48")</f>
        <v>N/A</v>
      </c>
      <c r="I894" t="str">
        <f>RTD("tos.rtd", , "ASK", ".XOP201120C48")</f>
        <v>N/A</v>
      </c>
      <c r="J894" t="str">
        <f>RTD("tos.rtd", , "HIGH", ".XOP201120C48")</f>
        <v>N/A</v>
      </c>
      <c r="K894" t="str">
        <f>RTD("tos.rtd", , "LOW", ".XOP201120C48")</f>
        <v>N/A</v>
      </c>
      <c r="L894" t="str">
        <f>RTD("tos.rtd", , "OPEN", ".XOP201120C48")</f>
        <v>N/A</v>
      </c>
      <c r="M894" t="str">
        <f>RTD("tos.rtd", , "DELTA", ".XOP201120C48")</f>
        <v>N/A</v>
      </c>
      <c r="N894" t="str">
        <f>RTD("tos.rtd", , "GAMMA", ".XOP201120C48")</f>
        <v>N/A</v>
      </c>
      <c r="O894" t="str">
        <f>RTD("tos.rtd", , "THETA", ".XOP201120C48")</f>
        <v>N/A</v>
      </c>
      <c r="P894" t="str">
        <f>RTD("tos.rtd", , "VEGA", ".XOP201120C48")</f>
        <v>N/A</v>
      </c>
      <c r="Q894" t="str">
        <f>RTD("tos.rtd", , "RHO", ".XOP201120C48")</f>
        <v>N/A</v>
      </c>
      <c r="R894" t="str">
        <f>RTD("tos.rtd", , "INTRINSIC", ".XOP201120C48")</f>
        <v>N/A</v>
      </c>
      <c r="S894" t="str">
        <f>RTD("tos.rtd", , "EXTRINSIC", ".XOP201120C48")</f>
        <v>N/A</v>
      </c>
      <c r="T894" t="str">
        <f>RTD("tos.rtd", , "PROB_OF_EXPIRING", ".XOP201120C48")</f>
        <v>N/A</v>
      </c>
      <c r="U894" t="str">
        <f>RTD("tos.rtd", , "PROB_OTM", ".XOP201120C48")</f>
        <v>N/A</v>
      </c>
      <c r="V894" t="str">
        <f>RTD("tos.rtd", , "PROB_OF_TOUCHING", ".XOP201120C48")</f>
        <v>N/A</v>
      </c>
      <c r="W894" t="str">
        <f>RTD("tos.rtd", , "STRIKE", ".XOP201120C48")</f>
        <v>N/A</v>
      </c>
    </row>
    <row r="895" spans="1:23" x14ac:dyDescent="0.45">
      <c r="A895" t="s">
        <v>916</v>
      </c>
      <c r="B895" t="str">
        <f>RTD("tos.rtd", , "DESCRIPTION", ".XOP201120P48")</f>
        <v>N/A</v>
      </c>
      <c r="C895" t="str">
        <f>RTD("tos.rtd", , "PUT_CALL_RATIO", ".XOP201120P48")</f>
        <v>N/A</v>
      </c>
      <c r="D895" t="str">
        <f>RTD("tos.rtd", , "IMPL_VOL", ".XOP201120P48")</f>
        <v>N/A</v>
      </c>
      <c r="E895" t="str">
        <f>RTD("tos.rtd", , "LAST", ".XOP201120P48")</f>
        <v>N/A</v>
      </c>
      <c r="F895" t="str">
        <f>RTD("tos.rtd", , "VOLUME", ".XOP201120P48")</f>
        <v>N/A</v>
      </c>
      <c r="G895" t="str">
        <f>RTD("tos.rtd", , "OPEN_INT", ".XOP201120P48")</f>
        <v>N/A</v>
      </c>
      <c r="H895" t="str">
        <f>RTD("tos.rtd", , "BID", ".XOP201120P48")</f>
        <v>N/A</v>
      </c>
      <c r="I895" t="str">
        <f>RTD("tos.rtd", , "ASK", ".XOP201120P48")</f>
        <v>N/A</v>
      </c>
      <c r="J895" t="str">
        <f>RTD("tos.rtd", , "HIGH", ".XOP201120P48")</f>
        <v>N/A</v>
      </c>
      <c r="K895" t="str">
        <f>RTD("tos.rtd", , "LOW", ".XOP201120P48")</f>
        <v>N/A</v>
      </c>
      <c r="L895" t="str">
        <f>RTD("tos.rtd", , "OPEN", ".XOP201120P48")</f>
        <v>N/A</v>
      </c>
      <c r="M895" t="str">
        <f>RTD("tos.rtd", , "DELTA", ".XOP201120P48")</f>
        <v>N/A</v>
      </c>
      <c r="N895" t="str">
        <f>RTD("tos.rtd", , "GAMMA", ".XOP201120P48")</f>
        <v>N/A</v>
      </c>
      <c r="O895" t="str">
        <f>RTD("tos.rtd", , "THETA", ".XOP201120P48")</f>
        <v>N/A</v>
      </c>
      <c r="P895" t="str">
        <f>RTD("tos.rtd", , "VEGA", ".XOP201120P48")</f>
        <v>N/A</v>
      </c>
      <c r="Q895" t="str">
        <f>RTD("tos.rtd", , "RHO", ".XOP201120P48")</f>
        <v>N/A</v>
      </c>
      <c r="R895" t="str">
        <f>RTD("tos.rtd", , "INTRINSIC", ".XOP201120P48")</f>
        <v>N/A</v>
      </c>
      <c r="S895" t="str">
        <f>RTD("tos.rtd", , "EXTRINSIC", ".XOP201120P48")</f>
        <v>N/A</v>
      </c>
      <c r="T895" t="str">
        <f>RTD("tos.rtd", , "PROB_OF_EXPIRING", ".XOP201120P48")</f>
        <v>N/A</v>
      </c>
      <c r="U895" t="str">
        <f>RTD("tos.rtd", , "PROB_OTM", ".XOP201120P48")</f>
        <v>N/A</v>
      </c>
      <c r="V895" t="str">
        <f>RTD("tos.rtd", , "PROB_OF_TOUCHING", ".XOP201120P48")</f>
        <v>N/A</v>
      </c>
      <c r="W895" t="str">
        <f>RTD("tos.rtd", , "STRIKE", ".XOP201120P48")</f>
        <v>N/A</v>
      </c>
    </row>
    <row r="896" spans="1:23" x14ac:dyDescent="0.45">
      <c r="A896" t="s">
        <v>917</v>
      </c>
      <c r="B896" t="str">
        <f>RTD("tos.rtd", , "DESCRIPTION", ".XOP201120C48.5")</f>
        <v>N/A</v>
      </c>
      <c r="C896" t="str">
        <f>RTD("tos.rtd", , "PUT_CALL_RATIO", ".XOP201120C48.5")</f>
        <v>N/A</v>
      </c>
      <c r="D896" t="str">
        <f>RTD("tos.rtd", , "IMPL_VOL", ".XOP201120C48.5")</f>
        <v>N/A</v>
      </c>
      <c r="E896">
        <f>RTD("tos.rtd", , "LAST", ".XOP201120C48.5")</f>
        <v>0.55000000000000004</v>
      </c>
      <c r="F896">
        <f>RTD("tos.rtd", , "VOLUME", ".XOP201120C48.5")</f>
        <v>28</v>
      </c>
      <c r="G896">
        <f>RTD("tos.rtd", , "OPEN_INT", ".XOP201120C48.5")</f>
        <v>997</v>
      </c>
      <c r="H896">
        <f>RTD("tos.rtd", , "BID", ".XOP201120C48.5")</f>
        <v>0.59</v>
      </c>
      <c r="I896">
        <f>RTD("tos.rtd", , "ASK", ".XOP201120C48.5")</f>
        <v>0.67</v>
      </c>
      <c r="J896">
        <f>RTD("tos.rtd", , "HIGH", ".XOP201120C48.5")</f>
        <v>0.93</v>
      </c>
      <c r="K896">
        <f>RTD("tos.rtd", , "LOW", ".XOP201120C48.5")</f>
        <v>0.55000000000000004</v>
      </c>
      <c r="L896">
        <f>RTD("tos.rtd", , "OPEN", ".XOP201120C48.5")</f>
        <v>0.93</v>
      </c>
      <c r="M896" t="str">
        <f>RTD("tos.rtd", , "DELTA", ".XOP201120C48.5")</f>
        <v>N/A</v>
      </c>
      <c r="N896" t="str">
        <f>RTD("tos.rtd", , "GAMMA", ".XOP201120C48.5")</f>
        <v>N/A</v>
      </c>
      <c r="O896" t="str">
        <f>RTD("tos.rtd", , "THETA", ".XOP201120C48.5")</f>
        <v>N/A</v>
      </c>
      <c r="P896" t="str">
        <f>RTD("tos.rtd", , "VEGA", ".XOP201120C48.5")</f>
        <v>N/A</v>
      </c>
      <c r="Q896" t="str">
        <f>RTD("tos.rtd", , "RHO", ".XOP201120C48.5")</f>
        <v>N/A</v>
      </c>
      <c r="R896" t="str">
        <f>RTD("tos.rtd", , "INTRINSIC", ".XOP201120C48.5")</f>
        <v>N/A</v>
      </c>
      <c r="S896" t="str">
        <f>RTD("tos.rtd", , "EXTRINSIC", ".XOP201120C48.5")</f>
        <v>N/A</v>
      </c>
      <c r="T896" t="str">
        <f>RTD("tos.rtd", , "PROB_OF_EXPIRING", ".XOP201120C48.5")</f>
        <v>N/A</v>
      </c>
      <c r="U896" t="str">
        <f>RTD("tos.rtd", , "PROB_OTM", ".XOP201120C48.5")</f>
        <v>N/A</v>
      </c>
      <c r="V896" t="str">
        <f>RTD("tos.rtd", , "PROB_OF_TOUCHING", ".XOP201120C48.5")</f>
        <v>N/A</v>
      </c>
      <c r="W896" t="str">
        <f>RTD("tos.rtd", , "STRIKE", ".XOP201120C48.5")</f>
        <v>N/A</v>
      </c>
    </row>
    <row r="897" spans="1:23" x14ac:dyDescent="0.45">
      <c r="A897" t="s">
        <v>918</v>
      </c>
      <c r="B897" t="str">
        <f>RTD("tos.rtd", , "DESCRIPTION", ".XOP201120P48.5")</f>
        <v>N/A</v>
      </c>
      <c r="C897" t="str">
        <f>RTD("tos.rtd", , "PUT_CALL_RATIO", ".XOP201120P48.5")</f>
        <v>N/A</v>
      </c>
      <c r="D897" t="str">
        <f>RTD("tos.rtd", , "IMPL_VOL", ".XOP201120P48.5")</f>
        <v>N/A</v>
      </c>
      <c r="E897">
        <f>RTD("tos.rtd", , "LAST", ".XOP201120P48.5")</f>
        <v>1.48</v>
      </c>
      <c r="F897">
        <f>RTD("tos.rtd", , "VOLUME", ".XOP201120P48.5")</f>
        <v>0</v>
      </c>
      <c r="G897">
        <f>RTD("tos.rtd", , "OPEN_INT", ".XOP201120P48.5")</f>
        <v>17</v>
      </c>
      <c r="H897">
        <f>RTD("tos.rtd", , "BID", ".XOP201120P48.5")</f>
        <v>2.73</v>
      </c>
      <c r="I897">
        <f>RTD("tos.rtd", , "ASK", ".XOP201120P48.5")</f>
        <v>2.98</v>
      </c>
      <c r="J897">
        <f>RTD("tos.rtd", , "HIGH", ".XOP201120P48.5")</f>
        <v>0</v>
      </c>
      <c r="K897">
        <f>RTD("tos.rtd", , "LOW", ".XOP201120P48.5")</f>
        <v>0</v>
      </c>
      <c r="L897">
        <f>RTD("tos.rtd", , "OPEN", ".XOP201120P48.5")</f>
        <v>0</v>
      </c>
      <c r="M897" t="str">
        <f>RTD("tos.rtd", , "DELTA", ".XOP201120P48.5")</f>
        <v>N/A</v>
      </c>
      <c r="N897" t="str">
        <f>RTD("tos.rtd", , "GAMMA", ".XOP201120P48.5")</f>
        <v>N/A</v>
      </c>
      <c r="O897" t="str">
        <f>RTD("tos.rtd", , "THETA", ".XOP201120P48.5")</f>
        <v>N/A</v>
      </c>
      <c r="P897" t="str">
        <f>RTD("tos.rtd", , "VEGA", ".XOP201120P48.5")</f>
        <v>N/A</v>
      </c>
      <c r="Q897" t="str">
        <f>RTD("tos.rtd", , "RHO", ".XOP201120P48.5")</f>
        <v>N/A</v>
      </c>
      <c r="R897" t="str">
        <f>RTD("tos.rtd", , "INTRINSIC", ".XOP201120P48.5")</f>
        <v>N/A</v>
      </c>
      <c r="S897" t="str">
        <f>RTD("tos.rtd", , "EXTRINSIC", ".XOP201120P48.5")</f>
        <v>N/A</v>
      </c>
      <c r="T897" t="str">
        <f>RTD("tos.rtd", , "PROB_OF_EXPIRING", ".XOP201120P48.5")</f>
        <v>N/A</v>
      </c>
      <c r="U897" t="str">
        <f>RTD("tos.rtd", , "PROB_OTM", ".XOP201120P48.5")</f>
        <v>N/A</v>
      </c>
      <c r="V897" t="str">
        <f>RTD("tos.rtd", , "PROB_OF_TOUCHING", ".XOP201120P48.5")</f>
        <v>N/A</v>
      </c>
      <c r="W897" t="str">
        <f>RTD("tos.rtd", , "STRIKE", ".XOP201120P48.5")</f>
        <v>N/A</v>
      </c>
    </row>
    <row r="898" spans="1:23" x14ac:dyDescent="0.45">
      <c r="A898" t="s">
        <v>919</v>
      </c>
      <c r="B898" t="str">
        <f>RTD("tos.rtd", , "DESCRIPTION", ".XOP201120C49")</f>
        <v>N/A</v>
      </c>
      <c r="C898" t="str">
        <f>RTD("tos.rtd", , "PUT_CALL_RATIO", ".XOP201120C49")</f>
        <v>N/A</v>
      </c>
      <c r="D898" t="str">
        <f>RTD("tos.rtd", , "IMPL_VOL", ".XOP201120C49")</f>
        <v>N/A</v>
      </c>
      <c r="E898">
        <f>RTD("tos.rtd", , "LAST", ".XOP201120C49")</f>
        <v>0.45</v>
      </c>
      <c r="F898">
        <f>RTD("tos.rtd", , "VOLUME", ".XOP201120C49")</f>
        <v>6170</v>
      </c>
      <c r="G898">
        <f>RTD("tos.rtd", , "OPEN_INT", ".XOP201120C49")</f>
        <v>6543</v>
      </c>
      <c r="H898">
        <f>RTD("tos.rtd", , "BID", ".XOP201120C49")</f>
        <v>0.48</v>
      </c>
      <c r="I898">
        <f>RTD("tos.rtd", , "ASK", ".XOP201120C49")</f>
        <v>0.54</v>
      </c>
      <c r="J898">
        <f>RTD("tos.rtd", , "HIGH", ".XOP201120C49")</f>
        <v>1.1399999999999999</v>
      </c>
      <c r="K898">
        <f>RTD("tos.rtd", , "LOW", ".XOP201120C49")</f>
        <v>0.45</v>
      </c>
      <c r="L898">
        <f>RTD("tos.rtd", , "OPEN", ".XOP201120C49")</f>
        <v>0.81</v>
      </c>
      <c r="M898" t="str">
        <f>RTD("tos.rtd", , "DELTA", ".XOP201120C49")</f>
        <v>N/A</v>
      </c>
      <c r="N898" t="str">
        <f>RTD("tos.rtd", , "GAMMA", ".XOP201120C49")</f>
        <v>N/A</v>
      </c>
      <c r="O898" t="str">
        <f>RTD("tos.rtd", , "THETA", ".XOP201120C49")</f>
        <v>N/A</v>
      </c>
      <c r="P898" t="str">
        <f>RTD("tos.rtd", , "VEGA", ".XOP201120C49")</f>
        <v>N/A</v>
      </c>
      <c r="Q898" t="str">
        <f>RTD("tos.rtd", , "RHO", ".XOP201120C49")</f>
        <v>N/A</v>
      </c>
      <c r="R898" t="str">
        <f>RTD("tos.rtd", , "INTRINSIC", ".XOP201120C49")</f>
        <v>N/A</v>
      </c>
      <c r="S898" t="str">
        <f>RTD("tos.rtd", , "EXTRINSIC", ".XOP201120C49")</f>
        <v>N/A</v>
      </c>
      <c r="T898" t="str">
        <f>RTD("tos.rtd", , "PROB_OF_EXPIRING", ".XOP201120C49")</f>
        <v>N/A</v>
      </c>
      <c r="U898" t="str">
        <f>RTD("tos.rtd", , "PROB_OTM", ".XOP201120C49")</f>
        <v>N/A</v>
      </c>
      <c r="V898" t="str">
        <f>RTD("tos.rtd", , "PROB_OF_TOUCHING", ".XOP201120C49")</f>
        <v>N/A</v>
      </c>
      <c r="W898" t="str">
        <f>RTD("tos.rtd", , "STRIKE", ".XOP201120C49")</f>
        <v>N/A</v>
      </c>
    </row>
    <row r="899" spans="1:23" x14ac:dyDescent="0.45">
      <c r="A899" t="s">
        <v>920</v>
      </c>
      <c r="B899" t="str">
        <f>RTD("tos.rtd", , "DESCRIPTION", ".XOP201120P49")</f>
        <v>N/A</v>
      </c>
      <c r="C899" t="str">
        <f>RTD("tos.rtd", , "PUT_CALL_RATIO", ".XOP201120P49")</f>
        <v>N/A</v>
      </c>
      <c r="D899" t="str">
        <f>RTD("tos.rtd", , "IMPL_VOL", ".XOP201120P49")</f>
        <v>N/A</v>
      </c>
      <c r="E899" t="str">
        <f>RTD("tos.rtd", , "LAST", ".XOP201120P49")</f>
        <v>N/A</v>
      </c>
      <c r="F899" t="str">
        <f>RTD("tos.rtd", , "VOLUME", ".XOP201120P49")</f>
        <v>N/A</v>
      </c>
      <c r="G899" t="str">
        <f>RTD("tos.rtd", , "OPEN_INT", ".XOP201120P49")</f>
        <v>N/A</v>
      </c>
      <c r="H899" t="str">
        <f>RTD("tos.rtd", , "BID", ".XOP201120P49")</f>
        <v>N/A</v>
      </c>
      <c r="I899" t="str">
        <f>RTD("tos.rtd", , "ASK", ".XOP201120P49")</f>
        <v>N/A</v>
      </c>
      <c r="J899" t="str">
        <f>RTD("tos.rtd", , "HIGH", ".XOP201120P49")</f>
        <v>N/A</v>
      </c>
      <c r="K899" t="str">
        <f>RTD("tos.rtd", , "LOW", ".XOP201120P49")</f>
        <v>N/A</v>
      </c>
      <c r="L899" t="str">
        <f>RTD("tos.rtd", , "OPEN", ".XOP201120P49")</f>
        <v>N/A</v>
      </c>
      <c r="M899" t="str">
        <f>RTD("tos.rtd", , "DELTA", ".XOP201120P49")</f>
        <v>N/A</v>
      </c>
      <c r="N899" t="str">
        <f>RTD("tos.rtd", , "GAMMA", ".XOP201120P49")</f>
        <v>N/A</v>
      </c>
      <c r="O899" t="str">
        <f>RTD("tos.rtd", , "THETA", ".XOP201120P49")</f>
        <v>N/A</v>
      </c>
      <c r="P899" t="str">
        <f>RTD("tos.rtd", , "VEGA", ".XOP201120P49")</f>
        <v>N/A</v>
      </c>
      <c r="Q899" t="str">
        <f>RTD("tos.rtd", , "RHO", ".XOP201120P49")</f>
        <v>N/A</v>
      </c>
      <c r="R899" t="str">
        <f>RTD("tos.rtd", , "INTRINSIC", ".XOP201120P49")</f>
        <v>N/A</v>
      </c>
      <c r="S899" t="str">
        <f>RTD("tos.rtd", , "EXTRINSIC", ".XOP201120P49")</f>
        <v>N/A</v>
      </c>
      <c r="T899" t="str">
        <f>RTD("tos.rtd", , "PROB_OF_EXPIRING", ".XOP201120P49")</f>
        <v>N/A</v>
      </c>
      <c r="U899" t="str">
        <f>RTD("tos.rtd", , "PROB_OTM", ".XOP201120P49")</f>
        <v>N/A</v>
      </c>
      <c r="V899" t="str">
        <f>RTD("tos.rtd", , "PROB_OF_TOUCHING", ".XOP201120P49")</f>
        <v>N/A</v>
      </c>
      <c r="W899" t="str">
        <f>RTD("tos.rtd", , "STRIKE", ".XOP201120P49")</f>
        <v>N/A</v>
      </c>
    </row>
    <row r="900" spans="1:23" x14ac:dyDescent="0.45">
      <c r="A900" t="s">
        <v>921</v>
      </c>
      <c r="B900" t="str">
        <f>RTD("tos.rtd", , "DESCRIPTION", ".XOP201120C49.5")</f>
        <v>N/A</v>
      </c>
      <c r="C900" t="str">
        <f>RTD("tos.rtd", , "PUT_CALL_RATIO", ".XOP201120C49.5")</f>
        <v>N/A</v>
      </c>
      <c r="D900" t="str">
        <f>RTD("tos.rtd", , "IMPL_VOL", ".XOP201120C49.5")</f>
        <v>N/A</v>
      </c>
      <c r="E900" t="str">
        <f>RTD("tos.rtd", , "LAST", ".XOP201120C49.5")</f>
        <v>N/A</v>
      </c>
      <c r="F900" t="str">
        <f>RTD("tos.rtd", , "VOLUME", ".XOP201120C49.5")</f>
        <v>N/A</v>
      </c>
      <c r="G900" t="str">
        <f>RTD("tos.rtd", , "OPEN_INT", ".XOP201120C49.5")</f>
        <v>N/A</v>
      </c>
      <c r="H900" t="str">
        <f>RTD("tos.rtd", , "BID", ".XOP201120C49.5")</f>
        <v>N/A</v>
      </c>
      <c r="I900" t="str">
        <f>RTD("tos.rtd", , "ASK", ".XOP201120C49.5")</f>
        <v>N/A</v>
      </c>
      <c r="J900" t="str">
        <f>RTD("tos.rtd", , "HIGH", ".XOP201120C49.5")</f>
        <v>N/A</v>
      </c>
      <c r="K900" t="str">
        <f>RTD("tos.rtd", , "LOW", ".XOP201120C49.5")</f>
        <v>N/A</v>
      </c>
      <c r="L900" t="str">
        <f>RTD("tos.rtd", , "OPEN", ".XOP201120C49.5")</f>
        <v>N/A</v>
      </c>
      <c r="M900" t="str">
        <f>RTD("tos.rtd", , "DELTA", ".XOP201120C49.5")</f>
        <v>N/A</v>
      </c>
      <c r="N900" t="str">
        <f>RTD("tos.rtd", , "GAMMA", ".XOP201120C49.5")</f>
        <v>N/A</v>
      </c>
      <c r="O900" t="str">
        <f>RTD("tos.rtd", , "THETA", ".XOP201120C49.5")</f>
        <v>N/A</v>
      </c>
      <c r="P900" t="str">
        <f>RTD("tos.rtd", , "VEGA", ".XOP201120C49.5")</f>
        <v>N/A</v>
      </c>
      <c r="Q900" t="str">
        <f>RTD("tos.rtd", , "RHO", ".XOP201120C49.5")</f>
        <v>N/A</v>
      </c>
      <c r="R900" t="str">
        <f>RTD("tos.rtd", , "INTRINSIC", ".XOP201120C49.5")</f>
        <v>N/A</v>
      </c>
      <c r="S900" t="str">
        <f>RTD("tos.rtd", , "EXTRINSIC", ".XOP201120C49.5")</f>
        <v>N/A</v>
      </c>
      <c r="T900" t="str">
        <f>RTD("tos.rtd", , "PROB_OF_EXPIRING", ".XOP201120C49.5")</f>
        <v>N/A</v>
      </c>
      <c r="U900" t="str">
        <f>RTD("tos.rtd", , "PROB_OTM", ".XOP201120C49.5")</f>
        <v>N/A</v>
      </c>
      <c r="V900" t="str">
        <f>RTD("tos.rtd", , "PROB_OF_TOUCHING", ".XOP201120C49.5")</f>
        <v>N/A</v>
      </c>
      <c r="W900" t="str">
        <f>RTD("tos.rtd", , "STRIKE", ".XOP201120C49.5")</f>
        <v>N/A</v>
      </c>
    </row>
    <row r="901" spans="1:23" x14ac:dyDescent="0.45">
      <c r="A901" t="s">
        <v>922</v>
      </c>
      <c r="B901" t="str">
        <f>RTD("tos.rtd", , "DESCRIPTION", ".XOP201120P49.5")</f>
        <v>N/A</v>
      </c>
      <c r="C901" t="str">
        <f>RTD("tos.rtd", , "PUT_CALL_RATIO", ".XOP201120P49.5")</f>
        <v>N/A</v>
      </c>
      <c r="D901" t="str">
        <f>RTD("tos.rtd", , "IMPL_VOL", ".XOP201120P49.5")</f>
        <v>N/A</v>
      </c>
      <c r="E901">
        <f>RTD("tos.rtd", , "LAST", ".XOP201120P49.5")</f>
        <v>3.44</v>
      </c>
      <c r="F901">
        <f>RTD("tos.rtd", , "VOLUME", ".XOP201120P49.5")</f>
        <v>10</v>
      </c>
      <c r="G901">
        <f>RTD("tos.rtd", , "OPEN_INT", ".XOP201120P49.5")</f>
        <v>2</v>
      </c>
      <c r="H901">
        <f>RTD("tos.rtd", , "BID", ".XOP201120P49.5")</f>
        <v>3.45</v>
      </c>
      <c r="I901">
        <f>RTD("tos.rtd", , "ASK", ".XOP201120P49.5")</f>
        <v>3.65</v>
      </c>
      <c r="J901">
        <f>RTD("tos.rtd", , "HIGH", ".XOP201120P49.5")</f>
        <v>3.44</v>
      </c>
      <c r="K901">
        <f>RTD("tos.rtd", , "LOW", ".XOP201120P49.5")</f>
        <v>3.44</v>
      </c>
      <c r="L901">
        <f>RTD("tos.rtd", , "OPEN", ".XOP201120P49.5")</f>
        <v>3.44</v>
      </c>
      <c r="M901" t="str">
        <f>RTD("tos.rtd", , "DELTA", ".XOP201120P49.5")</f>
        <v>N/A</v>
      </c>
      <c r="N901" t="str">
        <f>RTD("tos.rtd", , "GAMMA", ".XOP201120P49.5")</f>
        <v>N/A</v>
      </c>
      <c r="O901" t="str">
        <f>RTD("tos.rtd", , "THETA", ".XOP201120P49.5")</f>
        <v>N/A</v>
      </c>
      <c r="P901" t="str">
        <f>RTD("tos.rtd", , "VEGA", ".XOP201120P49.5")</f>
        <v>N/A</v>
      </c>
      <c r="Q901" t="str">
        <f>RTD("tos.rtd", , "RHO", ".XOP201120P49.5")</f>
        <v>N/A</v>
      </c>
      <c r="R901" t="str">
        <f>RTD("tos.rtd", , "INTRINSIC", ".XOP201120P49.5")</f>
        <v>N/A</v>
      </c>
      <c r="S901" t="str">
        <f>RTD("tos.rtd", , "EXTRINSIC", ".XOP201120P49.5")</f>
        <v>N/A</v>
      </c>
      <c r="T901" t="str">
        <f>RTD("tos.rtd", , "PROB_OF_EXPIRING", ".XOP201120P49.5")</f>
        <v>N/A</v>
      </c>
      <c r="U901" t="str">
        <f>RTD("tos.rtd", , "PROB_OTM", ".XOP201120P49.5")</f>
        <v>N/A</v>
      </c>
      <c r="V901" t="str">
        <f>RTD("tos.rtd", , "PROB_OF_TOUCHING", ".XOP201120P49.5")</f>
        <v>N/A</v>
      </c>
      <c r="W901" t="str">
        <f>RTD("tos.rtd", , "STRIKE", ".XOP201120P49.5")</f>
        <v>N/A</v>
      </c>
    </row>
    <row r="902" spans="1:23" x14ac:dyDescent="0.45">
      <c r="A902" t="s">
        <v>923</v>
      </c>
      <c r="B902" t="str">
        <f>RTD("tos.rtd", , "DESCRIPTION", "XRT")</f>
        <v>SPDR SERIES TRUST S&amp;P RETAIL ETF</v>
      </c>
      <c r="C902">
        <f>RTD("tos.rtd", , "PUT_CALL_RATIO", "XRT")</f>
        <v>2.4569999999999999</v>
      </c>
      <c r="D902" t="str">
        <f>RTD("tos.rtd", , "IMPL_VOL", "XRT")</f>
        <v>33.09%</v>
      </c>
      <c r="E902">
        <f>RTD("tos.rtd", , "LAST", "XRT")</f>
        <v>53.5</v>
      </c>
      <c r="F902">
        <f>RTD("tos.rtd", , "VOLUME", "XRT")</f>
        <v>3079899</v>
      </c>
      <c r="G902">
        <f>RTD("tos.rtd", , "OPEN_INT", "XRT")</f>
        <v>0</v>
      </c>
      <c r="H902">
        <f>RTD("tos.rtd", , "BID", "XRT")</f>
        <v>53.17</v>
      </c>
      <c r="I902">
        <f>RTD("tos.rtd", , "ASK", "XRT")</f>
        <v>53.78</v>
      </c>
      <c r="J902">
        <f>RTD("tos.rtd", , "HIGH", "XRT")</f>
        <v>54.61</v>
      </c>
      <c r="K902">
        <f>RTD("tos.rtd", , "LOW", "XRT")</f>
        <v>53.12</v>
      </c>
      <c r="L902">
        <f>RTD("tos.rtd", , "OPEN", "XRT")</f>
        <v>54.47</v>
      </c>
      <c r="M902">
        <f>RTD("tos.rtd", , "DELTA", "XRT")</f>
        <v>1</v>
      </c>
      <c r="N902">
        <f>RTD("tos.rtd", , "GAMMA", "XRT")</f>
        <v>0</v>
      </c>
      <c r="O902">
        <f>RTD("tos.rtd", , "THETA", "XRT")</f>
        <v>0</v>
      </c>
      <c r="P902">
        <f>RTD("tos.rtd", , "VEGA", "XRT")</f>
        <v>0</v>
      </c>
      <c r="Q902">
        <f>RTD("tos.rtd", , "RHO", "XRT")</f>
        <v>0</v>
      </c>
      <c r="R902" t="str">
        <f>RTD("tos.rtd", , "INTRINSIC", "XRT")</f>
        <v>N/A</v>
      </c>
      <c r="S902" t="str">
        <f>RTD("tos.rtd", , "EXTRINSIC", "XRT")</f>
        <v>N/A</v>
      </c>
      <c r="T902" t="str">
        <f>RTD("tos.rtd", , "PROB_OF_EXPIRING", "XRT")</f>
        <v>N/A</v>
      </c>
      <c r="U902" t="str">
        <f>RTD("tos.rtd", , "PROB_OTM", "XRT")</f>
        <v>N/A</v>
      </c>
      <c r="V902" t="str">
        <f>RTD("tos.rtd", , "PROB_OF_TOUCHING", "XRT")</f>
        <v>N/A</v>
      </c>
      <c r="W902" t="str">
        <f>RTD("tos.rtd", , "STRIKE", "XRT")</f>
        <v>N/A</v>
      </c>
    </row>
    <row r="903" spans="1:23" x14ac:dyDescent="0.45">
      <c r="A903" t="s">
        <v>924</v>
      </c>
      <c r="B903" t="str">
        <f>RTD("tos.rtd", , "DESCRIPTION", ".XRT201120C54")</f>
        <v>N/A</v>
      </c>
      <c r="C903" t="str">
        <f>RTD("tos.rtd", , "PUT_CALL_RATIO", ".XRT201120C54")</f>
        <v>N/A</v>
      </c>
      <c r="D903" t="str">
        <f>RTD("tos.rtd", , "IMPL_VOL", ".XRT201120C54")</f>
        <v>N/A</v>
      </c>
      <c r="E903" t="str">
        <f>RTD("tos.rtd", , "LAST", ".XRT201120C54")</f>
        <v>N/A</v>
      </c>
      <c r="F903" t="str">
        <f>RTD("tos.rtd", , "VOLUME", ".XRT201120C54")</f>
        <v>N/A</v>
      </c>
      <c r="G903" t="str">
        <f>RTD("tos.rtd", , "OPEN_INT", ".XRT201120C54")</f>
        <v>N/A</v>
      </c>
      <c r="H903" t="str">
        <f>RTD("tos.rtd", , "BID", ".XRT201120C54")</f>
        <v>N/A</v>
      </c>
      <c r="I903" t="str">
        <f>RTD("tos.rtd", , "ASK", ".XRT201120C54")</f>
        <v>N/A</v>
      </c>
      <c r="J903" t="str">
        <f>RTD("tos.rtd", , "HIGH", ".XRT201120C54")</f>
        <v>N/A</v>
      </c>
      <c r="K903" t="str">
        <f>RTD("tos.rtd", , "LOW", ".XRT201120C54")</f>
        <v>N/A</v>
      </c>
      <c r="L903" t="str">
        <f>RTD("tos.rtd", , "OPEN", ".XRT201120C54")</f>
        <v>N/A</v>
      </c>
      <c r="M903" t="str">
        <f>RTD("tos.rtd", , "DELTA", ".XRT201120C54")</f>
        <v>N/A</v>
      </c>
      <c r="N903" t="str">
        <f>RTD("tos.rtd", , "GAMMA", ".XRT201120C54")</f>
        <v>N/A</v>
      </c>
      <c r="O903" t="str">
        <f>RTD("tos.rtd", , "THETA", ".XRT201120C54")</f>
        <v>N/A</v>
      </c>
      <c r="P903" t="str">
        <f>RTD("tos.rtd", , "VEGA", ".XRT201120C54")</f>
        <v>N/A</v>
      </c>
      <c r="Q903" t="str">
        <f>RTD("tos.rtd", , "RHO", ".XRT201120C54")</f>
        <v>N/A</v>
      </c>
      <c r="R903" t="str">
        <f>RTD("tos.rtd", , "INTRINSIC", ".XRT201120C54")</f>
        <v>N/A</v>
      </c>
      <c r="S903" t="str">
        <f>RTD("tos.rtd", , "EXTRINSIC", ".XRT201120C54")</f>
        <v>N/A</v>
      </c>
      <c r="T903" t="str">
        <f>RTD("tos.rtd", , "PROB_OF_EXPIRING", ".XRT201120C54")</f>
        <v>N/A</v>
      </c>
      <c r="U903" t="str">
        <f>RTD("tos.rtd", , "PROB_OTM", ".XRT201120C54")</f>
        <v>N/A</v>
      </c>
      <c r="V903" t="str">
        <f>RTD("tos.rtd", , "PROB_OF_TOUCHING", ".XRT201120C54")</f>
        <v>N/A</v>
      </c>
      <c r="W903" t="str">
        <f>RTD("tos.rtd", , "STRIKE", ".XRT201120C54")</f>
        <v>N/A</v>
      </c>
    </row>
    <row r="904" spans="1:23" x14ac:dyDescent="0.45">
      <c r="A904" t="s">
        <v>925</v>
      </c>
      <c r="B904" t="str">
        <f>RTD("tos.rtd", , "DESCRIPTION", ".XRT201120P54")</f>
        <v>N/A</v>
      </c>
      <c r="C904" t="str">
        <f>RTD("tos.rtd", , "PUT_CALL_RATIO", ".XRT201120P54")</f>
        <v>N/A</v>
      </c>
      <c r="D904" t="str">
        <f>RTD("tos.rtd", , "IMPL_VOL", ".XRT201120P54")</f>
        <v>N/A</v>
      </c>
      <c r="E904" t="str">
        <f>RTD("tos.rtd", , "LAST", ".XRT201120P54")</f>
        <v>N/A</v>
      </c>
      <c r="F904" t="str">
        <f>RTD("tos.rtd", , "VOLUME", ".XRT201120P54")</f>
        <v>N/A</v>
      </c>
      <c r="G904" t="str">
        <f>RTD("tos.rtd", , "OPEN_INT", ".XRT201120P54")</f>
        <v>N/A</v>
      </c>
      <c r="H904" t="str">
        <f>RTD("tos.rtd", , "BID", ".XRT201120P54")</f>
        <v>N/A</v>
      </c>
      <c r="I904" t="str">
        <f>RTD("tos.rtd", , "ASK", ".XRT201120P54")</f>
        <v>N/A</v>
      </c>
      <c r="J904" t="str">
        <f>RTD("tos.rtd", , "HIGH", ".XRT201120P54")</f>
        <v>N/A</v>
      </c>
      <c r="K904" t="str">
        <f>RTD("tos.rtd", , "LOW", ".XRT201120P54")</f>
        <v>N/A</v>
      </c>
      <c r="L904" t="str">
        <f>RTD("tos.rtd", , "OPEN", ".XRT201120P54")</f>
        <v>N/A</v>
      </c>
      <c r="M904" t="str">
        <f>RTD("tos.rtd", , "DELTA", ".XRT201120P54")</f>
        <v>N/A</v>
      </c>
      <c r="N904" t="str">
        <f>RTD("tos.rtd", , "GAMMA", ".XRT201120P54")</f>
        <v>N/A</v>
      </c>
      <c r="O904" t="str">
        <f>RTD("tos.rtd", , "THETA", ".XRT201120P54")</f>
        <v>N/A</v>
      </c>
      <c r="P904" t="str">
        <f>RTD("tos.rtd", , "VEGA", ".XRT201120P54")</f>
        <v>N/A</v>
      </c>
      <c r="Q904" t="str">
        <f>RTD("tos.rtd", , "RHO", ".XRT201120P54")</f>
        <v>N/A</v>
      </c>
      <c r="R904" t="str">
        <f>RTD("tos.rtd", , "INTRINSIC", ".XRT201120P54")</f>
        <v>N/A</v>
      </c>
      <c r="S904" t="str">
        <f>RTD("tos.rtd", , "EXTRINSIC", ".XRT201120P54")</f>
        <v>N/A</v>
      </c>
      <c r="T904" t="str">
        <f>RTD("tos.rtd", , "PROB_OF_EXPIRING", ".XRT201120P54")</f>
        <v>N/A</v>
      </c>
      <c r="U904" t="str">
        <f>RTD("tos.rtd", , "PROB_OTM", ".XRT201120P54")</f>
        <v>N/A</v>
      </c>
      <c r="V904" t="str">
        <f>RTD("tos.rtd", , "PROB_OF_TOUCHING", ".XRT201120P54")</f>
        <v>N/A</v>
      </c>
      <c r="W904" t="str">
        <f>RTD("tos.rtd", , "STRIKE", ".XRT201120P54")</f>
        <v>N/A</v>
      </c>
    </row>
    <row r="905" spans="1:23" x14ac:dyDescent="0.45">
      <c r="A905" t="s">
        <v>926</v>
      </c>
      <c r="B905" t="str">
        <f>RTD("tos.rtd", , "DESCRIPTION", ".XRT201120C54.5")</f>
        <v>N/A</v>
      </c>
      <c r="C905" t="str">
        <f>RTD("tos.rtd", , "PUT_CALL_RATIO", ".XRT201120C54.5")</f>
        <v>N/A</v>
      </c>
      <c r="D905" t="str">
        <f>RTD("tos.rtd", , "IMPL_VOL", ".XRT201120C54.5")</f>
        <v>N/A</v>
      </c>
      <c r="E905" t="str">
        <f>RTD("tos.rtd", , "LAST", ".XRT201120C54.5")</f>
        <v>N/A</v>
      </c>
      <c r="F905" t="str">
        <f>RTD("tos.rtd", , "VOLUME", ".XRT201120C54.5")</f>
        <v>N/A</v>
      </c>
      <c r="G905" t="str">
        <f>RTD("tos.rtd", , "OPEN_INT", ".XRT201120C54.5")</f>
        <v>N/A</v>
      </c>
      <c r="H905" t="str">
        <f>RTD("tos.rtd", , "BID", ".XRT201120C54.5")</f>
        <v>N/A</v>
      </c>
      <c r="I905" t="str">
        <f>RTD("tos.rtd", , "ASK", ".XRT201120C54.5")</f>
        <v>N/A</v>
      </c>
      <c r="J905" t="str">
        <f>RTD("tos.rtd", , "HIGH", ".XRT201120C54.5")</f>
        <v>N/A</v>
      </c>
      <c r="K905" t="str">
        <f>RTD("tos.rtd", , "LOW", ".XRT201120C54.5")</f>
        <v>N/A</v>
      </c>
      <c r="L905" t="str">
        <f>RTD("tos.rtd", , "OPEN", ".XRT201120C54.5")</f>
        <v>N/A</v>
      </c>
      <c r="M905" t="str">
        <f>RTD("tos.rtd", , "DELTA", ".XRT201120C54.5")</f>
        <v>N/A</v>
      </c>
      <c r="N905" t="str">
        <f>RTD("tos.rtd", , "GAMMA", ".XRT201120C54.5")</f>
        <v>N/A</v>
      </c>
      <c r="O905" t="str">
        <f>RTD("tos.rtd", , "THETA", ".XRT201120C54.5")</f>
        <v>N/A</v>
      </c>
      <c r="P905" t="str">
        <f>RTD("tos.rtd", , "VEGA", ".XRT201120C54.5")</f>
        <v>N/A</v>
      </c>
      <c r="Q905" t="str">
        <f>RTD("tos.rtd", , "RHO", ".XRT201120C54.5")</f>
        <v>N/A</v>
      </c>
      <c r="R905" t="str">
        <f>RTD("tos.rtd", , "INTRINSIC", ".XRT201120C54.5")</f>
        <v>N/A</v>
      </c>
      <c r="S905" t="str">
        <f>RTD("tos.rtd", , "EXTRINSIC", ".XRT201120C54.5")</f>
        <v>N/A</v>
      </c>
      <c r="T905" t="str">
        <f>RTD("tos.rtd", , "PROB_OF_EXPIRING", ".XRT201120C54.5")</f>
        <v>N/A</v>
      </c>
      <c r="U905" t="str">
        <f>RTD("tos.rtd", , "PROB_OTM", ".XRT201120C54.5")</f>
        <v>N/A</v>
      </c>
      <c r="V905" t="str">
        <f>RTD("tos.rtd", , "PROB_OF_TOUCHING", ".XRT201120C54.5")</f>
        <v>N/A</v>
      </c>
      <c r="W905" t="str">
        <f>RTD("tos.rtd", , "STRIKE", ".XRT201120C54.5")</f>
        <v>N/A</v>
      </c>
    </row>
    <row r="906" spans="1:23" x14ac:dyDescent="0.45">
      <c r="A906" t="s">
        <v>927</v>
      </c>
      <c r="B906" t="str">
        <f>RTD("tos.rtd", , "DESCRIPTION", ".XRT201120P54.5")</f>
        <v>N/A</v>
      </c>
      <c r="C906" t="str">
        <f>RTD("tos.rtd", , "PUT_CALL_RATIO", ".XRT201120P54.5")</f>
        <v>N/A</v>
      </c>
      <c r="D906" t="str">
        <f>RTD("tos.rtd", , "IMPL_VOL", ".XRT201120P54.5")</f>
        <v>N/A</v>
      </c>
      <c r="E906" t="str">
        <f>RTD("tos.rtd", , "LAST", ".XRT201120P54.5")</f>
        <v>N/A</v>
      </c>
      <c r="F906" t="str">
        <f>RTD("tos.rtd", , "VOLUME", ".XRT201120P54.5")</f>
        <v>N/A</v>
      </c>
      <c r="G906" t="str">
        <f>RTD("tos.rtd", , "OPEN_INT", ".XRT201120P54.5")</f>
        <v>N/A</v>
      </c>
      <c r="H906" t="str">
        <f>RTD("tos.rtd", , "BID", ".XRT201120P54.5")</f>
        <v>N/A</v>
      </c>
      <c r="I906" t="str">
        <f>RTD("tos.rtd", , "ASK", ".XRT201120P54.5")</f>
        <v>N/A</v>
      </c>
      <c r="J906" t="str">
        <f>RTD("tos.rtd", , "HIGH", ".XRT201120P54.5")</f>
        <v>N/A</v>
      </c>
      <c r="K906" t="str">
        <f>RTD("tos.rtd", , "LOW", ".XRT201120P54.5")</f>
        <v>N/A</v>
      </c>
      <c r="L906" t="str">
        <f>RTD("tos.rtd", , "OPEN", ".XRT201120P54.5")</f>
        <v>N/A</v>
      </c>
      <c r="M906" t="str">
        <f>RTD("tos.rtd", , "DELTA", ".XRT201120P54.5")</f>
        <v>N/A</v>
      </c>
      <c r="N906" t="str">
        <f>RTD("tos.rtd", , "GAMMA", ".XRT201120P54.5")</f>
        <v>N/A</v>
      </c>
      <c r="O906" t="str">
        <f>RTD("tos.rtd", , "THETA", ".XRT201120P54.5")</f>
        <v>N/A</v>
      </c>
      <c r="P906" t="str">
        <f>RTD("tos.rtd", , "VEGA", ".XRT201120P54.5")</f>
        <v>N/A</v>
      </c>
      <c r="Q906" t="str">
        <f>RTD("tos.rtd", , "RHO", ".XRT201120P54.5")</f>
        <v>N/A</v>
      </c>
      <c r="R906" t="str">
        <f>RTD("tos.rtd", , "INTRINSIC", ".XRT201120P54.5")</f>
        <v>N/A</v>
      </c>
      <c r="S906" t="str">
        <f>RTD("tos.rtd", , "EXTRINSIC", ".XRT201120P54.5")</f>
        <v>N/A</v>
      </c>
      <c r="T906" t="str">
        <f>RTD("tos.rtd", , "PROB_OF_EXPIRING", ".XRT201120P54.5")</f>
        <v>N/A</v>
      </c>
      <c r="U906" t="str">
        <f>RTD("tos.rtd", , "PROB_OTM", ".XRT201120P54.5")</f>
        <v>N/A</v>
      </c>
      <c r="V906" t="str">
        <f>RTD("tos.rtd", , "PROB_OF_TOUCHING", ".XRT201120P54.5")</f>
        <v>N/A</v>
      </c>
      <c r="W906" t="str">
        <f>RTD("tos.rtd", , "STRIKE", ".XRT201120P54.5")</f>
        <v>N/A</v>
      </c>
    </row>
    <row r="907" spans="1:23" x14ac:dyDescent="0.45">
      <c r="A907" t="s">
        <v>928</v>
      </c>
      <c r="B907" t="str">
        <f>RTD("tos.rtd", , "DESCRIPTION", ".XRT201120C55")</f>
        <v>N/A</v>
      </c>
      <c r="C907" t="str">
        <f>RTD("tos.rtd", , "PUT_CALL_RATIO", ".XRT201120C55")</f>
        <v>N/A</v>
      </c>
      <c r="D907" t="str">
        <f>RTD("tos.rtd", , "IMPL_VOL", ".XRT201120C55")</f>
        <v>N/A</v>
      </c>
      <c r="E907" t="str">
        <f>RTD("tos.rtd", , "LAST", ".XRT201120C55")</f>
        <v>N/A</v>
      </c>
      <c r="F907" t="str">
        <f>RTD("tos.rtd", , "VOLUME", ".XRT201120C55")</f>
        <v>N/A</v>
      </c>
      <c r="G907" t="str">
        <f>RTD("tos.rtd", , "OPEN_INT", ".XRT201120C55")</f>
        <v>N/A</v>
      </c>
      <c r="H907" t="str">
        <f>RTD("tos.rtd", , "BID", ".XRT201120C55")</f>
        <v>N/A</v>
      </c>
      <c r="I907" t="str">
        <f>RTD("tos.rtd", , "ASK", ".XRT201120C55")</f>
        <v>N/A</v>
      </c>
      <c r="J907" t="str">
        <f>RTD("tos.rtd", , "HIGH", ".XRT201120C55")</f>
        <v>N/A</v>
      </c>
      <c r="K907" t="str">
        <f>RTD("tos.rtd", , "LOW", ".XRT201120C55")</f>
        <v>N/A</v>
      </c>
      <c r="L907" t="str">
        <f>RTD("tos.rtd", , "OPEN", ".XRT201120C55")</f>
        <v>N/A</v>
      </c>
      <c r="M907" t="str">
        <f>RTD("tos.rtd", , "DELTA", ".XRT201120C55")</f>
        <v>N/A</v>
      </c>
      <c r="N907" t="str">
        <f>RTD("tos.rtd", , "GAMMA", ".XRT201120C55")</f>
        <v>N/A</v>
      </c>
      <c r="O907" t="str">
        <f>RTD("tos.rtd", , "THETA", ".XRT201120C55")</f>
        <v>N/A</v>
      </c>
      <c r="P907" t="str">
        <f>RTD("tos.rtd", , "VEGA", ".XRT201120C55")</f>
        <v>N/A</v>
      </c>
      <c r="Q907" t="str">
        <f>RTD("tos.rtd", , "RHO", ".XRT201120C55")</f>
        <v>N/A</v>
      </c>
      <c r="R907" t="str">
        <f>RTD("tos.rtd", , "INTRINSIC", ".XRT201120C55")</f>
        <v>N/A</v>
      </c>
      <c r="S907" t="str">
        <f>RTD("tos.rtd", , "EXTRINSIC", ".XRT201120C55")</f>
        <v>N/A</v>
      </c>
      <c r="T907" t="str">
        <f>RTD("tos.rtd", , "PROB_OF_EXPIRING", ".XRT201120C55")</f>
        <v>N/A</v>
      </c>
      <c r="U907" t="str">
        <f>RTD("tos.rtd", , "PROB_OTM", ".XRT201120C55")</f>
        <v>N/A</v>
      </c>
      <c r="V907" t="str">
        <f>RTD("tos.rtd", , "PROB_OF_TOUCHING", ".XRT201120C55")</f>
        <v>N/A</v>
      </c>
      <c r="W907" t="str">
        <f>RTD("tos.rtd", , "STRIKE", ".XRT201120C55")</f>
        <v>N/A</v>
      </c>
    </row>
    <row r="908" spans="1:23" x14ac:dyDescent="0.45">
      <c r="A908" t="s">
        <v>929</v>
      </c>
      <c r="B908" t="str">
        <f>RTD("tos.rtd", , "DESCRIPTION", ".XRT201120P55")</f>
        <v>N/A</v>
      </c>
      <c r="C908" t="str">
        <f>RTD("tos.rtd", , "PUT_CALL_RATIO", ".XRT201120P55")</f>
        <v>N/A</v>
      </c>
      <c r="D908" t="str">
        <f>RTD("tos.rtd", , "IMPL_VOL", ".XRT201120P55")</f>
        <v>N/A</v>
      </c>
      <c r="E908" t="str">
        <f>RTD("tos.rtd", , "LAST", ".XRT201120P55")</f>
        <v>N/A</v>
      </c>
      <c r="F908" t="str">
        <f>RTD("tos.rtd", , "VOLUME", ".XRT201120P55")</f>
        <v>N/A</v>
      </c>
      <c r="G908" t="str">
        <f>RTD("tos.rtd", , "OPEN_INT", ".XRT201120P55")</f>
        <v>N/A</v>
      </c>
      <c r="H908" t="str">
        <f>RTD("tos.rtd", , "BID", ".XRT201120P55")</f>
        <v>N/A</v>
      </c>
      <c r="I908" t="str">
        <f>RTD("tos.rtd", , "ASK", ".XRT201120P55")</f>
        <v>N/A</v>
      </c>
      <c r="J908" t="str">
        <f>RTD("tos.rtd", , "HIGH", ".XRT201120P55")</f>
        <v>N/A</v>
      </c>
      <c r="K908" t="str">
        <f>RTD("tos.rtd", , "LOW", ".XRT201120P55")</f>
        <v>N/A</v>
      </c>
      <c r="L908" t="str">
        <f>RTD("tos.rtd", , "OPEN", ".XRT201120P55")</f>
        <v>N/A</v>
      </c>
      <c r="M908" t="str">
        <f>RTD("tos.rtd", , "DELTA", ".XRT201120P55")</f>
        <v>N/A</v>
      </c>
      <c r="N908" t="str">
        <f>RTD("tos.rtd", , "GAMMA", ".XRT201120P55")</f>
        <v>N/A</v>
      </c>
      <c r="O908" t="str">
        <f>RTD("tos.rtd", , "THETA", ".XRT201120P55")</f>
        <v>N/A</v>
      </c>
      <c r="P908" t="str">
        <f>RTD("tos.rtd", , "VEGA", ".XRT201120P55")</f>
        <v>N/A</v>
      </c>
      <c r="Q908" t="str">
        <f>RTD("tos.rtd", , "RHO", ".XRT201120P55")</f>
        <v>N/A</v>
      </c>
      <c r="R908" t="str">
        <f>RTD("tos.rtd", , "INTRINSIC", ".XRT201120P55")</f>
        <v>N/A</v>
      </c>
      <c r="S908" t="str">
        <f>RTD("tos.rtd", , "EXTRINSIC", ".XRT201120P55")</f>
        <v>N/A</v>
      </c>
      <c r="T908" t="str">
        <f>RTD("tos.rtd", , "PROB_OF_EXPIRING", ".XRT201120P55")</f>
        <v>N/A</v>
      </c>
      <c r="U908" t="str">
        <f>RTD("tos.rtd", , "PROB_OTM", ".XRT201120P55")</f>
        <v>N/A</v>
      </c>
      <c r="V908" t="str">
        <f>RTD("tos.rtd", , "PROB_OF_TOUCHING", ".XRT201120P55")</f>
        <v>N/A</v>
      </c>
      <c r="W908" t="str">
        <f>RTD("tos.rtd", , "STRIKE", ".XRT201120P55")</f>
        <v>N/A</v>
      </c>
    </row>
    <row r="909" spans="1:23" x14ac:dyDescent="0.45">
      <c r="A909" t="s">
        <v>930</v>
      </c>
      <c r="B909" t="str">
        <f>RTD("tos.rtd", , "DESCRIPTION", ".XRT201120C55.5")</f>
        <v>N/A</v>
      </c>
      <c r="C909" t="str">
        <f>RTD("tos.rtd", , "PUT_CALL_RATIO", ".XRT201120C55.5")</f>
        <v>N/A</v>
      </c>
      <c r="D909" t="str">
        <f>RTD("tos.rtd", , "IMPL_VOL", ".XRT201120C55.5")</f>
        <v>N/A</v>
      </c>
      <c r="E909" t="str">
        <f>RTD("tos.rtd", , "LAST", ".XRT201120C55.5")</f>
        <v>N/A</v>
      </c>
      <c r="F909" t="str">
        <f>RTD("tos.rtd", , "VOLUME", ".XRT201120C55.5")</f>
        <v>N/A</v>
      </c>
      <c r="G909" t="str">
        <f>RTD("tos.rtd", , "OPEN_INT", ".XRT201120C55.5")</f>
        <v>N/A</v>
      </c>
      <c r="H909" t="str">
        <f>RTD("tos.rtd", , "BID", ".XRT201120C55.5")</f>
        <v>N/A</v>
      </c>
      <c r="I909" t="str">
        <f>RTD("tos.rtd", , "ASK", ".XRT201120C55.5")</f>
        <v>N/A</v>
      </c>
      <c r="J909" t="str">
        <f>RTD("tos.rtd", , "HIGH", ".XRT201120C55.5")</f>
        <v>N/A</v>
      </c>
      <c r="K909" t="str">
        <f>RTD("tos.rtd", , "LOW", ".XRT201120C55.5")</f>
        <v>N/A</v>
      </c>
      <c r="L909" t="str">
        <f>RTD("tos.rtd", , "OPEN", ".XRT201120C55.5")</f>
        <v>N/A</v>
      </c>
      <c r="M909" t="str">
        <f>RTD("tos.rtd", , "DELTA", ".XRT201120C55.5")</f>
        <v>N/A</v>
      </c>
      <c r="N909" t="str">
        <f>RTD("tos.rtd", , "GAMMA", ".XRT201120C55.5")</f>
        <v>N/A</v>
      </c>
      <c r="O909" t="str">
        <f>RTD("tos.rtd", , "THETA", ".XRT201120C55.5")</f>
        <v>N/A</v>
      </c>
      <c r="P909" t="str">
        <f>RTD("tos.rtd", , "VEGA", ".XRT201120C55.5")</f>
        <v>N/A</v>
      </c>
      <c r="Q909" t="str">
        <f>RTD("tos.rtd", , "RHO", ".XRT201120C55.5")</f>
        <v>N/A</v>
      </c>
      <c r="R909" t="str">
        <f>RTD("tos.rtd", , "INTRINSIC", ".XRT201120C55.5")</f>
        <v>N/A</v>
      </c>
      <c r="S909" t="str">
        <f>RTD("tos.rtd", , "EXTRINSIC", ".XRT201120C55.5")</f>
        <v>N/A</v>
      </c>
      <c r="T909" t="str">
        <f>RTD("tos.rtd", , "PROB_OF_EXPIRING", ".XRT201120C55.5")</f>
        <v>N/A</v>
      </c>
      <c r="U909" t="str">
        <f>RTD("tos.rtd", , "PROB_OTM", ".XRT201120C55.5")</f>
        <v>N/A</v>
      </c>
      <c r="V909" t="str">
        <f>RTD("tos.rtd", , "PROB_OF_TOUCHING", ".XRT201120C55.5")</f>
        <v>N/A</v>
      </c>
      <c r="W909" t="str">
        <f>RTD("tos.rtd", , "STRIKE", ".XRT201120C55.5")</f>
        <v>N/A</v>
      </c>
    </row>
    <row r="910" spans="1:23" x14ac:dyDescent="0.45">
      <c r="A910" t="s">
        <v>931</v>
      </c>
      <c r="B910" t="str">
        <f>RTD("tos.rtd", , "DESCRIPTION", ".XRT201120P55.5")</f>
        <v>N/A</v>
      </c>
      <c r="C910" t="str">
        <f>RTD("tos.rtd", , "PUT_CALL_RATIO", ".XRT201120P55.5")</f>
        <v>N/A</v>
      </c>
      <c r="D910" t="str">
        <f>RTD("tos.rtd", , "IMPL_VOL", ".XRT201120P55.5")</f>
        <v>N/A</v>
      </c>
      <c r="E910" t="str">
        <f>RTD("tos.rtd", , "LAST", ".XRT201120P55.5")</f>
        <v>N/A</v>
      </c>
      <c r="F910" t="str">
        <f>RTD("tos.rtd", , "VOLUME", ".XRT201120P55.5")</f>
        <v>N/A</v>
      </c>
      <c r="G910" t="str">
        <f>RTD("tos.rtd", , "OPEN_INT", ".XRT201120P55.5")</f>
        <v>N/A</v>
      </c>
      <c r="H910" t="str">
        <f>RTD("tos.rtd", , "BID", ".XRT201120P55.5")</f>
        <v>N/A</v>
      </c>
      <c r="I910" t="str">
        <f>RTD("tos.rtd", , "ASK", ".XRT201120P55.5")</f>
        <v>N/A</v>
      </c>
      <c r="J910" t="str">
        <f>RTD("tos.rtd", , "HIGH", ".XRT201120P55.5")</f>
        <v>N/A</v>
      </c>
      <c r="K910" t="str">
        <f>RTD("tos.rtd", , "LOW", ".XRT201120P55.5")</f>
        <v>N/A</v>
      </c>
      <c r="L910" t="str">
        <f>RTD("tos.rtd", , "OPEN", ".XRT201120P55.5")</f>
        <v>N/A</v>
      </c>
      <c r="M910" t="str">
        <f>RTD("tos.rtd", , "DELTA", ".XRT201120P55.5")</f>
        <v>N/A</v>
      </c>
      <c r="N910" t="str">
        <f>RTD("tos.rtd", , "GAMMA", ".XRT201120P55.5")</f>
        <v>N/A</v>
      </c>
      <c r="O910" t="str">
        <f>RTD("tos.rtd", , "THETA", ".XRT201120P55.5")</f>
        <v>N/A</v>
      </c>
      <c r="P910" t="str">
        <f>RTD("tos.rtd", , "VEGA", ".XRT201120P55.5")</f>
        <v>N/A</v>
      </c>
      <c r="Q910" t="str">
        <f>RTD("tos.rtd", , "RHO", ".XRT201120P55.5")</f>
        <v>N/A</v>
      </c>
      <c r="R910" t="str">
        <f>RTD("tos.rtd", , "INTRINSIC", ".XRT201120P55.5")</f>
        <v>N/A</v>
      </c>
      <c r="S910" t="str">
        <f>RTD("tos.rtd", , "EXTRINSIC", ".XRT201120P55.5")</f>
        <v>N/A</v>
      </c>
      <c r="T910" t="str">
        <f>RTD("tos.rtd", , "PROB_OF_EXPIRING", ".XRT201120P55.5")</f>
        <v>N/A</v>
      </c>
      <c r="U910" t="str">
        <f>RTD("tos.rtd", , "PROB_OTM", ".XRT201120P55.5")</f>
        <v>N/A</v>
      </c>
      <c r="V910" t="str">
        <f>RTD("tos.rtd", , "PROB_OF_TOUCHING", ".XRT201120P55.5")</f>
        <v>N/A</v>
      </c>
      <c r="W910" t="str">
        <f>RTD("tos.rtd", , "STRIKE", ".XRT201120P55.5")</f>
        <v>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2020-11-13T07:40:46Z</dcterms:created>
  <dcterms:modified xsi:type="dcterms:W3CDTF">2020-11-13T07:41:48Z</dcterms:modified>
</cp:coreProperties>
</file>