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\Desktop\UPV - 3º\Semestre 2 - Computación\GPR - Gestión de Proyectos\"/>
    </mc:Choice>
  </mc:AlternateContent>
  <xr:revisionPtr revIDLastSave="0" documentId="13_ncr:1_{D148735D-8CD0-4AC0-94E7-8294CCF861D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Enunciado" sheetId="12" r:id="rId1"/>
    <sheet name="Planificación" sheetId="8" r:id="rId2"/>
    <sheet name="Gráfica" sheetId="13" r:id="rId3"/>
    <sheet name="Caminocrítico" sheetId="7" state="hidden" r:id="rId4"/>
  </sheets>
  <calcPr calcId="191029"/>
</workbook>
</file>

<file path=xl/calcChain.xml><?xml version="1.0" encoding="utf-8"?>
<calcChain xmlns="http://schemas.openxmlformats.org/spreadsheetml/2006/main">
  <c r="B28" i="7" l="1"/>
  <c r="D25" i="12"/>
  <c r="D24" i="12"/>
  <c r="D23" i="12"/>
  <c r="D22" i="12"/>
  <c r="D21" i="12"/>
  <c r="D20" i="12"/>
  <c r="D19" i="12"/>
  <c r="C25" i="12" l="1"/>
  <c r="G25" i="12" s="1"/>
  <c r="B10" i="7" l="1"/>
  <c r="F25" i="12"/>
  <c r="C8" i="8"/>
  <c r="C7" i="8"/>
  <c r="C6" i="8"/>
  <c r="C5" i="8"/>
  <c r="C4" i="8"/>
  <c r="C3" i="8"/>
  <c r="C2" i="8"/>
  <c r="B1" i="7" l="1"/>
  <c r="C32" i="12"/>
  <c r="C31" i="12"/>
  <c r="C30" i="12"/>
  <c r="C29" i="12"/>
  <c r="C28" i="12"/>
  <c r="C27" i="12"/>
  <c r="C26" i="12"/>
  <c r="C24" i="12"/>
  <c r="G24" i="12" s="1"/>
  <c r="C23" i="12"/>
  <c r="G23" i="12" s="1"/>
  <c r="C22" i="12"/>
  <c r="G22" i="12" s="1"/>
  <c r="C21" i="12"/>
  <c r="G21" i="12" s="1"/>
  <c r="C20" i="12"/>
  <c r="G20" i="12" s="1"/>
  <c r="C19" i="12"/>
  <c r="G19" i="12" s="1"/>
  <c r="B40" i="7" l="1"/>
  <c r="Y36" i="7" s="1"/>
  <c r="G28" i="12"/>
  <c r="B41" i="7"/>
  <c r="G29" i="12"/>
  <c r="B42" i="7"/>
  <c r="AE38" i="7" s="1"/>
  <c r="G30" i="12"/>
  <c r="B11" i="7"/>
  <c r="G26" i="12"/>
  <c r="B12" i="7"/>
  <c r="G27" i="12"/>
  <c r="B44" i="7"/>
  <c r="G32" i="12"/>
  <c r="B43" i="7"/>
  <c r="Z49" i="7" s="1"/>
  <c r="G31" i="12"/>
  <c r="B7" i="7"/>
  <c r="F22" i="12"/>
  <c r="E5" i="8" s="1"/>
  <c r="B4" i="7"/>
  <c r="F19" i="12"/>
  <c r="E2" i="8" s="1"/>
  <c r="B8" i="7"/>
  <c r="F23" i="12"/>
  <c r="E6" i="8" s="1"/>
  <c r="B9" i="7"/>
  <c r="F24" i="12"/>
  <c r="E7" i="8" s="1"/>
  <c r="B6" i="7"/>
  <c r="F21" i="12"/>
  <c r="E4" i="8" s="1"/>
  <c r="B5" i="7"/>
  <c r="F20" i="12"/>
  <c r="E3" i="8" s="1"/>
  <c r="B16" i="7"/>
  <c r="B15" i="7"/>
  <c r="B13" i="7"/>
  <c r="AE46" i="7"/>
  <c r="B17" i="7"/>
  <c r="Z43" i="7"/>
  <c r="B14" i="7"/>
  <c r="E21" i="12"/>
  <c r="B33" i="7"/>
  <c r="M30" i="7" s="1"/>
  <c r="E25" i="12"/>
  <c r="B37" i="7"/>
  <c r="N42" i="7" s="1"/>
  <c r="E8" i="8"/>
  <c r="E22" i="12"/>
  <c r="B34" i="7"/>
  <c r="M36" i="7" s="1"/>
  <c r="E26" i="12"/>
  <c r="B38" i="7"/>
  <c r="Y30" i="7" s="1"/>
  <c r="E19" i="12"/>
  <c r="B31" i="7"/>
  <c r="G32" i="7" s="1"/>
  <c r="H33" i="7" s="1"/>
  <c r="E23" i="12"/>
  <c r="B35" i="7"/>
  <c r="S30" i="7" s="1"/>
  <c r="E27" i="12"/>
  <c r="B39" i="7"/>
  <c r="T42" i="7" s="1"/>
  <c r="E20" i="12"/>
  <c r="B32" i="7"/>
  <c r="F44" i="7" s="1"/>
  <c r="G45" i="7" s="1"/>
  <c r="E24" i="12"/>
  <c r="B36" i="7"/>
  <c r="S36" i="7" s="1"/>
  <c r="B13" i="8"/>
  <c r="F13" i="8" s="1"/>
  <c r="E30" i="12"/>
  <c r="B14" i="8"/>
  <c r="F14" i="8" s="1"/>
  <c r="E31" i="12"/>
  <c r="B11" i="8"/>
  <c r="F11" i="8" s="1"/>
  <c r="E28" i="12"/>
  <c r="B15" i="8"/>
  <c r="F15" i="8" s="1"/>
  <c r="E32" i="12"/>
  <c r="B12" i="8"/>
  <c r="F12" i="8" s="1"/>
  <c r="E29" i="12"/>
  <c r="B6" i="8"/>
  <c r="F6" i="8" s="1"/>
  <c r="B10" i="8"/>
  <c r="F10" i="8" s="1"/>
  <c r="B3" i="8"/>
  <c r="F3" i="8" s="1"/>
  <c r="B7" i="8"/>
  <c r="F7" i="8" s="1"/>
  <c r="B4" i="8"/>
  <c r="F4" i="8" s="1"/>
  <c r="B8" i="8"/>
  <c r="F8" i="8" s="1"/>
  <c r="B5" i="8"/>
  <c r="F5" i="8" s="1"/>
  <c r="B9" i="8"/>
  <c r="F9" i="8" s="1"/>
  <c r="B2" i="8"/>
  <c r="F2" i="8" s="1"/>
  <c r="D6" i="8" l="1"/>
  <c r="G6" i="8" s="1"/>
  <c r="H23" i="12"/>
  <c r="D15" i="8"/>
  <c r="G15" i="8" s="1"/>
  <c r="H32" i="12"/>
  <c r="D7" i="8"/>
  <c r="G7" i="8" s="1"/>
  <c r="H24" i="12"/>
  <c r="D8" i="8"/>
  <c r="G8" i="8" s="1"/>
  <c r="H25" i="12"/>
  <c r="D11" i="8"/>
  <c r="G11" i="8" s="1"/>
  <c r="H28" i="12"/>
  <c r="D2" i="8"/>
  <c r="H19" i="12"/>
  <c r="D3" i="8"/>
  <c r="G3" i="8" s="1"/>
  <c r="H20" i="12"/>
  <c r="D9" i="8"/>
  <c r="G9" i="8" s="1"/>
  <c r="H26" i="12"/>
  <c r="D4" i="8"/>
  <c r="G4" i="8" s="1"/>
  <c r="H21" i="12"/>
  <c r="D14" i="8"/>
  <c r="G14" i="8" s="1"/>
  <c r="H31" i="12"/>
  <c r="D10" i="8"/>
  <c r="G10" i="8" s="1"/>
  <c r="H27" i="12"/>
  <c r="D12" i="8"/>
  <c r="G12" i="8" s="1"/>
  <c r="H29" i="12"/>
  <c r="D13" i="8"/>
  <c r="G13" i="8" s="1"/>
  <c r="H30" i="12"/>
  <c r="D5" i="8"/>
  <c r="G5" i="8" s="1"/>
  <c r="H22" i="12"/>
  <c r="P28" i="8"/>
  <c r="T28" i="8"/>
  <c r="X28" i="8"/>
  <c r="R28" i="8"/>
  <c r="N28" i="8"/>
  <c r="O28" i="8"/>
  <c r="S28" i="8"/>
  <c r="W28" i="8"/>
  <c r="Q28" i="8"/>
  <c r="U28" i="8"/>
  <c r="Y28" i="8"/>
  <c r="V28" i="8"/>
  <c r="N29" i="8"/>
  <c r="R29" i="8"/>
  <c r="V29" i="8"/>
  <c r="S29" i="8"/>
  <c r="L29" i="8"/>
  <c r="T29" i="8"/>
  <c r="M29" i="8"/>
  <c r="Q29" i="8"/>
  <c r="U29" i="8"/>
  <c r="Y29" i="8"/>
  <c r="O29" i="8"/>
  <c r="W29" i="8"/>
  <c r="P29" i="8"/>
  <c r="X29" i="8"/>
  <c r="L43" i="7"/>
  <c r="AM26" i="8"/>
  <c r="AM25" i="8"/>
  <c r="K37" i="7"/>
  <c r="K31" i="7"/>
  <c r="F17" i="7"/>
  <c r="G18" i="7" s="1"/>
  <c r="AE19" i="7"/>
  <c r="S9" i="7"/>
  <c r="Z16" i="7"/>
  <c r="Y3" i="7"/>
  <c r="AE11" i="7"/>
  <c r="M9" i="7"/>
  <c r="Y9" i="7"/>
  <c r="M3" i="7"/>
  <c r="N15" i="7"/>
  <c r="G5" i="7"/>
  <c r="H6" i="7" s="1"/>
  <c r="S3" i="7"/>
  <c r="T15" i="7"/>
  <c r="Z22" i="7"/>
  <c r="N20" i="8" l="1"/>
  <c r="O20" i="8"/>
  <c r="P20" i="8"/>
  <c r="Q20" i="8"/>
  <c r="J20" i="8"/>
  <c r="K20" i="8"/>
  <c r="L20" i="8"/>
  <c r="M20" i="8"/>
  <c r="G2" i="8"/>
  <c r="J2" i="8" s="1"/>
  <c r="N37" i="7"/>
  <c r="N31" i="7"/>
  <c r="Q31" i="7" s="1"/>
  <c r="O43" i="7"/>
  <c r="T34" i="8" s="1"/>
  <c r="L3" i="8"/>
  <c r="P3" i="8"/>
  <c r="T3" i="8"/>
  <c r="X3" i="8"/>
  <c r="AB3" i="8"/>
  <c r="AF3" i="8"/>
  <c r="AJ3" i="8"/>
  <c r="M3" i="8"/>
  <c r="Q3" i="8"/>
  <c r="U3" i="8"/>
  <c r="Y3" i="8"/>
  <c r="AC3" i="8"/>
  <c r="AG3" i="8"/>
  <c r="AK3" i="8"/>
  <c r="R3" i="8"/>
  <c r="Z3" i="8"/>
  <c r="AH3" i="8"/>
  <c r="N3" i="8"/>
  <c r="V3" i="8"/>
  <c r="AD3" i="8"/>
  <c r="O3" i="8"/>
  <c r="W3" i="8"/>
  <c r="AE3" i="8"/>
  <c r="S3" i="8"/>
  <c r="AA3" i="8"/>
  <c r="AI3" i="8"/>
  <c r="K3" i="8"/>
  <c r="J3" i="8"/>
  <c r="K2" i="8"/>
  <c r="O2" i="8"/>
  <c r="S2" i="8"/>
  <c r="W2" i="8"/>
  <c r="AA2" i="8"/>
  <c r="AE2" i="8"/>
  <c r="AI2" i="8"/>
  <c r="L2" i="8"/>
  <c r="P2" i="8"/>
  <c r="T2" i="8"/>
  <c r="X2" i="8"/>
  <c r="AB2" i="8"/>
  <c r="AF2" i="8"/>
  <c r="AJ2" i="8"/>
  <c r="M2" i="8"/>
  <c r="U2" i="8"/>
  <c r="AC2" i="8"/>
  <c r="AK2" i="8"/>
  <c r="Q2" i="8"/>
  <c r="Y2" i="8"/>
  <c r="AG2" i="8"/>
  <c r="R2" i="8"/>
  <c r="Z2" i="8"/>
  <c r="AH2" i="8"/>
  <c r="N2" i="8"/>
  <c r="AD2" i="8"/>
  <c r="V2" i="8"/>
  <c r="AL2" i="8"/>
  <c r="K10" i="7"/>
  <c r="L16" i="7"/>
  <c r="K4" i="7"/>
  <c r="R25" i="8" l="1"/>
  <c r="N19" i="8"/>
  <c r="N22" i="8" s="1"/>
  <c r="O19" i="8"/>
  <c r="O22" i="8" s="1"/>
  <c r="P19" i="8"/>
  <c r="P22" i="8" s="1"/>
  <c r="Q19" i="8"/>
  <c r="Q22" i="8" s="1"/>
  <c r="J19" i="8"/>
  <c r="J22" i="8" s="1"/>
  <c r="K19" i="8"/>
  <c r="K22" i="8" s="1"/>
  <c r="L19" i="8"/>
  <c r="L22" i="8" s="1"/>
  <c r="M19" i="8"/>
  <c r="M22" i="8" s="1"/>
  <c r="X34" i="8"/>
  <c r="R30" i="8"/>
  <c r="W30" i="8"/>
  <c r="W34" i="8"/>
  <c r="T30" i="8"/>
  <c r="Q31" i="8"/>
  <c r="R31" i="8"/>
  <c r="U34" i="8"/>
  <c r="Q30" i="8"/>
  <c r="Y31" i="8"/>
  <c r="K31" i="8"/>
  <c r="K34" i="8"/>
  <c r="V34" i="8"/>
  <c r="K30" i="8"/>
  <c r="V30" i="8"/>
  <c r="X30" i="8"/>
  <c r="T31" i="8"/>
  <c r="U31" i="8"/>
  <c r="X31" i="8"/>
  <c r="V31" i="8"/>
  <c r="P31" i="8"/>
  <c r="S34" i="8"/>
  <c r="Y34" i="8"/>
  <c r="Y30" i="8"/>
  <c r="S30" i="8"/>
  <c r="U30" i="8"/>
  <c r="P30" i="8"/>
  <c r="S31" i="8"/>
  <c r="W31" i="8"/>
  <c r="AM28" i="8"/>
  <c r="AM31" i="8"/>
  <c r="T31" i="7"/>
  <c r="W31" i="7" s="1"/>
  <c r="AM27" i="8"/>
  <c r="Q37" i="7"/>
  <c r="AL17" i="8"/>
  <c r="AL18" i="8" s="1"/>
  <c r="O16" i="7"/>
  <c r="G24" i="8" s="1"/>
  <c r="N4" i="7"/>
  <c r="Q4" i="7" s="1"/>
  <c r="N10" i="7"/>
  <c r="AD5" i="8" s="1"/>
  <c r="G13" i="12" l="1"/>
  <c r="D9" i="12"/>
  <c r="L32" i="8"/>
  <c r="U32" i="8"/>
  <c r="V32" i="8"/>
  <c r="W32" i="8"/>
  <c r="N32" i="8"/>
  <c r="T32" i="8"/>
  <c r="M32" i="8"/>
  <c r="X32" i="8"/>
  <c r="K32" i="8"/>
  <c r="S32" i="8"/>
  <c r="Y32" i="8"/>
  <c r="Z31" i="7"/>
  <c r="R8" i="8"/>
  <c r="Q32" i="8"/>
  <c r="AM29" i="8"/>
  <c r="T37" i="7"/>
  <c r="R43" i="7" s="1"/>
  <c r="AB4" i="8"/>
  <c r="W8" i="8"/>
  <c r="Z4" i="8"/>
  <c r="S8" i="8"/>
  <c r="AK4" i="8"/>
  <c r="AK8" i="8"/>
  <c r="P4" i="8"/>
  <c r="AF8" i="8"/>
  <c r="U8" i="8"/>
  <c r="AA4" i="8"/>
  <c r="U4" i="8"/>
  <c r="W4" i="8"/>
  <c r="J8" i="8"/>
  <c r="Z8" i="8"/>
  <c r="X5" i="8"/>
  <c r="Q5" i="8"/>
  <c r="L5" i="8"/>
  <c r="AC5" i="8"/>
  <c r="AJ5" i="8"/>
  <c r="S5" i="8"/>
  <c r="N5" i="8"/>
  <c r="X4" i="8"/>
  <c r="K4" i="8"/>
  <c r="AH4" i="8"/>
  <c r="AC4" i="8"/>
  <c r="M4" i="8"/>
  <c r="AB8" i="8"/>
  <c r="P8" i="8"/>
  <c r="AI8" i="8"/>
  <c r="AH8" i="8"/>
  <c r="AC8" i="8"/>
  <c r="M8" i="8"/>
  <c r="AK5" i="8"/>
  <c r="AG5" i="8"/>
  <c r="AF5" i="8"/>
  <c r="AB5" i="8"/>
  <c r="AE5" i="8"/>
  <c r="O5" i="8"/>
  <c r="Z5" i="8"/>
  <c r="AF4" i="8"/>
  <c r="AJ4" i="8"/>
  <c r="AI4" i="8"/>
  <c r="AE4" i="8"/>
  <c r="AD4" i="8"/>
  <c r="N4" i="8"/>
  <c r="Y4" i="8"/>
  <c r="T8" i="8"/>
  <c r="L8" i="8"/>
  <c r="AE8" i="8"/>
  <c r="AA8" i="8"/>
  <c r="AD8" i="8"/>
  <c r="N8" i="8"/>
  <c r="Y8" i="8"/>
  <c r="Y5" i="8"/>
  <c r="AA5" i="8"/>
  <c r="V5" i="8"/>
  <c r="P5" i="8"/>
  <c r="AH5" i="8"/>
  <c r="R5" i="8"/>
  <c r="J4" i="8"/>
  <c r="T4" i="8"/>
  <c r="S4" i="8"/>
  <c r="O4" i="8"/>
  <c r="V4" i="8"/>
  <c r="AG4" i="8"/>
  <c r="Q4" i="8"/>
  <c r="AJ8" i="8"/>
  <c r="X8" i="8"/>
  <c r="O8" i="8"/>
  <c r="K8" i="8"/>
  <c r="V8" i="8"/>
  <c r="AG8" i="8"/>
  <c r="Q8" i="8"/>
  <c r="U5" i="8"/>
  <c r="T5" i="8"/>
  <c r="K5" i="8"/>
  <c r="M5" i="8"/>
  <c r="W5" i="8"/>
  <c r="J5" i="8"/>
  <c r="AI5" i="8"/>
  <c r="L4" i="8"/>
  <c r="R4" i="8"/>
  <c r="Q10" i="7"/>
  <c r="T4" i="7"/>
  <c r="W4" i="7" s="1"/>
  <c r="P32" i="8" l="1"/>
  <c r="R32" i="8"/>
  <c r="S35" i="8"/>
  <c r="M28" i="8"/>
  <c r="L28" i="8"/>
  <c r="O30" i="8"/>
  <c r="P34" i="8"/>
  <c r="R34" i="8"/>
  <c r="O31" i="8"/>
  <c r="Q34" i="8"/>
  <c r="S33" i="8"/>
  <c r="X35" i="8"/>
  <c r="N33" i="8"/>
  <c r="Y35" i="8"/>
  <c r="L33" i="8"/>
  <c r="T35" i="8"/>
  <c r="U33" i="8"/>
  <c r="R35" i="8"/>
  <c r="K29" i="8"/>
  <c r="K28" i="8"/>
  <c r="N34" i="8"/>
  <c r="N30" i="8"/>
  <c r="N31" i="8"/>
  <c r="M34" i="8"/>
  <c r="M31" i="8"/>
  <c r="L30" i="8"/>
  <c r="O32" i="8"/>
  <c r="L31" i="8"/>
  <c r="O34" i="8"/>
  <c r="L34" i="8"/>
  <c r="M30" i="8"/>
  <c r="T33" i="8"/>
  <c r="Y33" i="8"/>
  <c r="P33" i="8"/>
  <c r="R33" i="8"/>
  <c r="K35" i="8"/>
  <c r="O35" i="8"/>
  <c r="M35" i="8"/>
  <c r="V35" i="8"/>
  <c r="W33" i="8"/>
  <c r="Q33" i="8"/>
  <c r="K33" i="8"/>
  <c r="P35" i="8"/>
  <c r="U35" i="8"/>
  <c r="W35" i="8"/>
  <c r="N35" i="8"/>
  <c r="X33" i="8"/>
  <c r="O33" i="8"/>
  <c r="M33" i="8"/>
  <c r="V33" i="8"/>
  <c r="L35" i="8"/>
  <c r="Q35" i="8"/>
  <c r="U43" i="7"/>
  <c r="W37" i="7" s="1"/>
  <c r="AM30" i="8"/>
  <c r="R6" i="8"/>
  <c r="N6" i="8"/>
  <c r="AJ6" i="8"/>
  <c r="T6" i="8"/>
  <c r="AE6" i="8"/>
  <c r="O6" i="8"/>
  <c r="AH6" i="8"/>
  <c r="AK6" i="8"/>
  <c r="AG6" i="8"/>
  <c r="AF6" i="8"/>
  <c r="P6" i="8"/>
  <c r="AA6" i="8"/>
  <c r="K6" i="8"/>
  <c r="J6" i="8"/>
  <c r="AD6" i="8"/>
  <c r="AC6" i="8"/>
  <c r="Y6" i="8"/>
  <c r="AB6" i="8"/>
  <c r="L6" i="8"/>
  <c r="W6" i="8"/>
  <c r="M6" i="8"/>
  <c r="Z6" i="8"/>
  <c r="V6" i="8"/>
  <c r="U6" i="8"/>
  <c r="Q6" i="8"/>
  <c r="X6" i="8"/>
  <c r="AI6" i="8"/>
  <c r="S6" i="8"/>
  <c r="T10" i="7"/>
  <c r="R16" i="7" s="1"/>
  <c r="Z4" i="7"/>
  <c r="Z9" i="8" s="1"/>
  <c r="W36" i="8" l="1"/>
  <c r="T36" i="8"/>
  <c r="V36" i="8"/>
  <c r="K36" i="8"/>
  <c r="R36" i="8"/>
  <c r="S36" i="8"/>
  <c r="Y36" i="8"/>
  <c r="P36" i="8"/>
  <c r="U36" i="8"/>
  <c r="O36" i="8"/>
  <c r="Q36" i="8"/>
  <c r="L36" i="8"/>
  <c r="M36" i="8"/>
  <c r="N36" i="8"/>
  <c r="X36" i="8"/>
  <c r="Z37" i="7"/>
  <c r="N37" i="8" s="1"/>
  <c r="AG7" i="8"/>
  <c r="K7" i="8"/>
  <c r="AD7" i="8"/>
  <c r="J7" i="8"/>
  <c r="AE7" i="8"/>
  <c r="AH7" i="8"/>
  <c r="V7" i="8"/>
  <c r="M7" i="8"/>
  <c r="AC9" i="8"/>
  <c r="AJ9" i="8"/>
  <c r="AE9" i="8"/>
  <c r="W7" i="8"/>
  <c r="AA7" i="8"/>
  <c r="Z7" i="8"/>
  <c r="N7" i="8"/>
  <c r="Y7" i="8"/>
  <c r="AJ7" i="8"/>
  <c r="T7" i="8"/>
  <c r="Y9" i="8"/>
  <c r="U9" i="8"/>
  <c r="AB9" i="8"/>
  <c r="X9" i="8"/>
  <c r="AA9" i="8"/>
  <c r="K9" i="8"/>
  <c r="V9" i="8"/>
  <c r="U16" i="7"/>
  <c r="K10" i="8" s="1"/>
  <c r="O7" i="8"/>
  <c r="S7" i="8"/>
  <c r="R7" i="8"/>
  <c r="AK7" i="8"/>
  <c r="U7" i="8"/>
  <c r="AF7" i="8"/>
  <c r="P7" i="8"/>
  <c r="Q9" i="8"/>
  <c r="M9" i="8"/>
  <c r="T9" i="8"/>
  <c r="P9" i="8"/>
  <c r="W9" i="8"/>
  <c r="AH9" i="8"/>
  <c r="R9" i="8"/>
  <c r="Q7" i="8"/>
  <c r="AB7" i="8"/>
  <c r="L7" i="8"/>
  <c r="AK9" i="8"/>
  <c r="J9" i="8"/>
  <c r="L9" i="8"/>
  <c r="AI9" i="8"/>
  <c r="S9" i="8"/>
  <c r="AD9" i="8"/>
  <c r="N9" i="8"/>
  <c r="AI7" i="8"/>
  <c r="AC7" i="8"/>
  <c r="X7" i="8"/>
  <c r="AG9" i="8"/>
  <c r="AF9" i="8"/>
  <c r="O9" i="8"/>
  <c r="M37" i="8" l="1"/>
  <c r="K37" i="8"/>
  <c r="O37" i="8"/>
  <c r="Y37" i="8"/>
  <c r="V37" i="8"/>
  <c r="P37" i="8"/>
  <c r="U37" i="8"/>
  <c r="L37" i="8"/>
  <c r="R37" i="8"/>
  <c r="T37" i="8"/>
  <c r="X37" i="8"/>
  <c r="W37" i="8"/>
  <c r="Q37" i="8"/>
  <c r="S37" i="8"/>
  <c r="AC39" i="7"/>
  <c r="AF39" i="7" s="1"/>
  <c r="X44" i="7"/>
  <c r="AA44" i="7" s="1"/>
  <c r="X50" i="7" s="1"/>
  <c r="AA50" i="7" s="1"/>
  <c r="W10" i="7"/>
  <c r="Z10" i="7" s="1"/>
  <c r="T11" i="8" s="1"/>
  <c r="AD10" i="8"/>
  <c r="AH10" i="8"/>
  <c r="Y10" i="8"/>
  <c r="U10" i="8"/>
  <c r="AB10" i="8"/>
  <c r="L10" i="8"/>
  <c r="W10" i="8"/>
  <c r="N10" i="8"/>
  <c r="Z10" i="8"/>
  <c r="Q10" i="8"/>
  <c r="M10" i="8"/>
  <c r="X10" i="8"/>
  <c r="AI10" i="8"/>
  <c r="S10" i="8"/>
  <c r="J10" i="8"/>
  <c r="R10" i="8"/>
  <c r="AK10" i="8"/>
  <c r="AJ10" i="8"/>
  <c r="T10" i="8"/>
  <c r="AE10" i="8"/>
  <c r="O10" i="8"/>
  <c r="V10" i="8"/>
  <c r="AG10" i="8"/>
  <c r="AC10" i="8"/>
  <c r="AF10" i="8"/>
  <c r="P10" i="8"/>
  <c r="AA10" i="8"/>
  <c r="AC47" i="7" l="1"/>
  <c r="AF47" i="7" s="1"/>
  <c r="AF48" i="7" s="1"/>
  <c r="AC48" i="7" s="1"/>
  <c r="AF40" i="7" s="1"/>
  <c r="AE11" i="8"/>
  <c r="AG11" i="8"/>
  <c r="AI11" i="8"/>
  <c r="Z11" i="8"/>
  <c r="M11" i="8"/>
  <c r="AD11" i="8"/>
  <c r="L11" i="8"/>
  <c r="P11" i="8"/>
  <c r="AH11" i="8"/>
  <c r="J11" i="8"/>
  <c r="V11" i="8"/>
  <c r="AC11" i="8"/>
  <c r="AF11" i="8"/>
  <c r="O11" i="8"/>
  <c r="W11" i="8"/>
  <c r="N11" i="8"/>
  <c r="U11" i="8"/>
  <c r="AB11" i="8"/>
  <c r="AK11" i="8"/>
  <c r="Q11" i="8"/>
  <c r="X11" i="8"/>
  <c r="AA11" i="8"/>
  <c r="K11" i="8"/>
  <c r="S11" i="8"/>
  <c r="R11" i="8"/>
  <c r="Y11" i="8"/>
  <c r="AJ11" i="8"/>
  <c r="X17" i="7"/>
  <c r="AC12" i="7"/>
  <c r="AC49" i="7" l="1"/>
  <c r="AE49" i="7" s="1"/>
  <c r="AA51" i="7"/>
  <c r="X51" i="7" s="1"/>
  <c r="AA45" i="7" s="1"/>
  <c r="AC41" i="7"/>
  <c r="AE41" i="7" s="1"/>
  <c r="AC40" i="7"/>
  <c r="AF12" i="7"/>
  <c r="N13" i="8" s="1"/>
  <c r="AA17" i="7"/>
  <c r="X23" i="7" s="1"/>
  <c r="X52" i="7" l="1"/>
  <c r="Z52" i="7" s="1"/>
  <c r="X46" i="7"/>
  <c r="Z46" i="7" s="1"/>
  <c r="X45" i="7"/>
  <c r="Z38" i="7" s="1"/>
  <c r="J13" i="8"/>
  <c r="Q13" i="8"/>
  <c r="AG13" i="8"/>
  <c r="Z13" i="8"/>
  <c r="AF13" i="8"/>
  <c r="O13" i="8"/>
  <c r="N12" i="8"/>
  <c r="AJ12" i="8"/>
  <c r="AJ13" i="8"/>
  <c r="AI13" i="8"/>
  <c r="AE12" i="8"/>
  <c r="Y12" i="8"/>
  <c r="AA12" i="8"/>
  <c r="AB12" i="8"/>
  <c r="AD12" i="8"/>
  <c r="U13" i="8"/>
  <c r="L13" i="8"/>
  <c r="AE13" i="8"/>
  <c r="AF12" i="8"/>
  <c r="S12" i="8"/>
  <c r="AK12" i="8"/>
  <c r="AA23" i="7"/>
  <c r="S14" i="8" s="1"/>
  <c r="W12" i="8"/>
  <c r="P12" i="8"/>
  <c r="O12" i="8"/>
  <c r="K12" i="8"/>
  <c r="V12" i="8"/>
  <c r="AG12" i="8"/>
  <c r="Q12" i="8"/>
  <c r="AK13" i="8"/>
  <c r="Y13" i="8"/>
  <c r="AC13" i="8"/>
  <c r="X13" i="8"/>
  <c r="AA13" i="8"/>
  <c r="K13" i="8"/>
  <c r="V13" i="8"/>
  <c r="T12" i="8"/>
  <c r="Z12" i="8"/>
  <c r="U12" i="8"/>
  <c r="AC20" i="7"/>
  <c r="AF20" i="7" s="1"/>
  <c r="L12" i="8"/>
  <c r="J12" i="8"/>
  <c r="AI12" i="8"/>
  <c r="AH12" i="8"/>
  <c r="R12" i="8"/>
  <c r="AC12" i="8"/>
  <c r="M12" i="8"/>
  <c r="AB13" i="8"/>
  <c r="M13" i="8"/>
  <c r="T13" i="8"/>
  <c r="P13" i="8"/>
  <c r="W13" i="8"/>
  <c r="AH13" i="8"/>
  <c r="R13" i="8"/>
  <c r="S13" i="8"/>
  <c r="AD13" i="8"/>
  <c r="X12" i="8"/>
  <c r="W38" i="7" l="1"/>
  <c r="W39" i="7"/>
  <c r="Y39" i="7" s="1"/>
  <c r="AH14" i="8"/>
  <c r="AG14" i="8"/>
  <c r="M14" i="8"/>
  <c r="U14" i="8"/>
  <c r="Z14" i="8"/>
  <c r="O14" i="8"/>
  <c r="N14" i="8"/>
  <c r="K14" i="8"/>
  <c r="J14" i="8"/>
  <c r="AJ14" i="8"/>
  <c r="P14" i="8"/>
  <c r="Q14" i="8"/>
  <c r="AB14" i="8"/>
  <c r="AI14" i="8"/>
  <c r="L14" i="8"/>
  <c r="AK14" i="8"/>
  <c r="AC14" i="8"/>
  <c r="R14" i="8"/>
  <c r="AD14" i="8"/>
  <c r="AE14" i="8"/>
  <c r="X14" i="8"/>
  <c r="W14" i="8"/>
  <c r="L15" i="8"/>
  <c r="P15" i="8"/>
  <c r="T15" i="8"/>
  <c r="X15" i="8"/>
  <c r="AB15" i="8"/>
  <c r="AF15" i="8"/>
  <c r="AJ15" i="8"/>
  <c r="N15" i="8"/>
  <c r="S15" i="8"/>
  <c r="S17" i="8" s="1"/>
  <c r="Y15" i="8"/>
  <c r="AD15" i="8"/>
  <c r="AI15" i="8"/>
  <c r="O15" i="8"/>
  <c r="Z15" i="8"/>
  <c r="AK15" i="8"/>
  <c r="K15" i="8"/>
  <c r="Q15" i="8"/>
  <c r="V15" i="8"/>
  <c r="AA15" i="8"/>
  <c r="AG15" i="8"/>
  <c r="J15" i="8"/>
  <c r="M15" i="8"/>
  <c r="R15" i="8"/>
  <c r="W15" i="8"/>
  <c r="AC15" i="8"/>
  <c r="AH15" i="8"/>
  <c r="U15" i="8"/>
  <c r="AE15" i="8"/>
  <c r="V14" i="8"/>
  <c r="AF14" i="8"/>
  <c r="AF17" i="8" s="1"/>
  <c r="Y14" i="8"/>
  <c r="AA14" i="8"/>
  <c r="T14" i="8"/>
  <c r="AF21" i="7"/>
  <c r="AC22" i="7" s="1"/>
  <c r="AE22" i="7" s="1"/>
  <c r="AA24" i="7"/>
  <c r="X24" i="7" s="1"/>
  <c r="Z32" i="7" l="1"/>
  <c r="U44" i="7"/>
  <c r="X17" i="8"/>
  <c r="T17" i="8"/>
  <c r="Y17" i="8"/>
  <c r="V17" i="8"/>
  <c r="P17" i="8"/>
  <c r="AA17" i="8"/>
  <c r="AC17" i="8"/>
  <c r="AB17" i="8"/>
  <c r="J17" i="8"/>
  <c r="J18" i="8" s="1"/>
  <c r="J21" i="8" s="1"/>
  <c r="Z17" i="8"/>
  <c r="AH17" i="8"/>
  <c r="AE17" i="8"/>
  <c r="AK17" i="8"/>
  <c r="AK18" i="8" s="1"/>
  <c r="Q17" i="8"/>
  <c r="K17" i="8"/>
  <c r="U17" i="8"/>
  <c r="AD17" i="8"/>
  <c r="L17" i="8"/>
  <c r="N17" i="8"/>
  <c r="M17" i="8"/>
  <c r="W17" i="8"/>
  <c r="R17" i="8"/>
  <c r="AI17" i="8"/>
  <c r="AJ17" i="8"/>
  <c r="AJ18" i="8" s="1"/>
  <c r="O17" i="8"/>
  <c r="AG17" i="8"/>
  <c r="AC21" i="7"/>
  <c r="AF13" i="7" s="1"/>
  <c r="AC14" i="7" s="1"/>
  <c r="AE14" i="7" s="1"/>
  <c r="X25" i="7"/>
  <c r="Z25" i="7" s="1"/>
  <c r="R45" i="7" l="1"/>
  <c r="T45" i="7" s="1"/>
  <c r="R44" i="7"/>
  <c r="W33" i="7"/>
  <c r="Y33" i="7" s="1"/>
  <c r="W32" i="7"/>
  <c r="T32" i="7" s="1"/>
  <c r="AH18" i="8"/>
  <c r="AI18" i="8"/>
  <c r="P18" i="8"/>
  <c r="P21" i="8" s="1"/>
  <c r="K18" i="8"/>
  <c r="K21" i="8" s="1"/>
  <c r="AE18" i="8"/>
  <c r="AG18" i="8"/>
  <c r="AF18" i="8"/>
  <c r="L18" i="8"/>
  <c r="L21" i="8" s="1"/>
  <c r="O18" i="8"/>
  <c r="O21" i="8" s="1"/>
  <c r="M18" i="8"/>
  <c r="M21" i="8" s="1"/>
  <c r="X18" i="8"/>
  <c r="Q18" i="8"/>
  <c r="Y18" i="8"/>
  <c r="AA18" i="8"/>
  <c r="AB18" i="8"/>
  <c r="R18" i="8"/>
  <c r="W18" i="8"/>
  <c r="S18" i="8"/>
  <c r="V18" i="8"/>
  <c r="AD18" i="8"/>
  <c r="U18" i="8"/>
  <c r="N18" i="8"/>
  <c r="N21" i="8" s="1"/>
  <c r="AC18" i="8"/>
  <c r="T18" i="8"/>
  <c r="Z18" i="8"/>
  <c r="AC13" i="7"/>
  <c r="AA18" i="7"/>
  <c r="X18" i="7" s="1"/>
  <c r="Q21" i="8" l="1"/>
  <c r="R24" i="8"/>
  <c r="O44" i="7"/>
  <c r="T38" i="7"/>
  <c r="Q32" i="7"/>
  <c r="Q33" i="7"/>
  <c r="S33" i="7" s="1"/>
  <c r="Z11" i="7"/>
  <c r="W12" i="7" s="1"/>
  <c r="Y12" i="7" s="1"/>
  <c r="X19" i="7"/>
  <c r="Z19" i="7" s="1"/>
  <c r="Q39" i="7" l="1"/>
  <c r="S39" i="7" s="1"/>
  <c r="Q38" i="7"/>
  <c r="N38" i="7" s="1"/>
  <c r="L45" i="7"/>
  <c r="N45" i="7" s="1"/>
  <c r="L44" i="7"/>
  <c r="G46" i="7" s="1"/>
  <c r="W11" i="7"/>
  <c r="Z5" i="7" s="1"/>
  <c r="W6" i="7" s="1"/>
  <c r="Y6" i="7" s="1"/>
  <c r="K38" i="7" l="1"/>
  <c r="K39" i="7"/>
  <c r="M39" i="7" s="1"/>
  <c r="D47" i="7"/>
  <c r="F47" i="7" s="1"/>
  <c r="D46" i="7"/>
  <c r="N32" i="7"/>
  <c r="W5" i="7"/>
  <c r="T5" i="7" s="1"/>
  <c r="Q6" i="7" s="1"/>
  <c r="S6" i="7" s="1"/>
  <c r="U17" i="7"/>
  <c r="R17" i="7" s="1"/>
  <c r="T11" i="7" s="1"/>
  <c r="K32" i="7" l="1"/>
  <c r="H34" i="7" s="1"/>
  <c r="K33" i="7"/>
  <c r="M33" i="7" s="1"/>
  <c r="R18" i="7"/>
  <c r="T18" i="7" s="1"/>
  <c r="O17" i="7"/>
  <c r="L18" i="7" s="1"/>
  <c r="N18" i="7" s="1"/>
  <c r="Q5" i="7"/>
  <c r="Q11" i="7"/>
  <c r="N11" i="7" s="1"/>
  <c r="Q12" i="7"/>
  <c r="S12" i="7" s="1"/>
  <c r="E34" i="7" l="1"/>
  <c r="E35" i="7"/>
  <c r="G35" i="7" s="1"/>
  <c r="L17" i="7"/>
  <c r="G19" i="7" s="1"/>
  <c r="D20" i="7" s="1"/>
  <c r="F20" i="7" s="1"/>
  <c r="N5" i="7"/>
  <c r="K5" i="7" s="1"/>
  <c r="K11" i="7"/>
  <c r="K12" i="7"/>
  <c r="M12" i="7" s="1"/>
  <c r="D19" i="7" l="1"/>
  <c r="K6" i="7"/>
  <c r="M6" i="7" s="1"/>
  <c r="H7" i="7"/>
  <c r="E7" i="7" l="1"/>
  <c r="E8" i="7"/>
  <c r="G8" i="7" s="1"/>
</calcChain>
</file>

<file path=xl/sharedStrings.xml><?xml version="1.0" encoding="utf-8"?>
<sst xmlns="http://schemas.openxmlformats.org/spreadsheetml/2006/main" count="195" uniqueCount="63">
  <si>
    <t>A</t>
  </si>
  <si>
    <t>F</t>
  </si>
  <si>
    <t>H</t>
  </si>
  <si>
    <t>E</t>
  </si>
  <si>
    <t>K</t>
  </si>
  <si>
    <t>J</t>
  </si>
  <si>
    <t>C</t>
  </si>
  <si>
    <t>I</t>
  </si>
  <si>
    <t>L</t>
  </si>
  <si>
    <t>DNI</t>
  </si>
  <si>
    <t>B</t>
  </si>
  <si>
    <t>D</t>
  </si>
  <si>
    <t>G</t>
  </si>
  <si>
    <t>Tarea</t>
  </si>
  <si>
    <t>M</t>
  </si>
  <si>
    <t>N</t>
  </si>
  <si>
    <t>Duración</t>
  </si>
  <si>
    <t>* Introduce tu DNI, si hay letras sustituyelas por un 5 (al principio o final) si tienes menos de 8 digitos, añade 5 hasta completar 8 digitos</t>
  </si>
  <si>
    <t>Flujo de Pagos</t>
  </si>
  <si>
    <t>Coste</t>
  </si>
  <si>
    <t xml:space="preserve"> </t>
  </si>
  <si>
    <t>Retraso</t>
  </si>
  <si>
    <t>Sobrecoste</t>
  </si>
  <si>
    <t>Planificación</t>
  </si>
  <si>
    <t>Acumulado pagos (VP)</t>
  </si>
  <si>
    <t>Coste real (CR)</t>
  </si>
  <si>
    <t>Valor ganado (VG)</t>
  </si>
  <si>
    <t xml:space="preserve">NOTA: tanto las columnas "Duración" como "Retraso" utilizan como unidades semanas. </t>
  </si>
  <si>
    <t>Situación Real</t>
  </si>
  <si>
    <t>(En semana</t>
  </si>
  <si>
    <t>)</t>
  </si>
  <si>
    <t>CON ESTA INFORMACIÓN, SE PIDE APLICAR LA TÉCNICA DEL VALOR GANADO:</t>
  </si>
  <si>
    <r>
      <t xml:space="preserve">    b) Calcular el </t>
    </r>
    <r>
      <rPr>
        <b/>
        <u/>
        <sz val="14"/>
        <color theme="1"/>
        <rFont val="Calibri"/>
        <family val="2"/>
        <scheme val="minor"/>
      </rPr>
      <t>valor ganado</t>
    </r>
    <r>
      <rPr>
        <b/>
        <sz val="14"/>
        <color theme="1"/>
        <rFont val="Calibri"/>
        <family val="2"/>
        <scheme val="minor"/>
      </rPr>
      <t xml:space="preserve"> en cada semana del proyecto hasta la citada fecha. </t>
    </r>
    <r>
      <rPr>
        <sz val="14"/>
        <color theme="1"/>
        <rFont val="Calibri"/>
        <family val="2"/>
        <scheme val="minor"/>
      </rPr>
      <t>(3 puntos)</t>
    </r>
  </si>
  <si>
    <r>
      <t xml:space="preserve">    a) Calcular el </t>
    </r>
    <r>
      <rPr>
        <b/>
        <u/>
        <sz val="14"/>
        <color theme="1"/>
        <rFont val="Calibri"/>
        <family val="2"/>
        <scheme val="minor"/>
      </rPr>
      <t>coste real</t>
    </r>
    <r>
      <rPr>
        <b/>
        <sz val="14"/>
        <color theme="1"/>
        <rFont val="Calibri"/>
        <family val="2"/>
        <scheme val="minor"/>
      </rPr>
      <t xml:space="preserve"> del proyecto </t>
    </r>
    <r>
      <rPr>
        <b/>
        <u/>
        <sz val="14"/>
        <color theme="1"/>
        <rFont val="Calibri"/>
        <family val="2"/>
        <scheme val="minor"/>
      </rPr>
      <t>en cada semana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u/>
        <sz val="14"/>
        <color theme="1"/>
        <rFont val="Calibri"/>
        <family val="2"/>
        <scheme val="minor"/>
      </rPr>
      <t>hasta la fecha planificada de finalización de la tarea G</t>
    </r>
    <r>
      <rPr>
        <b/>
        <sz val="14"/>
        <color theme="1"/>
        <rFont val="Calibri"/>
        <family val="2"/>
        <scheme val="minor"/>
      </rPr>
      <t xml:space="preserve"> (ver línea roja punteada en el gráfico de la hoja "Planificación". </t>
    </r>
    <r>
      <rPr>
        <sz val="14"/>
        <color theme="1"/>
        <rFont val="Calibri"/>
        <family val="2"/>
        <scheme val="minor"/>
      </rPr>
      <t>(2 puntos)</t>
    </r>
  </si>
  <si>
    <r>
      <t xml:space="preserve">    c) Calcula los valores de Schedule variation (SV) y cost variation (CV). </t>
    </r>
    <r>
      <rPr>
        <sz val="14"/>
        <color theme="1"/>
        <rFont val="Calibri"/>
        <family val="2"/>
        <scheme val="minor"/>
      </rPr>
      <t>(1 puntos)</t>
    </r>
  </si>
  <si>
    <r>
      <t xml:space="preserve">    d) </t>
    </r>
    <r>
      <rPr>
        <b/>
        <u/>
        <sz val="14"/>
        <color theme="1"/>
        <rFont val="Calibri"/>
        <family val="2"/>
        <scheme val="minor"/>
      </rPr>
      <t>Representar gráficamente</t>
    </r>
    <r>
      <rPr>
        <b/>
        <sz val="14"/>
        <color theme="1"/>
        <rFont val="Calibri"/>
        <family val="2"/>
        <scheme val="minor"/>
      </rPr>
      <t xml:space="preserve"> las curvas de coste planificado (CP), coste real (CR) y valor ganado (VG).</t>
    </r>
    <r>
      <rPr>
        <sz val="14"/>
        <color theme="1"/>
        <rFont val="Calibri"/>
        <family val="2"/>
        <scheme val="minor"/>
      </rPr>
      <t xml:space="preserve"> (2 puntos)</t>
    </r>
  </si>
  <si>
    <r>
      <t xml:space="preserve">    e) Con la citada información comentar como se está desarrollando el proyecto. </t>
    </r>
    <r>
      <rPr>
        <sz val="14"/>
        <color theme="1"/>
        <rFont val="Calibri"/>
        <family val="2"/>
        <scheme val="minor"/>
      </rPr>
      <t>(2 puntos)</t>
    </r>
  </si>
  <si>
    <r>
      <t xml:space="preserve">    - En la columna </t>
    </r>
    <r>
      <rPr>
        <b/>
        <sz val="12"/>
        <color theme="1"/>
        <rFont val="Calibri"/>
        <family val="2"/>
        <scheme val="minor"/>
      </rPr>
      <t>"Retraso"</t>
    </r>
    <r>
      <rPr>
        <sz val="12"/>
        <color theme="1"/>
        <rFont val="Calibri"/>
        <family val="2"/>
        <scheme val="minor"/>
      </rPr>
      <t xml:space="preserve"> se muestra el retraso en la duración de ciertas actividades en relación al tiempo previsto (si el valor es negativo indica adelanto)</t>
    </r>
  </si>
  <si>
    <t>Nos encontramos en la semana:</t>
  </si>
  <si>
    <t>Durante la ejecución de este proyecto estamos realizando un seguimiento del mismo para comprobar el estado de las líneas base de proyecto.</t>
  </si>
  <si>
    <t>del proyecto, y queremos evaluar el estado actual del mismo. Disponemos de las siguiente información:</t>
  </si>
  <si>
    <r>
      <t xml:space="preserve">    - En la columna </t>
    </r>
    <r>
      <rPr>
        <b/>
        <sz val="12"/>
        <color theme="1"/>
        <rFont val="Calibri"/>
        <family val="2"/>
        <scheme val="minor"/>
      </rPr>
      <t>"Sobrecoste"</t>
    </r>
    <r>
      <rPr>
        <sz val="12"/>
        <color theme="1"/>
        <rFont val="Calibri"/>
        <family val="2"/>
        <scheme val="minor"/>
      </rPr>
      <t xml:space="preserve"> se muestra el sobrecoste detectado en ciertas actividades en relación al planificado (si el valor es negativo indica menos coste del previsto)</t>
    </r>
  </si>
  <si>
    <r>
      <t xml:space="preserve">    - </t>
    </r>
    <r>
      <rPr>
        <b/>
        <sz val="12"/>
        <color theme="1"/>
        <rFont val="Calibri"/>
        <family val="2"/>
        <scheme val="minor"/>
      </rPr>
      <t>Retraso o sobrecoste nulo</t>
    </r>
    <r>
      <rPr>
        <sz val="12"/>
        <color theme="1"/>
        <rFont val="Calibri"/>
        <family val="2"/>
        <scheme val="minor"/>
      </rPr>
      <t xml:space="preserve"> (0) indica que no disponemos de información que difiera de la planificación inicial.</t>
    </r>
  </si>
  <si>
    <t>Estamos ejecutando un proyecto cuyos datos de planificación se muestran en la siguiente tabla:</t>
  </si>
  <si>
    <r>
      <t xml:space="preserve">    - Las columnas </t>
    </r>
    <r>
      <rPr>
        <b/>
        <sz val="12"/>
        <color theme="1"/>
        <rFont val="Calibri"/>
        <family val="2"/>
        <scheme val="minor"/>
      </rPr>
      <t>"Duración" y "Coste"</t>
    </r>
    <r>
      <rPr>
        <sz val="12"/>
        <color theme="1"/>
        <rFont val="Calibri"/>
        <family val="2"/>
        <scheme val="minor"/>
      </rPr>
      <t xml:space="preserve"> hacen referencia a datos de la planificación incial del proyecto.</t>
    </r>
  </si>
  <si>
    <r>
      <t xml:space="preserve">    - El</t>
    </r>
    <r>
      <rPr>
        <b/>
        <sz val="12"/>
        <color theme="1"/>
        <rFont val="Calibri"/>
        <family val="2"/>
        <scheme val="minor"/>
      </rPr>
      <t xml:space="preserve"> cronograma real de ejecución del proyecto </t>
    </r>
    <r>
      <rPr>
        <sz val="12"/>
        <color theme="1"/>
        <rFont val="Calibri"/>
        <family val="2"/>
        <scheme val="minor"/>
      </rPr>
      <t xml:space="preserve">hasta la semana </t>
    </r>
  </si>
  <si>
    <r>
      <t xml:space="preserve">se muestra debajo del cronograma de planificación (ver cronograma </t>
    </r>
    <r>
      <rPr>
        <b/>
        <sz val="12"/>
        <color theme="1"/>
        <rFont val="Calibri"/>
        <family val="2"/>
        <scheme val="minor"/>
      </rPr>
      <t>"Situación Real"</t>
    </r>
    <r>
      <rPr>
        <sz val="12"/>
        <color theme="1"/>
        <rFont val="Calibri"/>
        <family val="2"/>
        <scheme val="minor"/>
      </rPr>
      <t>)</t>
    </r>
  </si>
  <si>
    <r>
      <t xml:space="preserve">    - Dicha planificación se completa con el cronograma y la línea base de costes que se reflejan en la hoja </t>
    </r>
    <r>
      <rPr>
        <b/>
        <sz val="12"/>
        <color theme="1"/>
        <rFont val="Calibri"/>
        <family val="2"/>
        <scheme val="minor"/>
      </rPr>
      <t>"Planificación"</t>
    </r>
    <r>
      <rPr>
        <sz val="12"/>
        <color theme="1"/>
        <rFont val="Calibri"/>
        <family val="2"/>
        <scheme val="minor"/>
      </rPr>
      <t xml:space="preserve"> (ver cronograma </t>
    </r>
    <r>
      <rPr>
        <b/>
        <sz val="12"/>
        <color theme="1"/>
        <rFont val="Calibri"/>
        <family val="2"/>
        <scheme val="minor"/>
      </rPr>
      <t>"Planificación"</t>
    </r>
    <r>
      <rPr>
        <sz val="12"/>
        <color theme="1"/>
        <rFont val="Calibri"/>
        <family val="2"/>
        <scheme val="minor"/>
      </rPr>
      <t>)</t>
    </r>
  </si>
  <si>
    <t xml:space="preserve">      En este gráfico se muestra como han afectado los retrasos o adelantos a las tareas al proyecto.</t>
  </si>
  <si>
    <t>NOTA IMPORTANTE: Suponemos que el coste de las tareas se reparte equitativamente durante la semanas en que estas se realizan.</t>
  </si>
  <si>
    <t>Es decir, si se ha finalizado 1/3 de una tarea, supondremos que el valor ganado será 1/3 del coste planificado de dicha tarea.</t>
  </si>
  <si>
    <t>También suponemos que en cada semana se hace una actualización de la estimación de la duración y coste de las tareas que ya han comenzado.</t>
  </si>
  <si>
    <t>Duración real</t>
  </si>
  <si>
    <t>Coste real</t>
  </si>
  <si>
    <t>Porcentajes de trabajo realizado y acumulado</t>
  </si>
  <si>
    <t>Schedule variation (SV = VG - VP)</t>
  </si>
  <si>
    <t>Cost Variation (CV = VG - CR)</t>
  </si>
  <si>
    <t xml:space="preserve">Schedule Performance Indicator = SPI = VG / VP = </t>
  </si>
  <si>
    <t>Cost Performance Indicator = CPI = VG / CR =</t>
  </si>
  <si>
    <r>
      <t xml:space="preserve">Dada la información de SV y CV en el último periodo calculado, se puede observar que el proyecto </t>
    </r>
    <r>
      <rPr>
        <b/>
        <sz val="11"/>
        <color rgb="FF0070C0"/>
        <rFont val="Calibri"/>
        <family val="2"/>
        <scheme val="minor"/>
      </rPr>
      <t>no va por buen camino</t>
    </r>
    <r>
      <rPr>
        <sz val="11"/>
        <color rgb="FF0070C0"/>
        <rFont val="Calibri"/>
        <family val="2"/>
        <scheme val="minor"/>
      </rPr>
      <t xml:space="preserve"> debido a que tiene un retraso en trabajo de 1800€, así como un sobrecoste de 5240€.</t>
    </r>
  </si>
  <si>
    <t>Retraso en trabajo de 1800€</t>
  </si>
  <si>
    <t>Sobrecoste de 5240€</t>
  </si>
  <si>
    <r>
      <t xml:space="preserve">Además, viendo que el proyecto va mal en los aspectos más relevantes, </t>
    </r>
    <r>
      <rPr>
        <b/>
        <sz val="11"/>
        <color rgb="FF0070C0"/>
        <rFont val="Calibri"/>
        <family val="2"/>
        <scheme val="minor"/>
      </rPr>
      <t>su SPI y CPI dan valores &lt; 1</t>
    </r>
    <r>
      <rPr>
        <sz val="11"/>
        <color rgb="FF0070C0"/>
        <rFont val="Calibri"/>
        <family val="2"/>
        <scheme val="minor"/>
      </rPr>
      <t>, esto es, con resultados y costes peores a lo planificado.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</si>
</sst>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"/>
  </numFmts>
  <fonts count="38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  <charset val="1"/>
    </font>
    <font>
      <sz val="12"/>
      <color theme="1"/>
      <name val="Calibri"/>
      <family val="2"/>
      <charset val="134"/>
      <scheme val="minor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Arial"/>
      <family val="2"/>
    </font>
    <font>
      <b/>
      <sz val="12"/>
      <color theme="1"/>
      <name val="Arial"/>
      <family val="2"/>
    </font>
    <font>
      <b/>
      <sz val="24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2"/>
      <color rgb="FF000000"/>
      <name val="Arial"/>
      <family val="2"/>
    </font>
    <font>
      <sz val="14"/>
      <color theme="0"/>
      <name val="Arial"/>
      <family val="2"/>
    </font>
    <font>
      <b/>
      <sz val="26"/>
      <color theme="1"/>
      <name val="Calibri"/>
      <family val="2"/>
      <scheme val="minor"/>
    </font>
    <font>
      <sz val="16"/>
      <color theme="1"/>
      <name val="Arial"/>
      <family val="2"/>
    </font>
    <font>
      <b/>
      <sz val="18"/>
      <color theme="1"/>
      <name val="Arial"/>
      <family val="2"/>
    </font>
    <font>
      <b/>
      <sz val="20"/>
      <color theme="1"/>
      <name val="Arial"/>
      <family val="2"/>
    </font>
    <font>
      <b/>
      <u/>
      <sz val="14"/>
      <color theme="1"/>
      <name val="Calibri"/>
      <family val="2"/>
      <scheme val="minor"/>
    </font>
    <font>
      <b/>
      <sz val="20"/>
      <color theme="6" tint="-0.249977111117893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6"/>
      <color rgb="FF0070C0"/>
      <name val="Arial"/>
      <family val="2"/>
    </font>
    <font>
      <sz val="14"/>
      <color rgb="FF0070C0"/>
      <name val="Arial"/>
      <family val="2"/>
    </font>
    <font>
      <sz val="11"/>
      <color rgb="FF0070C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rgb="FF000000"/>
      </right>
      <top/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rgb="FF000000"/>
      </left>
      <right/>
      <top style="thick">
        <color rgb="FF000000"/>
      </top>
      <bottom style="medium">
        <color indexed="64"/>
      </bottom>
      <diagonal/>
    </border>
    <border>
      <left/>
      <right style="medium">
        <color indexed="64"/>
      </right>
      <top style="thick">
        <color rgb="FF000000"/>
      </top>
      <bottom style="medium">
        <color indexed="64"/>
      </bottom>
      <diagonal/>
    </border>
    <border>
      <left style="medium">
        <color indexed="64"/>
      </left>
      <right/>
      <top style="thick">
        <color rgb="FF000000"/>
      </top>
      <bottom style="medium">
        <color indexed="64"/>
      </bottom>
      <diagonal/>
    </border>
    <border>
      <left/>
      <right style="thick">
        <color rgb="FF000000"/>
      </right>
      <top style="thick">
        <color rgb="FF00000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rgb="FF000000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rgb="FF000000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thick">
        <color theme="1"/>
      </left>
      <right/>
      <top style="thick">
        <color theme="1"/>
      </top>
      <bottom style="medium">
        <color indexed="64"/>
      </bottom>
      <diagonal/>
    </border>
    <border>
      <left/>
      <right style="medium">
        <color indexed="64"/>
      </right>
      <top style="thick">
        <color theme="1"/>
      </top>
      <bottom style="medium">
        <color indexed="64"/>
      </bottom>
      <diagonal/>
    </border>
    <border>
      <left style="medium">
        <color indexed="64"/>
      </left>
      <right/>
      <top style="thick">
        <color theme="1"/>
      </top>
      <bottom style="medium">
        <color indexed="64"/>
      </bottom>
      <diagonal/>
    </border>
    <border>
      <left/>
      <right style="thick">
        <color theme="1"/>
      </right>
      <top style="thick">
        <color theme="1"/>
      </top>
      <bottom style="medium">
        <color indexed="64"/>
      </bottom>
      <diagonal/>
    </border>
    <border>
      <left style="thick">
        <color theme="1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theme="1"/>
      </right>
      <top/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/>
      <top style="medium">
        <color indexed="64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thick">
        <color auto="1"/>
      </bottom>
      <diagonal/>
    </border>
    <border>
      <left/>
      <right style="thick">
        <color auto="1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</borders>
  <cellStyleXfs count="3">
    <xf numFmtId="0" fontId="0" fillId="0" borderId="0"/>
    <xf numFmtId="0" fontId="6" fillId="0" borderId="0"/>
    <xf numFmtId="9" fontId="31" fillId="0" borderId="0" applyFont="0" applyFill="0" applyBorder="0" applyAlignment="0" applyProtection="0"/>
  </cellStyleXfs>
  <cellXfs count="158">
    <xf numFmtId="0" fontId="0" fillId="0" borderId="0" xfId="0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2" fillId="0" borderId="0" xfId="0" applyFont="1"/>
    <xf numFmtId="0" fontId="2" fillId="0" borderId="8" xfId="0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1" fontId="1" fillId="0" borderId="6" xfId="0" applyNumberFormat="1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1" fontId="1" fillId="0" borderId="5" xfId="0" applyNumberFormat="1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3" fillId="0" borderId="0" xfId="0" applyFont="1" applyBorder="1"/>
    <xf numFmtId="0" fontId="2" fillId="0" borderId="0" xfId="0" applyFont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right"/>
    </xf>
    <xf numFmtId="1" fontId="1" fillId="0" borderId="28" xfId="0" applyNumberFormat="1" applyFont="1" applyBorder="1" applyAlignment="1">
      <alignment horizontal="center" vertical="top" wrapText="1"/>
    </xf>
    <xf numFmtId="1" fontId="1" fillId="0" borderId="29" xfId="0" applyNumberFormat="1" applyFont="1" applyBorder="1" applyAlignment="1">
      <alignment horizontal="center" vertical="top" wrapText="1"/>
    </xf>
    <xf numFmtId="1" fontId="1" fillId="0" borderId="31" xfId="0" applyNumberFormat="1" applyFont="1" applyBorder="1" applyAlignment="1">
      <alignment horizontal="center" vertical="top" wrapText="1"/>
    </xf>
    <xf numFmtId="1" fontId="1" fillId="0" borderId="32" xfId="0" applyNumberFormat="1" applyFont="1" applyBorder="1" applyAlignment="1">
      <alignment horizontal="center" vertical="top" wrapText="1"/>
    </xf>
    <xf numFmtId="0" fontId="2" fillId="0" borderId="0" xfId="0" applyFont="1" applyFill="1"/>
    <xf numFmtId="0" fontId="1" fillId="0" borderId="22" xfId="0" applyFont="1" applyBorder="1" applyAlignment="1">
      <alignment horizontal="center" vertical="top" wrapText="1"/>
    </xf>
    <xf numFmtId="0" fontId="1" fillId="0" borderId="19" xfId="0" applyFont="1" applyBorder="1" applyAlignment="1">
      <alignment horizontal="center" vertical="top" wrapText="1"/>
    </xf>
    <xf numFmtId="1" fontId="1" fillId="0" borderId="20" xfId="0" applyNumberFormat="1" applyFont="1" applyBorder="1" applyAlignment="1">
      <alignment horizontal="center" vertical="top" wrapText="1"/>
    </xf>
    <xf numFmtId="1" fontId="1" fillId="0" borderId="30" xfId="0" applyNumberFormat="1" applyFont="1" applyBorder="1" applyAlignment="1">
      <alignment horizontal="center" vertical="top" wrapText="1"/>
    </xf>
    <xf numFmtId="0" fontId="1" fillId="0" borderId="20" xfId="0" applyFont="1" applyBorder="1" applyAlignment="1">
      <alignment horizontal="center" vertical="top" wrapText="1"/>
    </xf>
    <xf numFmtId="0" fontId="1" fillId="0" borderId="30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" fillId="0" borderId="25" xfId="0" applyFont="1" applyBorder="1" applyAlignment="1">
      <alignment horizontal="center" vertical="top" wrapText="1"/>
    </xf>
    <xf numFmtId="0" fontId="1" fillId="0" borderId="18" xfId="0" applyFont="1" applyBorder="1" applyAlignment="1">
      <alignment horizontal="center" vertical="top" wrapText="1"/>
    </xf>
    <xf numFmtId="1" fontId="1" fillId="0" borderId="21" xfId="0" applyNumberFormat="1" applyFont="1" applyBorder="1" applyAlignment="1">
      <alignment horizontal="center" vertical="top" wrapText="1"/>
    </xf>
    <xf numFmtId="0" fontId="2" fillId="0" borderId="0" xfId="0" applyFont="1" applyBorder="1"/>
    <xf numFmtId="1" fontId="5" fillId="0" borderId="37" xfId="0" applyNumberFormat="1" applyFont="1" applyBorder="1" applyAlignment="1">
      <alignment horizontal="center"/>
    </xf>
    <xf numFmtId="0" fontId="6" fillId="0" borderId="0" xfId="1"/>
    <xf numFmtId="1" fontId="7" fillId="0" borderId="10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1" fontId="10" fillId="0" borderId="0" xfId="0" applyNumberFormat="1" applyFont="1" applyBorder="1" applyAlignment="1">
      <alignment horizontal="center"/>
    </xf>
    <xf numFmtId="0" fontId="0" fillId="0" borderId="0" xfId="0" applyFont="1"/>
    <xf numFmtId="0" fontId="9" fillId="0" borderId="9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Fill="1"/>
    <xf numFmtId="0" fontId="12" fillId="0" borderId="0" xfId="0" applyFont="1" applyBorder="1"/>
    <xf numFmtId="0" fontId="12" fillId="0" borderId="0" xfId="0" applyFont="1"/>
    <xf numFmtId="0" fontId="2" fillId="0" borderId="38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top" wrapText="1"/>
    </xf>
    <xf numFmtId="0" fontId="1" fillId="0" borderId="19" xfId="0" applyFont="1" applyBorder="1" applyAlignment="1">
      <alignment horizontal="center" vertical="top" wrapText="1"/>
    </xf>
    <xf numFmtId="1" fontId="1" fillId="0" borderId="20" xfId="0" applyNumberFormat="1" applyFont="1" applyBorder="1" applyAlignment="1">
      <alignment horizontal="center" vertical="top" wrapText="1"/>
    </xf>
    <xf numFmtId="1" fontId="1" fillId="0" borderId="30" xfId="0" applyNumberFormat="1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1" fontId="2" fillId="0" borderId="41" xfId="0" applyNumberFormat="1" applyFont="1" applyBorder="1" applyAlignment="1">
      <alignment horizontal="center"/>
    </xf>
    <xf numFmtId="0" fontId="6" fillId="0" borderId="0" xfId="1" applyAlignment="1">
      <alignment horizontal="center"/>
    </xf>
    <xf numFmtId="0" fontId="7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1" fontId="2" fillId="0" borderId="42" xfId="0" applyNumberFormat="1" applyFont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0" fontId="14" fillId="0" borderId="0" xfId="0" applyFont="1" applyBorder="1"/>
    <xf numFmtId="0" fontId="7" fillId="0" borderId="0" xfId="0" applyFont="1" applyBorder="1" applyAlignment="1">
      <alignment horizontal="center"/>
    </xf>
    <xf numFmtId="0" fontId="8" fillId="0" borderId="0" xfId="1" applyFont="1"/>
    <xf numFmtId="0" fontId="13" fillId="0" borderId="8" xfId="0" applyFont="1" applyBorder="1" applyAlignment="1">
      <alignment horizontal="center"/>
    </xf>
    <xf numFmtId="1" fontId="17" fillId="0" borderId="37" xfId="0" applyNumberFormat="1" applyFont="1" applyBorder="1" applyAlignment="1">
      <alignment horizontal="center"/>
    </xf>
    <xf numFmtId="0" fontId="8" fillId="0" borderId="0" xfId="0" applyFont="1"/>
    <xf numFmtId="0" fontId="10" fillId="0" borderId="1" xfId="0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0" fontId="20" fillId="0" borderId="38" xfId="0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9" fillId="0" borderId="0" xfId="0" applyFont="1" applyBorder="1" applyAlignment="1">
      <alignment horizontal="right" vertical="center"/>
    </xf>
    <xf numFmtId="0" fontId="21" fillId="0" borderId="0" xfId="0" applyFont="1" applyAlignment="1">
      <alignment horizontal="right" vertical="center"/>
    </xf>
    <xf numFmtId="1" fontId="15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" fontId="20" fillId="0" borderId="0" xfId="0" applyNumberFormat="1" applyFont="1" applyBorder="1" applyAlignment="1">
      <alignment horizontal="center"/>
    </xf>
    <xf numFmtId="1" fontId="20" fillId="0" borderId="1" xfId="0" applyNumberFormat="1" applyFont="1" applyBorder="1" applyAlignment="1">
      <alignment horizontal="center"/>
    </xf>
    <xf numFmtId="0" fontId="12" fillId="0" borderId="38" xfId="0" applyFont="1" applyFill="1" applyBorder="1" applyAlignment="1">
      <alignment horizontal="center" vertical="center"/>
    </xf>
    <xf numFmtId="0" fontId="18" fillId="0" borderId="38" xfId="0" applyFont="1" applyFill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/>
    </xf>
    <xf numFmtId="164" fontId="2" fillId="0" borderId="42" xfId="0" applyNumberFormat="1" applyFont="1" applyBorder="1" applyAlignment="1">
      <alignment horizontal="center"/>
    </xf>
    <xf numFmtId="164" fontId="2" fillId="0" borderId="41" xfId="0" applyNumberFormat="1" applyFont="1" applyBorder="1" applyAlignment="1">
      <alignment horizontal="center"/>
    </xf>
    <xf numFmtId="0" fontId="12" fillId="0" borderId="43" xfId="0" applyFont="1" applyFill="1" applyBorder="1" applyAlignment="1">
      <alignment horizontal="center" vertical="center"/>
    </xf>
    <xf numFmtId="0" fontId="12" fillId="0" borderId="44" xfId="0" applyFont="1" applyFill="1" applyBorder="1" applyAlignment="1">
      <alignment horizontal="center" vertical="center"/>
    </xf>
    <xf numFmtId="0" fontId="27" fillId="0" borderId="0" xfId="0" applyFont="1"/>
    <xf numFmtId="0" fontId="28" fillId="0" borderId="0" xfId="0" applyFont="1" applyBorder="1" applyAlignment="1">
      <alignment horizontal="center"/>
    </xf>
    <xf numFmtId="1" fontId="17" fillId="0" borderId="0" xfId="0" applyNumberFormat="1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9" fillId="0" borderId="0" xfId="0" applyFont="1"/>
    <xf numFmtId="1" fontId="29" fillId="0" borderId="0" xfId="0" applyNumberFormat="1" applyFont="1" applyAlignment="1">
      <alignment horizontal="left"/>
    </xf>
    <xf numFmtId="0" fontId="29" fillId="0" borderId="0" xfId="0" applyFont="1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center"/>
    </xf>
    <xf numFmtId="0" fontId="30" fillId="0" borderId="0" xfId="0" applyFont="1"/>
    <xf numFmtId="1" fontId="20" fillId="0" borderId="38" xfId="0" applyNumberFormat="1" applyFont="1" applyBorder="1" applyAlignment="1">
      <alignment horizontal="center" vertical="center"/>
    </xf>
    <xf numFmtId="0" fontId="3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10" fontId="14" fillId="0" borderId="0" xfId="2" applyNumberFormat="1" applyFont="1" applyAlignment="1">
      <alignment horizontal="center"/>
    </xf>
    <xf numFmtId="10" fontId="14" fillId="0" borderId="0" xfId="2" applyNumberFormat="1" applyFont="1" applyAlignment="1">
      <alignment horizontal="center" vertical="center"/>
    </xf>
    <xf numFmtId="10" fontId="14" fillId="4" borderId="0" xfId="2" applyNumberFormat="1" applyFont="1" applyFill="1" applyAlignment="1">
      <alignment horizontal="center"/>
    </xf>
    <xf numFmtId="10" fontId="14" fillId="4" borderId="0" xfId="2" applyNumberFormat="1" applyFont="1" applyFill="1" applyAlignment="1">
      <alignment horizontal="center" vertical="center"/>
    </xf>
    <xf numFmtId="1" fontId="27" fillId="0" borderId="0" xfId="0" applyNumberFormat="1" applyFont="1"/>
    <xf numFmtId="164" fontId="27" fillId="0" borderId="0" xfId="0" applyNumberFormat="1" applyFont="1"/>
    <xf numFmtId="1" fontId="11" fillId="0" borderId="0" xfId="0" applyNumberFormat="1" applyFont="1"/>
    <xf numFmtId="164" fontId="11" fillId="0" borderId="0" xfId="0" applyNumberFormat="1" applyFont="1"/>
    <xf numFmtId="0" fontId="37" fillId="0" borderId="0" xfId="0" applyFont="1" applyAlignment="1">
      <alignment horizontal="center" vertical="center"/>
    </xf>
    <xf numFmtId="0" fontId="33" fillId="0" borderId="0" xfId="0" applyFont="1" applyAlignment="1">
      <alignment horizontal="center"/>
    </xf>
    <xf numFmtId="0" fontId="36" fillId="0" borderId="0" xfId="0" applyFont="1" applyAlignment="1">
      <alignment horizontal="center" vertical="center"/>
    </xf>
    <xf numFmtId="0" fontId="35" fillId="0" borderId="39" xfId="0" applyFont="1" applyBorder="1" applyAlignment="1">
      <alignment horizontal="center" vertical="center"/>
    </xf>
    <xf numFmtId="0" fontId="35" fillId="0" borderId="41" xfId="0" applyFont="1" applyBorder="1" applyAlignment="1">
      <alignment horizontal="center" vertical="center"/>
    </xf>
    <xf numFmtId="0" fontId="35" fillId="0" borderId="4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26" fillId="3" borderId="39" xfId="0" applyFont="1" applyFill="1" applyBorder="1" applyAlignment="1">
      <alignment horizontal="center"/>
    </xf>
    <xf numFmtId="0" fontId="26" fillId="3" borderId="41" xfId="0" applyFont="1" applyFill="1" applyBorder="1" applyAlignment="1">
      <alignment horizontal="center"/>
    </xf>
    <xf numFmtId="0" fontId="26" fillId="3" borderId="40" xfId="0" applyFont="1" applyFill="1" applyBorder="1" applyAlignment="1">
      <alignment horizontal="center"/>
    </xf>
    <xf numFmtId="0" fontId="15" fillId="3" borderId="39" xfId="0" applyFont="1" applyFill="1" applyBorder="1" applyAlignment="1">
      <alignment horizontal="center"/>
    </xf>
    <xf numFmtId="0" fontId="15" fillId="3" borderId="41" xfId="0" applyFont="1" applyFill="1" applyBorder="1" applyAlignment="1">
      <alignment horizontal="center"/>
    </xf>
    <xf numFmtId="0" fontId="15" fillId="3" borderId="40" xfId="0" applyFont="1" applyFill="1" applyBorder="1" applyAlignment="1">
      <alignment horizontal="center"/>
    </xf>
    <xf numFmtId="0" fontId="24" fillId="3" borderId="39" xfId="0" applyFont="1" applyFill="1" applyBorder="1" applyAlignment="1">
      <alignment horizontal="center"/>
    </xf>
    <xf numFmtId="0" fontId="24" fillId="3" borderId="41" xfId="0" applyFont="1" applyFill="1" applyBorder="1" applyAlignment="1">
      <alignment horizontal="center"/>
    </xf>
    <xf numFmtId="0" fontId="24" fillId="3" borderId="40" xfId="0" applyFont="1" applyFill="1" applyBorder="1" applyAlignment="1">
      <alignment horizontal="center"/>
    </xf>
    <xf numFmtId="0" fontId="16" fillId="3" borderId="39" xfId="0" applyFont="1" applyFill="1" applyBorder="1" applyAlignment="1">
      <alignment horizontal="center"/>
    </xf>
    <xf numFmtId="0" fontId="16" fillId="3" borderId="41" xfId="0" applyFont="1" applyFill="1" applyBorder="1" applyAlignment="1">
      <alignment horizontal="center"/>
    </xf>
    <xf numFmtId="0" fontId="16" fillId="3" borderId="40" xfId="0" applyFont="1" applyFill="1" applyBorder="1" applyAlignment="1">
      <alignment horizontal="center"/>
    </xf>
    <xf numFmtId="0" fontId="25" fillId="3" borderId="39" xfId="0" applyFont="1" applyFill="1" applyBorder="1" applyAlignment="1">
      <alignment horizontal="center"/>
    </xf>
    <xf numFmtId="0" fontId="25" fillId="3" borderId="41" xfId="0" applyFont="1" applyFill="1" applyBorder="1" applyAlignment="1">
      <alignment horizontal="center"/>
    </xf>
    <xf numFmtId="0" fontId="25" fillId="3" borderId="40" xfId="0" applyFont="1" applyFill="1" applyBorder="1" applyAlignment="1">
      <alignment horizontal="center"/>
    </xf>
    <xf numFmtId="0" fontId="0" fillId="0" borderId="0" xfId="0" applyAlignment="1">
      <alignment horizontal="center"/>
    </xf>
    <xf numFmtId="1" fontId="1" fillId="0" borderId="33" xfId="0" applyNumberFormat="1" applyFont="1" applyBorder="1" applyAlignment="1">
      <alignment horizontal="center" vertical="top" wrapText="1"/>
    </xf>
    <xf numFmtId="1" fontId="1" fillId="0" borderId="34" xfId="0" applyNumberFormat="1" applyFont="1" applyBorder="1" applyAlignment="1">
      <alignment horizontal="center" vertical="top" wrapText="1"/>
    </xf>
    <xf numFmtId="1" fontId="1" fillId="2" borderId="35" xfId="0" applyNumberFormat="1" applyFont="1" applyFill="1" applyBorder="1" applyAlignment="1">
      <alignment horizontal="center" vertical="top" wrapText="1"/>
    </xf>
    <xf numFmtId="1" fontId="1" fillId="2" borderId="36" xfId="0" applyNumberFormat="1" applyFont="1" applyFill="1" applyBorder="1" applyAlignment="1">
      <alignment horizontal="center" vertical="top" wrapText="1"/>
    </xf>
    <xf numFmtId="1" fontId="1" fillId="0" borderId="26" xfId="0" applyNumberFormat="1" applyFont="1" applyBorder="1" applyAlignment="1">
      <alignment horizontal="center" vertical="top" wrapText="1"/>
    </xf>
    <xf numFmtId="1" fontId="1" fillId="0" borderId="27" xfId="0" applyNumberFormat="1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1" fontId="1" fillId="0" borderId="13" xfId="0" applyNumberFormat="1" applyFont="1" applyBorder="1" applyAlignment="1">
      <alignment horizontal="center" vertical="top" wrapText="1"/>
    </xf>
    <xf numFmtId="1" fontId="1" fillId="0" borderId="14" xfId="0" applyNumberFormat="1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top" wrapText="1"/>
    </xf>
    <xf numFmtId="0" fontId="1" fillId="0" borderId="19" xfId="0" applyFont="1" applyBorder="1" applyAlignment="1">
      <alignment horizontal="center" vertical="top" wrapText="1"/>
    </xf>
    <xf numFmtId="1" fontId="1" fillId="0" borderId="20" xfId="0" applyNumberFormat="1" applyFont="1" applyBorder="1" applyAlignment="1">
      <alignment horizontal="center" vertical="top" wrapText="1"/>
    </xf>
    <xf numFmtId="1" fontId="1" fillId="0" borderId="30" xfId="0" applyNumberFormat="1" applyFont="1" applyBorder="1" applyAlignment="1">
      <alignment horizontal="center" vertical="top" wrapText="1"/>
    </xf>
    <xf numFmtId="1" fontId="1" fillId="0" borderId="8" xfId="0" applyNumberFormat="1" applyFont="1" applyBorder="1" applyAlignment="1">
      <alignment horizontal="center" vertical="top" wrapText="1"/>
    </xf>
    <xf numFmtId="1" fontId="1" fillId="0" borderId="23" xfId="0" applyNumberFormat="1" applyFont="1" applyBorder="1" applyAlignment="1">
      <alignment horizontal="center" vertical="top" wrapText="1"/>
    </xf>
  </cellXfs>
  <cellStyles count="3">
    <cellStyle name="Normal" xfId="0" builtinId="0"/>
    <cellStyle name="Normal 2" xfId="1" xr:uid="{00000000-0005-0000-0000-000001000000}"/>
    <cellStyle name="Porcentaje" xfId="2" builtinId="5"/>
  </cellStyles>
  <dxfs count="10">
    <dxf>
      <border>
        <right style="dotted">
          <color rgb="FFC00000"/>
        </right>
        <vertical/>
        <horizontal/>
      </border>
    </dxf>
    <dxf>
      <border>
        <right style="dotted">
          <color rgb="FFFF0000"/>
        </right>
        <vertical/>
        <horizontal/>
      </border>
    </dxf>
    <dxf>
      <border>
        <right style="dotted">
          <color rgb="FFFF0000"/>
        </right>
        <vertical/>
        <horizontal/>
      </border>
    </dxf>
    <dxf>
      <border>
        <right style="dotted">
          <color rgb="FFFF0000"/>
        </right>
        <vertical/>
        <horizontal/>
      </border>
    </dxf>
    <dxf>
      <border>
        <right style="dotted">
          <color rgb="FFC00000"/>
        </right>
        <vertical/>
        <horizontal/>
      </border>
    </dxf>
    <dxf>
      <border>
        <right style="dotted">
          <color rgb="FFFF0000"/>
        </right>
        <vertical/>
        <horizontal/>
      </border>
    </dxf>
    <dxf>
      <border>
        <right style="dotted">
          <color rgb="FFC00000"/>
        </right>
        <vertical/>
        <horizontal/>
      </border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</dxfs>
  <tableStyles count="0" defaultTableStyle="TableStyleMedium9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Gráfica!$A$1</c:f>
              <c:strCache>
                <c:ptCount val="1"/>
                <c:pt idx="0">
                  <c:v>Acumulado pagos (VP)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Gráfica!$C$1:$J$1</c:f>
              <c:numCache>
                <c:formatCode>General</c:formatCode>
                <c:ptCount val="8"/>
                <c:pt idx="0">
                  <c:v>1200</c:v>
                </c:pt>
                <c:pt idx="1">
                  <c:v>2400</c:v>
                </c:pt>
                <c:pt idx="2">
                  <c:v>4200</c:v>
                </c:pt>
                <c:pt idx="3">
                  <c:v>6000</c:v>
                </c:pt>
                <c:pt idx="4">
                  <c:v>7800</c:v>
                </c:pt>
                <c:pt idx="5">
                  <c:v>9600</c:v>
                </c:pt>
                <c:pt idx="6">
                  <c:v>10800</c:v>
                </c:pt>
                <c:pt idx="7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1-4BDA-AD25-EF45F1102E57}"/>
            </c:ext>
          </c:extLst>
        </c:ser>
        <c:ser>
          <c:idx val="1"/>
          <c:order val="1"/>
          <c:tx>
            <c:strRef>
              <c:f>Gráfica!$A$2</c:f>
              <c:strCache>
                <c:ptCount val="1"/>
                <c:pt idx="0">
                  <c:v>Coste real (CR)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Gráfica!$C$2:$J$2</c:f>
              <c:numCache>
                <c:formatCode>General</c:formatCode>
                <c:ptCount val="8"/>
                <c:pt idx="0">
                  <c:v>1780</c:v>
                </c:pt>
                <c:pt idx="1">
                  <c:v>2694.2857142857142</c:v>
                </c:pt>
                <c:pt idx="2">
                  <c:v>3608.5714285714284</c:v>
                </c:pt>
                <c:pt idx="3">
                  <c:v>5062.8571428571449</c:v>
                </c:pt>
                <c:pt idx="4">
                  <c:v>6517.1428571428587</c:v>
                </c:pt>
                <c:pt idx="5">
                  <c:v>10111.428571428571</c:v>
                </c:pt>
                <c:pt idx="6">
                  <c:v>13705.714285714286</c:v>
                </c:pt>
                <c:pt idx="7">
                  <c:v>15440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61-4BDA-AD25-EF45F1102E57}"/>
            </c:ext>
          </c:extLst>
        </c:ser>
        <c:ser>
          <c:idx val="2"/>
          <c:order val="2"/>
          <c:tx>
            <c:strRef>
              <c:f>Gráfica!$A$3</c:f>
              <c:strCache>
                <c:ptCount val="1"/>
                <c:pt idx="0">
                  <c:v>Valor ganado (VG)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Gráfica!$C$3:$J$3</c:f>
              <c:numCache>
                <c:formatCode>General</c:formatCode>
                <c:ptCount val="8"/>
                <c:pt idx="0">
                  <c:v>1600</c:v>
                </c:pt>
                <c:pt idx="1">
                  <c:v>2514.2857142857142</c:v>
                </c:pt>
                <c:pt idx="2">
                  <c:v>3428.5714285714284</c:v>
                </c:pt>
                <c:pt idx="3">
                  <c:v>4542.8571428571449</c:v>
                </c:pt>
                <c:pt idx="4">
                  <c:v>5657.1428571428587</c:v>
                </c:pt>
                <c:pt idx="5">
                  <c:v>7471.4285714285706</c:v>
                </c:pt>
                <c:pt idx="6">
                  <c:v>9285.7142857142862</c:v>
                </c:pt>
                <c:pt idx="7">
                  <c:v>10200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61-4BDA-AD25-EF45F1102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473168"/>
        <c:axId val="986471504"/>
      </c:lineChart>
      <c:catAx>
        <c:axId val="98647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6471504"/>
        <c:crosses val="autoZero"/>
        <c:auto val="1"/>
        <c:lblAlgn val="ctr"/>
        <c:lblOffset val="100"/>
        <c:noMultiLvlLbl val="0"/>
      </c:catAx>
      <c:valAx>
        <c:axId val="9864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647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7</xdr:row>
      <xdr:rowOff>15240</xdr:rowOff>
    </xdr:from>
    <xdr:to>
      <xdr:col>11</xdr:col>
      <xdr:colOff>655320</xdr:colOff>
      <xdr:row>22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350413-94B4-4ED5-B472-FC9AF121E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3</xdr:row>
      <xdr:rowOff>160020</xdr:rowOff>
    </xdr:from>
    <xdr:to>
      <xdr:col>10</xdr:col>
      <xdr:colOff>15240</xdr:colOff>
      <xdr:row>5</xdr:row>
      <xdr:rowOff>144780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 flipV="1">
          <a:off x="3652520" y="678180"/>
          <a:ext cx="670560" cy="3302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</xdr:colOff>
      <xdr:row>7</xdr:row>
      <xdr:rowOff>0</xdr:rowOff>
    </xdr:from>
    <xdr:to>
      <xdr:col>10</xdr:col>
      <xdr:colOff>22860</xdr:colOff>
      <xdr:row>10</xdr:row>
      <xdr:rowOff>38100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CxnSpPr/>
      </xdr:nvCxnSpPr>
      <xdr:spPr>
        <a:xfrm>
          <a:off x="2636520" y="1226820"/>
          <a:ext cx="662940" cy="5638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</xdr:colOff>
      <xdr:row>15</xdr:row>
      <xdr:rowOff>114300</xdr:rowOff>
    </xdr:from>
    <xdr:to>
      <xdr:col>11</xdr:col>
      <xdr:colOff>7620</xdr:colOff>
      <xdr:row>18</xdr:row>
      <xdr:rowOff>30480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CxnSpPr/>
      </xdr:nvCxnSpPr>
      <xdr:spPr>
        <a:xfrm flipV="1">
          <a:off x="2308860" y="2743200"/>
          <a:ext cx="1303020" cy="4419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</xdr:colOff>
      <xdr:row>3</xdr:row>
      <xdr:rowOff>91440</xdr:rowOff>
    </xdr:from>
    <xdr:to>
      <xdr:col>16</xdr:col>
      <xdr:colOff>0</xdr:colOff>
      <xdr:row>4</xdr:row>
      <xdr:rowOff>0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/>
      </xdr:nvCxnSpPr>
      <xdr:spPr>
        <a:xfrm flipV="1">
          <a:off x="4602480" y="617220"/>
          <a:ext cx="640080" cy="83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</xdr:colOff>
      <xdr:row>4</xdr:row>
      <xdr:rowOff>121920</xdr:rowOff>
    </xdr:from>
    <xdr:to>
      <xdr:col>15</xdr:col>
      <xdr:colOff>320040</xdr:colOff>
      <xdr:row>9</xdr:row>
      <xdr:rowOff>38100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CxnSpPr/>
      </xdr:nvCxnSpPr>
      <xdr:spPr>
        <a:xfrm>
          <a:off x="4594860" y="822960"/>
          <a:ext cx="640080" cy="7924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22860</xdr:colOff>
      <xdr:row>10</xdr:row>
      <xdr:rowOff>15240</xdr:rowOff>
    </xdr:from>
    <xdr:to>
      <xdr:col>16</xdr:col>
      <xdr:colOff>7620</xdr:colOff>
      <xdr:row>10</xdr:row>
      <xdr:rowOff>99060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CxnSpPr/>
      </xdr:nvCxnSpPr>
      <xdr:spPr>
        <a:xfrm flipV="1">
          <a:off x="4610100" y="1767840"/>
          <a:ext cx="640080" cy="83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</xdr:colOff>
      <xdr:row>15</xdr:row>
      <xdr:rowOff>167640</xdr:rowOff>
    </xdr:from>
    <xdr:to>
      <xdr:col>17</xdr:col>
      <xdr:colOff>15240</xdr:colOff>
      <xdr:row>16</xdr:row>
      <xdr:rowOff>60960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CxnSpPr/>
      </xdr:nvCxnSpPr>
      <xdr:spPr>
        <a:xfrm>
          <a:off x="4282440" y="2796540"/>
          <a:ext cx="647700" cy="685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7620</xdr:colOff>
      <xdr:row>3</xdr:row>
      <xdr:rowOff>144780</xdr:rowOff>
    </xdr:from>
    <xdr:to>
      <xdr:col>21</xdr:col>
      <xdr:colOff>320040</xdr:colOff>
      <xdr:row>4</xdr:row>
      <xdr:rowOff>53340</xdr:rowOff>
    </xdr:to>
    <xdr:cxnSp macro="">
      <xdr:nvCxnSpPr>
        <xdr:cNvPr id="37" name="Conector recto de flecha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 flipV="1">
          <a:off x="6560820" y="670560"/>
          <a:ext cx="640080" cy="83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205740</xdr:colOff>
      <xdr:row>12</xdr:row>
      <xdr:rowOff>15240</xdr:rowOff>
    </xdr:from>
    <xdr:to>
      <xdr:col>18</xdr:col>
      <xdr:colOff>281940</xdr:colOff>
      <xdr:row>14</xdr:row>
      <xdr:rowOff>15240</xdr:rowOff>
    </xdr:to>
    <xdr:cxnSp macro="">
      <xdr:nvCxnSpPr>
        <xdr:cNvPr id="40" name="Conector recto de flecha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>
          <a:off x="5775960" y="2118360"/>
          <a:ext cx="403860" cy="3505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297180</xdr:colOff>
      <xdr:row>6</xdr:row>
      <xdr:rowOff>0</xdr:rowOff>
    </xdr:from>
    <xdr:to>
      <xdr:col>24</xdr:col>
      <xdr:colOff>30480</xdr:colOff>
      <xdr:row>8</xdr:row>
      <xdr:rowOff>15240</xdr:rowOff>
    </xdr:to>
    <xdr:cxnSp macro="">
      <xdr:nvCxnSpPr>
        <xdr:cNvPr id="45" name="Conector recto de flecha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CxnSpPr/>
      </xdr:nvCxnSpPr>
      <xdr:spPr>
        <a:xfrm>
          <a:off x="7833360" y="1051560"/>
          <a:ext cx="60960" cy="3657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320040</xdr:colOff>
      <xdr:row>12</xdr:row>
      <xdr:rowOff>7620</xdr:rowOff>
    </xdr:from>
    <xdr:to>
      <xdr:col>23</xdr:col>
      <xdr:colOff>76200</xdr:colOff>
      <xdr:row>16</xdr:row>
      <xdr:rowOff>0</xdr:rowOff>
    </xdr:to>
    <xdr:cxnSp macro="">
      <xdr:nvCxnSpPr>
        <xdr:cNvPr id="48" name="Conector recto de flecha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CxnSpPr/>
      </xdr:nvCxnSpPr>
      <xdr:spPr>
        <a:xfrm flipV="1">
          <a:off x="6873240" y="2110740"/>
          <a:ext cx="739140" cy="6934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30480</xdr:colOff>
      <xdr:row>12</xdr:row>
      <xdr:rowOff>7620</xdr:rowOff>
    </xdr:from>
    <xdr:to>
      <xdr:col>24</xdr:col>
      <xdr:colOff>312420</xdr:colOff>
      <xdr:row>15</xdr:row>
      <xdr:rowOff>22860</xdr:rowOff>
    </xdr:to>
    <xdr:cxnSp macro="">
      <xdr:nvCxnSpPr>
        <xdr:cNvPr id="50" name="Conector recto de flecha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CxnSpPr/>
      </xdr:nvCxnSpPr>
      <xdr:spPr>
        <a:xfrm>
          <a:off x="7894320" y="2110740"/>
          <a:ext cx="281940" cy="5410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22860</xdr:colOff>
      <xdr:row>9</xdr:row>
      <xdr:rowOff>114300</xdr:rowOff>
    </xdr:from>
    <xdr:to>
      <xdr:col>28</xdr:col>
      <xdr:colOff>15240</xdr:colOff>
      <xdr:row>12</xdr:row>
      <xdr:rowOff>0</xdr:rowOff>
    </xdr:to>
    <xdr:cxnSp macro="">
      <xdr:nvCxnSpPr>
        <xdr:cNvPr id="52" name="Conector recto de flecha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CxnSpPr/>
      </xdr:nvCxnSpPr>
      <xdr:spPr>
        <a:xfrm>
          <a:off x="8542020" y="1691640"/>
          <a:ext cx="647700" cy="4114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281940</xdr:colOff>
      <xdr:row>19</xdr:row>
      <xdr:rowOff>0</xdr:rowOff>
    </xdr:from>
    <xdr:to>
      <xdr:col>25</xdr:col>
      <xdr:colOff>15240</xdr:colOff>
      <xdr:row>21</xdr:row>
      <xdr:rowOff>15240</xdr:rowOff>
    </xdr:to>
    <xdr:cxnSp macro="">
      <xdr:nvCxnSpPr>
        <xdr:cNvPr id="54" name="Conector recto de flecha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CxnSpPr/>
      </xdr:nvCxnSpPr>
      <xdr:spPr>
        <a:xfrm>
          <a:off x="8145780" y="3329940"/>
          <a:ext cx="60960" cy="3657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7620</xdr:colOff>
      <xdr:row>16</xdr:row>
      <xdr:rowOff>7620</xdr:rowOff>
    </xdr:from>
    <xdr:to>
      <xdr:col>28</xdr:col>
      <xdr:colOff>297180</xdr:colOff>
      <xdr:row>17</xdr:row>
      <xdr:rowOff>160020</xdr:rowOff>
    </xdr:to>
    <xdr:cxnSp macro="">
      <xdr:nvCxnSpPr>
        <xdr:cNvPr id="55" name="Conector recto de flecha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CxnSpPr/>
      </xdr:nvCxnSpPr>
      <xdr:spPr>
        <a:xfrm>
          <a:off x="8854440" y="2811780"/>
          <a:ext cx="617220" cy="3276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236220</xdr:colOff>
      <xdr:row>14</xdr:row>
      <xdr:rowOff>7620</xdr:rowOff>
    </xdr:from>
    <xdr:to>
      <xdr:col>29</xdr:col>
      <xdr:colOff>259080</xdr:colOff>
      <xdr:row>17</xdr:row>
      <xdr:rowOff>167640</xdr:rowOff>
    </xdr:to>
    <xdr:cxnSp macro="">
      <xdr:nvCxnSpPr>
        <xdr:cNvPr id="57" name="Conector recto de flecha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CxnSpPr/>
      </xdr:nvCxnSpPr>
      <xdr:spPr>
        <a:xfrm>
          <a:off x="9738360" y="2461260"/>
          <a:ext cx="22860" cy="6858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320040</xdr:colOff>
      <xdr:row>30</xdr:row>
      <xdr:rowOff>160020</xdr:rowOff>
    </xdr:from>
    <xdr:to>
      <xdr:col>10</xdr:col>
      <xdr:colOff>15240</xdr:colOff>
      <xdr:row>32</xdr:row>
      <xdr:rowOff>144780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 flipV="1">
          <a:off x="3631276" y="700347"/>
          <a:ext cx="651164" cy="344978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</xdr:colOff>
      <xdr:row>34</xdr:row>
      <xdr:rowOff>0</xdr:rowOff>
    </xdr:from>
    <xdr:to>
      <xdr:col>10</xdr:col>
      <xdr:colOff>22860</xdr:colOff>
      <xdr:row>37</xdr:row>
      <xdr:rowOff>38100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CxnSpPr/>
      </xdr:nvCxnSpPr>
      <xdr:spPr>
        <a:xfrm>
          <a:off x="3645131" y="1260764"/>
          <a:ext cx="644929" cy="57842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</xdr:colOff>
      <xdr:row>42</xdr:row>
      <xdr:rowOff>114300</xdr:rowOff>
    </xdr:from>
    <xdr:to>
      <xdr:col>11</xdr:col>
      <xdr:colOff>7620</xdr:colOff>
      <xdr:row>45</xdr:row>
      <xdr:rowOff>30480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CxnSpPr/>
      </xdr:nvCxnSpPr>
      <xdr:spPr>
        <a:xfrm flipV="1">
          <a:off x="3326476" y="2815936"/>
          <a:ext cx="1266999" cy="456508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</xdr:colOff>
      <xdr:row>30</xdr:row>
      <xdr:rowOff>91440</xdr:rowOff>
    </xdr:from>
    <xdr:to>
      <xdr:col>16</xdr:col>
      <xdr:colOff>0</xdr:colOff>
      <xdr:row>31</xdr:row>
      <xdr:rowOff>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CxnSpPr/>
      </xdr:nvCxnSpPr>
      <xdr:spPr>
        <a:xfrm flipV="1">
          <a:off x="5557058" y="631767"/>
          <a:ext cx="622069" cy="8866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</xdr:colOff>
      <xdr:row>31</xdr:row>
      <xdr:rowOff>121920</xdr:rowOff>
    </xdr:from>
    <xdr:to>
      <xdr:col>15</xdr:col>
      <xdr:colOff>320040</xdr:colOff>
      <xdr:row>36</xdr:row>
      <xdr:rowOff>38100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CxnSpPr/>
      </xdr:nvCxnSpPr>
      <xdr:spPr>
        <a:xfrm>
          <a:off x="5549438" y="842356"/>
          <a:ext cx="631075" cy="816726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22860</xdr:colOff>
      <xdr:row>37</xdr:row>
      <xdr:rowOff>15240</xdr:rowOff>
    </xdr:from>
    <xdr:to>
      <xdr:col>16</xdr:col>
      <xdr:colOff>7620</xdr:colOff>
      <xdr:row>37</xdr:row>
      <xdr:rowOff>99060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CxnSpPr/>
      </xdr:nvCxnSpPr>
      <xdr:spPr>
        <a:xfrm flipV="1">
          <a:off x="5564678" y="1816331"/>
          <a:ext cx="622069" cy="83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</xdr:colOff>
      <xdr:row>42</xdr:row>
      <xdr:rowOff>167640</xdr:rowOff>
    </xdr:from>
    <xdr:to>
      <xdr:col>17</xdr:col>
      <xdr:colOff>15240</xdr:colOff>
      <xdr:row>43</xdr:row>
      <xdr:rowOff>60960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CxnSpPr/>
      </xdr:nvCxnSpPr>
      <xdr:spPr>
        <a:xfrm>
          <a:off x="5883333" y="2869276"/>
          <a:ext cx="629689" cy="7342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7620</xdr:colOff>
      <xdr:row>30</xdr:row>
      <xdr:rowOff>144780</xdr:rowOff>
    </xdr:from>
    <xdr:to>
      <xdr:col>21</xdr:col>
      <xdr:colOff>320040</xdr:colOff>
      <xdr:row>31</xdr:row>
      <xdr:rowOff>53340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/>
      </xdr:nvCxnSpPr>
      <xdr:spPr>
        <a:xfrm flipV="1">
          <a:off x="7461365" y="685107"/>
          <a:ext cx="631075" cy="8866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205740</xdr:colOff>
      <xdr:row>39</xdr:row>
      <xdr:rowOff>15240</xdr:rowOff>
    </xdr:from>
    <xdr:to>
      <xdr:col>18</xdr:col>
      <xdr:colOff>281940</xdr:colOff>
      <xdr:row>41</xdr:row>
      <xdr:rowOff>15240</xdr:rowOff>
    </xdr:to>
    <xdr:cxnSp macro="">
      <xdr:nvCxnSpPr>
        <xdr:cNvPr id="31" name="Conector recto de flecha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CxnSpPr/>
      </xdr:nvCxnSpPr>
      <xdr:spPr>
        <a:xfrm>
          <a:off x="6703522" y="2176549"/>
          <a:ext cx="394854" cy="360218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297180</xdr:colOff>
      <xdr:row>33</xdr:row>
      <xdr:rowOff>0</xdr:rowOff>
    </xdr:from>
    <xdr:to>
      <xdr:col>24</xdr:col>
      <xdr:colOff>30480</xdr:colOff>
      <xdr:row>35</xdr:row>
      <xdr:rowOff>15240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CxnSpPr/>
      </xdr:nvCxnSpPr>
      <xdr:spPr>
        <a:xfrm>
          <a:off x="8706889" y="1080655"/>
          <a:ext cx="51955" cy="375458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320040</xdr:colOff>
      <xdr:row>39</xdr:row>
      <xdr:rowOff>7620</xdr:rowOff>
    </xdr:from>
    <xdr:to>
      <xdr:col>23</xdr:col>
      <xdr:colOff>76200</xdr:colOff>
      <xdr:row>43</xdr:row>
      <xdr:rowOff>0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CxnSpPr/>
      </xdr:nvCxnSpPr>
      <xdr:spPr>
        <a:xfrm flipV="1">
          <a:off x="7773785" y="2168929"/>
          <a:ext cx="712124" cy="712816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30480</xdr:colOff>
      <xdr:row>39</xdr:row>
      <xdr:rowOff>7620</xdr:rowOff>
    </xdr:from>
    <xdr:to>
      <xdr:col>24</xdr:col>
      <xdr:colOff>312420</xdr:colOff>
      <xdr:row>42</xdr:row>
      <xdr:rowOff>22860</xdr:rowOff>
    </xdr:to>
    <xdr:cxnSp macro="">
      <xdr:nvCxnSpPr>
        <xdr:cNvPr id="34" name="Conector recto de flecha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>
          <a:off x="8758844" y="2168929"/>
          <a:ext cx="281940" cy="55556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22860</xdr:colOff>
      <xdr:row>36</xdr:row>
      <xdr:rowOff>114300</xdr:rowOff>
    </xdr:from>
    <xdr:to>
      <xdr:col>28</xdr:col>
      <xdr:colOff>15240</xdr:colOff>
      <xdr:row>39</xdr:row>
      <xdr:rowOff>0</xdr:rowOff>
    </xdr:to>
    <xdr:cxnSp macro="">
      <xdr:nvCxnSpPr>
        <xdr:cNvPr id="35" name="Conector recto de flecha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>
          <a:off x="9388533" y="1735282"/>
          <a:ext cx="629689" cy="42602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281940</xdr:colOff>
      <xdr:row>46</xdr:row>
      <xdr:rowOff>0</xdr:rowOff>
    </xdr:from>
    <xdr:to>
      <xdr:col>25</xdr:col>
      <xdr:colOff>15240</xdr:colOff>
      <xdr:row>48</xdr:row>
      <xdr:rowOff>15240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>
          <a:off x="9010304" y="3422073"/>
          <a:ext cx="51954" cy="375458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7620</xdr:colOff>
      <xdr:row>43</xdr:row>
      <xdr:rowOff>7620</xdr:rowOff>
    </xdr:from>
    <xdr:to>
      <xdr:col>28</xdr:col>
      <xdr:colOff>297180</xdr:colOff>
      <xdr:row>44</xdr:row>
      <xdr:rowOff>160020</xdr:rowOff>
    </xdr:to>
    <xdr:cxnSp macro="">
      <xdr:nvCxnSpPr>
        <xdr:cNvPr id="38" name="Conector recto de flecha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>
          <a:off x="9691947" y="2889365"/>
          <a:ext cx="608215" cy="33251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236220</xdr:colOff>
      <xdr:row>41</xdr:row>
      <xdr:rowOff>7620</xdr:rowOff>
    </xdr:from>
    <xdr:to>
      <xdr:col>29</xdr:col>
      <xdr:colOff>259080</xdr:colOff>
      <xdr:row>44</xdr:row>
      <xdr:rowOff>167640</xdr:rowOff>
    </xdr:to>
    <xdr:cxnSp macro="">
      <xdr:nvCxnSpPr>
        <xdr:cNvPr id="39" name="Conector recto de flecha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10557856" y="2529147"/>
          <a:ext cx="22860" cy="700348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4"/>
  <sheetViews>
    <sheetView topLeftCell="A18" zoomScale="72" zoomScaleNormal="72" workbookViewId="0">
      <selection activeCell="J41" sqref="J41:W41"/>
    </sheetView>
  </sheetViews>
  <sheetFormatPr baseColWidth="10" defaultRowHeight="14.4"/>
  <cols>
    <col min="3" max="3" width="12.33203125" customWidth="1"/>
    <col min="4" max="4" width="9.88671875" customWidth="1"/>
    <col min="5" max="5" width="11.5546875" style="1"/>
    <col min="7" max="7" width="17.88671875" customWidth="1"/>
    <col min="23" max="23" width="28.21875" customWidth="1"/>
  </cols>
  <sheetData>
    <row r="1" spans="1:14" ht="18">
      <c r="A1" s="72" t="s">
        <v>17</v>
      </c>
      <c r="B1" s="40"/>
      <c r="C1" s="40"/>
      <c r="D1" s="40"/>
      <c r="E1" s="63"/>
      <c r="F1" s="40"/>
      <c r="G1" s="40"/>
      <c r="H1" s="40"/>
      <c r="I1" s="40"/>
    </row>
    <row r="2" spans="1:14" ht="15" thickBot="1"/>
    <row r="3" spans="1:14" ht="16.2" thickBot="1">
      <c r="B3" s="73" t="s">
        <v>9</v>
      </c>
      <c r="C3" s="74">
        <v>53884051</v>
      </c>
      <c r="D3" s="66"/>
    </row>
    <row r="4" spans="1:14">
      <c r="B4" s="71"/>
      <c r="C4" s="66"/>
      <c r="D4" s="66"/>
    </row>
    <row r="5" spans="1:14" ht="18">
      <c r="A5" s="75" t="s">
        <v>43</v>
      </c>
      <c r="B5" s="71"/>
      <c r="C5" s="66"/>
      <c r="D5" s="66"/>
    </row>
    <row r="6" spans="1:14" ht="15.6">
      <c r="A6" s="98" t="s">
        <v>44</v>
      </c>
      <c r="B6" s="99"/>
      <c r="C6" s="100"/>
      <c r="D6" s="100"/>
      <c r="E6" s="101"/>
      <c r="F6" s="98"/>
      <c r="G6" s="98"/>
      <c r="H6" s="98"/>
      <c r="I6" s="98"/>
      <c r="J6" s="98"/>
      <c r="K6" s="98"/>
      <c r="L6" s="98"/>
      <c r="M6" s="98"/>
      <c r="N6" s="98"/>
    </row>
    <row r="7" spans="1:14" ht="15.6">
      <c r="A7" s="98" t="s">
        <v>47</v>
      </c>
      <c r="B7" s="98"/>
      <c r="C7" s="98"/>
      <c r="D7" s="98"/>
      <c r="E7" s="101"/>
      <c r="F7" s="98"/>
      <c r="G7" s="98"/>
      <c r="H7" s="98"/>
      <c r="I7" s="98"/>
      <c r="J7" s="98"/>
      <c r="K7" s="98"/>
      <c r="L7" s="98"/>
      <c r="M7" s="98"/>
      <c r="N7" s="98"/>
    </row>
    <row r="8" spans="1:14" ht="15.6">
      <c r="A8" s="102" t="s">
        <v>39</v>
      </c>
      <c r="B8" s="98"/>
      <c r="C8" s="98"/>
      <c r="D8" s="98"/>
      <c r="E8" s="101"/>
      <c r="G8" s="98"/>
      <c r="H8" s="98"/>
      <c r="I8" s="98"/>
      <c r="J8" s="98"/>
      <c r="K8" s="98"/>
      <c r="L8" s="98"/>
      <c r="M8" s="98"/>
      <c r="N8" s="98"/>
    </row>
    <row r="9" spans="1:14" ht="15.6">
      <c r="A9" s="102" t="s">
        <v>38</v>
      </c>
      <c r="B9" s="98"/>
      <c r="D9" s="103">
        <f>Caminocrítico!$O$16</f>
        <v>8</v>
      </c>
      <c r="E9" s="104" t="s">
        <v>40</v>
      </c>
      <c r="F9" s="98"/>
      <c r="G9" s="98"/>
      <c r="H9" s="98"/>
      <c r="I9" s="98"/>
      <c r="J9" s="98"/>
      <c r="K9" s="98"/>
      <c r="L9" s="98"/>
      <c r="M9" s="98"/>
      <c r="N9" s="98"/>
    </row>
    <row r="10" spans="1:14" ht="15.6">
      <c r="A10" s="98" t="s">
        <v>37</v>
      </c>
      <c r="B10" s="98"/>
      <c r="C10" s="98"/>
      <c r="D10" s="98"/>
      <c r="E10" s="101"/>
      <c r="F10" s="98"/>
      <c r="G10" s="98"/>
      <c r="H10" s="98"/>
      <c r="I10" s="98"/>
      <c r="J10" s="98"/>
      <c r="K10" s="98"/>
      <c r="L10" s="98"/>
      <c r="M10" s="98"/>
      <c r="N10" s="98"/>
    </row>
    <row r="11" spans="1:14" ht="15.6">
      <c r="A11" s="98" t="s">
        <v>41</v>
      </c>
      <c r="B11" s="98"/>
      <c r="C11" s="98"/>
      <c r="D11" s="98"/>
      <c r="E11" s="101"/>
      <c r="F11" s="98"/>
      <c r="G11" s="98"/>
      <c r="H11" s="98"/>
      <c r="I11" s="98"/>
      <c r="J11" s="98"/>
      <c r="K11" s="98"/>
      <c r="L11" s="98"/>
      <c r="M11" s="98"/>
      <c r="N11" s="98"/>
    </row>
    <row r="12" spans="1:14" ht="15.6">
      <c r="A12" s="98" t="s">
        <v>42</v>
      </c>
      <c r="B12" s="98"/>
      <c r="C12" s="98"/>
      <c r="D12" s="98"/>
      <c r="E12" s="101"/>
      <c r="F12" s="98"/>
      <c r="G12" s="98"/>
      <c r="H12" s="98"/>
      <c r="I12" s="98"/>
      <c r="J12" s="98"/>
      <c r="K12" s="98"/>
      <c r="L12" s="98"/>
      <c r="M12" s="98"/>
      <c r="N12" s="98"/>
    </row>
    <row r="13" spans="1:14" ht="15.6">
      <c r="A13" s="98" t="s">
        <v>45</v>
      </c>
      <c r="B13" s="98"/>
      <c r="C13" s="98"/>
      <c r="D13" s="98"/>
      <c r="E13" s="101"/>
      <c r="F13" s="98"/>
      <c r="G13" s="103">
        <f>Caminocrítico!$O$16</f>
        <v>8</v>
      </c>
      <c r="H13" s="98" t="s">
        <v>46</v>
      </c>
      <c r="I13" s="98"/>
      <c r="J13" s="98"/>
      <c r="K13" s="98"/>
      <c r="L13" s="98"/>
      <c r="M13" s="98"/>
      <c r="N13" s="98"/>
    </row>
    <row r="14" spans="1:14" ht="15.6">
      <c r="A14" s="98" t="s">
        <v>48</v>
      </c>
      <c r="B14" s="98"/>
      <c r="C14" s="98"/>
      <c r="D14" s="98"/>
      <c r="E14" s="101"/>
      <c r="F14" s="98"/>
      <c r="G14" s="98"/>
      <c r="H14" s="98"/>
      <c r="I14" s="98"/>
      <c r="J14" s="98"/>
      <c r="K14" s="98"/>
      <c r="L14" s="98"/>
      <c r="M14" s="98"/>
      <c r="N14" s="98"/>
    </row>
    <row r="15" spans="1:14" ht="15.6">
      <c r="A15" s="98"/>
      <c r="B15" s="98"/>
      <c r="C15" s="98"/>
      <c r="D15" s="98"/>
      <c r="E15" s="101"/>
      <c r="F15" s="98"/>
      <c r="G15" s="98"/>
      <c r="H15" s="98"/>
      <c r="I15" s="98"/>
      <c r="J15" s="98"/>
      <c r="K15" s="98"/>
      <c r="L15" s="98"/>
      <c r="M15" s="98"/>
      <c r="N15" s="98"/>
    </row>
    <row r="16" spans="1:14" ht="18">
      <c r="A16" s="75" t="s">
        <v>27</v>
      </c>
    </row>
    <row r="17" spans="1:8" ht="18">
      <c r="A17" s="75"/>
      <c r="B17" s="105"/>
      <c r="C17" s="105"/>
      <c r="D17" s="105"/>
      <c r="E17" s="106"/>
      <c r="F17" s="105"/>
    </row>
    <row r="18" spans="1:8" ht="18">
      <c r="B18" s="64" t="s">
        <v>13</v>
      </c>
      <c r="C18" s="41" t="s">
        <v>16</v>
      </c>
      <c r="D18" s="41" t="s">
        <v>21</v>
      </c>
      <c r="E18" s="65" t="s">
        <v>19</v>
      </c>
      <c r="F18" s="65" t="s">
        <v>22</v>
      </c>
      <c r="G18" s="102" t="s">
        <v>52</v>
      </c>
      <c r="H18" s="102" t="s">
        <v>53</v>
      </c>
    </row>
    <row r="19" spans="1:8" ht="15.6">
      <c r="B19" s="60" t="s">
        <v>0</v>
      </c>
      <c r="C19" s="7">
        <f>INT((5-MID(C3,1,1))/4)+2</f>
        <v>2</v>
      </c>
      <c r="D19" s="7">
        <f>IF(INT(MID(C$3,1,1))&gt;3,1,-1)</f>
        <v>1</v>
      </c>
      <c r="E19" s="93">
        <f>C19*100*(MID($C$3,5,1)+2)</f>
        <v>1200</v>
      </c>
      <c r="F19" s="7">
        <f>IF(D19&gt;2,1,-1)*INT(MID(C$3,8,1)*20*(C19+D19))</f>
        <v>-60</v>
      </c>
      <c r="G19" s="115">
        <f>C19+D19</f>
        <v>3</v>
      </c>
      <c r="H19" s="116">
        <f>E19+F19</f>
        <v>1140</v>
      </c>
    </row>
    <row r="20" spans="1:8" ht="15.6">
      <c r="B20" s="61" t="s">
        <v>10</v>
      </c>
      <c r="C20" s="62">
        <f>INT((5-MID(C3,2,1))/4)+2</f>
        <v>2</v>
      </c>
      <c r="D20" s="7">
        <f>IF(INT(MID(C$3,2,1))&gt;3,1,-1)</f>
        <v>-1</v>
      </c>
      <c r="E20" s="93">
        <f t="shared" ref="E20:E32" si="0">C20*100*(MID($C$3,5,1)+2)</f>
        <v>1200</v>
      </c>
      <c r="F20" s="7">
        <f>IF(INT(MID(C$3,2,1))&gt;2,2,-1)*INT(MID(C$3,7,1)*20*(C20+D20))</f>
        <v>200</v>
      </c>
      <c r="G20" s="115">
        <f t="shared" ref="G20:G32" si="1">C20+D20</f>
        <v>1</v>
      </c>
      <c r="H20" s="116">
        <f t="shared" ref="H20:H32" si="2">E20+F20</f>
        <v>1400</v>
      </c>
    </row>
    <row r="21" spans="1:8" ht="15.6">
      <c r="B21" s="61" t="s">
        <v>6</v>
      </c>
      <c r="C21" s="62">
        <f>INT((5-MID(C3,3,1))/2)+3</f>
        <v>1</v>
      </c>
      <c r="D21" s="7">
        <f>IF(INT(MID(C$3,3,1))&gt;3,1,-1)</f>
        <v>1</v>
      </c>
      <c r="E21" s="93">
        <f t="shared" si="0"/>
        <v>600</v>
      </c>
      <c r="F21" s="7">
        <f>IF(INT(MID(C$3,1,1))&gt;3,1,-1)*INT(MID(C$3,6,1)*20*(C21+D21))</f>
        <v>0</v>
      </c>
      <c r="G21" s="115">
        <f t="shared" si="1"/>
        <v>2</v>
      </c>
      <c r="H21" s="116">
        <f t="shared" si="2"/>
        <v>600</v>
      </c>
    </row>
    <row r="22" spans="1:8" ht="15.6">
      <c r="B22" s="61" t="s">
        <v>11</v>
      </c>
      <c r="C22" s="62">
        <f>INT((5-MID(C3,4,1))/2)+3</f>
        <v>1</v>
      </c>
      <c r="D22" s="7">
        <f>IF(INT(MID(C$3,4,1))&gt;3,1,-1)</f>
        <v>1</v>
      </c>
      <c r="E22" s="93">
        <f t="shared" si="0"/>
        <v>600</v>
      </c>
      <c r="F22" s="7">
        <f>IF(INT(MID(C$3,1,1))&gt;2,4,-1)*INT(MID(C$3,5,1)*20*(C22+D22))</f>
        <v>640</v>
      </c>
      <c r="G22" s="115">
        <f t="shared" si="1"/>
        <v>2</v>
      </c>
      <c r="H22" s="116">
        <f t="shared" si="2"/>
        <v>1240</v>
      </c>
    </row>
    <row r="23" spans="1:8" ht="15.6">
      <c r="B23" s="61" t="s">
        <v>3</v>
      </c>
      <c r="C23" s="62">
        <f>INT((5-MID(C3,5,1))/4)+2</f>
        <v>2</v>
      </c>
      <c r="D23" s="7">
        <f>IF(INT(MID(C$3,5,1))&gt;3,1,-1)</f>
        <v>1</v>
      </c>
      <c r="E23" s="93">
        <f t="shared" si="0"/>
        <v>1200</v>
      </c>
      <c r="F23" s="7">
        <f>IF(INT(MID(C$3,1,1))&gt;2,5,-1)*INT(MID(C$3,4,1)*20*(C23+D23))</f>
        <v>2400</v>
      </c>
      <c r="G23" s="115">
        <f t="shared" si="1"/>
        <v>3</v>
      </c>
      <c r="H23" s="116">
        <f t="shared" si="2"/>
        <v>3600</v>
      </c>
    </row>
    <row r="24" spans="1:8" ht="15.6">
      <c r="B24" s="61" t="s">
        <v>1</v>
      </c>
      <c r="C24" s="62">
        <f>INT((5-MID(C3,6,1))/4)+2</f>
        <v>3</v>
      </c>
      <c r="D24" s="7">
        <f>IF(INT(MID(C$3,6,1))&gt;3,1,-1)</f>
        <v>-1</v>
      </c>
      <c r="E24" s="93">
        <f t="shared" si="0"/>
        <v>1800</v>
      </c>
      <c r="F24" s="7">
        <f>IF(INT(MID(C$3,1,1))&gt;2,6,-1)*INT(MID(C$3,3,1)*20*(C24+D24))</f>
        <v>1920</v>
      </c>
      <c r="G24" s="115">
        <f t="shared" si="1"/>
        <v>2</v>
      </c>
      <c r="H24" s="116">
        <f t="shared" si="2"/>
        <v>3720</v>
      </c>
    </row>
    <row r="25" spans="1:8" ht="16.2" thickBot="1">
      <c r="B25" s="67" t="s">
        <v>12</v>
      </c>
      <c r="C25" s="68">
        <f>INT(MID(C3,7,1)/3)+5</f>
        <v>6</v>
      </c>
      <c r="D25" s="68">
        <f>IF(INT(MID(C$3,7,1))&gt;2,1,-1)</f>
        <v>1</v>
      </c>
      <c r="E25" s="94">
        <f t="shared" si="0"/>
        <v>3600</v>
      </c>
      <c r="F25" s="68">
        <f>IF(INT(MID(C$3,1,1))&gt;2,1,-1)*INT(MID(C$3,8,1)*20*(C25+D25))</f>
        <v>140</v>
      </c>
      <c r="G25" s="115">
        <f t="shared" si="1"/>
        <v>7</v>
      </c>
      <c r="H25" s="116">
        <f t="shared" si="2"/>
        <v>3740</v>
      </c>
    </row>
    <row r="26" spans="1:8" ht="16.2" thickTop="1">
      <c r="B26" s="60" t="s">
        <v>2</v>
      </c>
      <c r="C26" s="7">
        <f>INT((5-MID(C3,8,1))/4)+2</f>
        <v>3</v>
      </c>
      <c r="D26" s="7">
        <v>0</v>
      </c>
      <c r="E26" s="93">
        <f t="shared" si="0"/>
        <v>1800</v>
      </c>
      <c r="F26" s="93">
        <v>0</v>
      </c>
      <c r="G26" s="115">
        <f t="shared" si="1"/>
        <v>3</v>
      </c>
      <c r="H26" s="116">
        <f t="shared" si="2"/>
        <v>1800</v>
      </c>
    </row>
    <row r="27" spans="1:8" ht="15.6">
      <c r="B27" s="61" t="s">
        <v>7</v>
      </c>
      <c r="C27" s="62">
        <f>INT((5-MID(C3,2,1))/3)+3</f>
        <v>3</v>
      </c>
      <c r="D27" s="7">
        <v>0</v>
      </c>
      <c r="E27" s="93">
        <f t="shared" si="0"/>
        <v>1800</v>
      </c>
      <c r="F27" s="95">
        <v>0</v>
      </c>
      <c r="G27" s="115">
        <f t="shared" si="1"/>
        <v>3</v>
      </c>
      <c r="H27" s="116">
        <f t="shared" si="2"/>
        <v>1800</v>
      </c>
    </row>
    <row r="28" spans="1:8" ht="15.6">
      <c r="B28" s="61" t="s">
        <v>5</v>
      </c>
      <c r="C28" s="62">
        <f>INT((5-MID(C3,3,1))/3)+3</f>
        <v>2</v>
      </c>
      <c r="D28" s="7">
        <v>0</v>
      </c>
      <c r="E28" s="93">
        <f t="shared" si="0"/>
        <v>1200</v>
      </c>
      <c r="F28" s="95">
        <v>0</v>
      </c>
      <c r="G28" s="115">
        <f t="shared" si="1"/>
        <v>2</v>
      </c>
      <c r="H28" s="116">
        <f t="shared" si="2"/>
        <v>1200</v>
      </c>
    </row>
    <row r="29" spans="1:8" ht="15.6">
      <c r="B29" s="61" t="s">
        <v>4</v>
      </c>
      <c r="C29" s="62">
        <f>INT((5-MID(C3,4,1))/4)+2</f>
        <v>1</v>
      </c>
      <c r="D29" s="7">
        <v>0</v>
      </c>
      <c r="E29" s="93">
        <f t="shared" si="0"/>
        <v>600</v>
      </c>
      <c r="F29" s="95">
        <v>0</v>
      </c>
      <c r="G29" s="115">
        <f t="shared" si="1"/>
        <v>1</v>
      </c>
      <c r="H29" s="116">
        <f t="shared" si="2"/>
        <v>600</v>
      </c>
    </row>
    <row r="30" spans="1:8" ht="15.6">
      <c r="B30" s="61" t="s">
        <v>8</v>
      </c>
      <c r="C30" s="62">
        <f>INT((5-MID(C3,5,1))/2)+3</f>
        <v>3</v>
      </c>
      <c r="D30" s="7">
        <v>0</v>
      </c>
      <c r="E30" s="93">
        <f t="shared" si="0"/>
        <v>1800</v>
      </c>
      <c r="F30" s="95">
        <v>0</v>
      </c>
      <c r="G30" s="115">
        <f t="shared" si="1"/>
        <v>3</v>
      </c>
      <c r="H30" s="116">
        <f t="shared" si="2"/>
        <v>1800</v>
      </c>
    </row>
    <row r="31" spans="1:8" ht="15.6">
      <c r="B31" s="61" t="s">
        <v>14</v>
      </c>
      <c r="C31" s="62">
        <f>INT((5-MID(C3,6,1))/4)+2</f>
        <v>3</v>
      </c>
      <c r="D31" s="7">
        <v>0</v>
      </c>
      <c r="E31" s="93">
        <f t="shared" si="0"/>
        <v>1800</v>
      </c>
      <c r="F31" s="95">
        <v>0</v>
      </c>
      <c r="G31" s="115">
        <f t="shared" si="1"/>
        <v>3</v>
      </c>
      <c r="H31" s="116">
        <f t="shared" si="2"/>
        <v>1800</v>
      </c>
    </row>
    <row r="32" spans="1:8" ht="15.6">
      <c r="B32" s="61" t="s">
        <v>15</v>
      </c>
      <c r="C32" s="62">
        <f>INT(MID(C3,8,1)/3)+2</f>
        <v>2</v>
      </c>
      <c r="D32" s="7">
        <v>0</v>
      </c>
      <c r="E32" s="93">
        <f t="shared" si="0"/>
        <v>1200</v>
      </c>
      <c r="F32" s="95">
        <v>0</v>
      </c>
      <c r="G32" s="115">
        <f t="shared" si="1"/>
        <v>2</v>
      </c>
      <c r="H32" s="116">
        <f t="shared" si="2"/>
        <v>1200</v>
      </c>
    </row>
    <row r="35" spans="1:23" ht="18">
      <c r="A35" s="75" t="s">
        <v>31</v>
      </c>
    </row>
    <row r="36" spans="1:23" ht="18">
      <c r="A36" s="75" t="s">
        <v>33</v>
      </c>
    </row>
    <row r="37" spans="1:23" ht="18">
      <c r="A37" s="75" t="s">
        <v>32</v>
      </c>
    </row>
    <row r="38" spans="1:23" ht="18">
      <c r="A38" s="75" t="s">
        <v>34</v>
      </c>
    </row>
    <row r="39" spans="1:23" ht="18">
      <c r="A39" s="75" t="s">
        <v>35</v>
      </c>
    </row>
    <row r="40" spans="1:23" ht="18">
      <c r="A40" s="75" t="s">
        <v>36</v>
      </c>
      <c r="J40" s="120" t="s">
        <v>59</v>
      </c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</row>
    <row r="41" spans="1:23">
      <c r="J41" s="120" t="s">
        <v>62</v>
      </c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</row>
    <row r="42" spans="1:23" ht="18">
      <c r="A42" s="75" t="s">
        <v>49</v>
      </c>
    </row>
    <row r="43" spans="1:23">
      <c r="C43" s="107" t="s">
        <v>50</v>
      </c>
    </row>
    <row r="44" spans="1:23">
      <c r="C44" s="107" t="s">
        <v>51</v>
      </c>
    </row>
  </sheetData>
  <mergeCells count="2">
    <mergeCell ref="J40:W40"/>
    <mergeCell ref="J41:W4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F49"/>
  <sheetViews>
    <sheetView topLeftCell="A16" zoomScale="55" zoomScaleNormal="55" workbookViewId="0">
      <selection activeCell="R25" sqref="R25"/>
    </sheetView>
  </sheetViews>
  <sheetFormatPr baseColWidth="10" defaultColWidth="3.33203125" defaultRowHeight="24.9" customHeight="1"/>
  <cols>
    <col min="1" max="1" width="12.88671875" style="4" customWidth="1"/>
    <col min="2" max="3" width="20.33203125" style="4" customWidth="1"/>
    <col min="4" max="4" width="21" style="4" customWidth="1"/>
    <col min="5" max="5" width="20.109375" style="16" customWidth="1"/>
    <col min="6" max="6" width="22.6640625" style="16" customWidth="1"/>
    <col min="7" max="7" width="20.33203125" style="16" customWidth="1"/>
    <col min="8" max="8" width="31.21875" style="16" customWidth="1"/>
    <col min="9" max="9" width="22.33203125" style="16" customWidth="1"/>
    <col min="10" max="47" width="15.6640625" style="16" customWidth="1"/>
    <col min="48" max="51" width="3.33203125" style="16"/>
    <col min="52" max="16384" width="3.33203125" style="4"/>
  </cols>
  <sheetData>
    <row r="1" spans="1:84" ht="24.9" customHeight="1">
      <c r="A1" s="42" t="s">
        <v>13</v>
      </c>
      <c r="B1" s="43" t="s">
        <v>16</v>
      </c>
      <c r="C1" s="43" t="s">
        <v>21</v>
      </c>
      <c r="D1" s="43" t="s">
        <v>19</v>
      </c>
      <c r="E1" s="44" t="s">
        <v>22</v>
      </c>
      <c r="F1" s="75" t="s">
        <v>52</v>
      </c>
      <c r="G1" s="75" t="s">
        <v>53</v>
      </c>
      <c r="H1" s="70" t="s">
        <v>23</v>
      </c>
      <c r="I1" s="46" t="s">
        <v>13</v>
      </c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</row>
    <row r="2" spans="1:84" ht="24.9" customHeight="1">
      <c r="A2" s="47" t="s">
        <v>0</v>
      </c>
      <c r="B2" s="48">
        <f>Enunciado!C19</f>
        <v>2</v>
      </c>
      <c r="C2" s="89">
        <f>Enunciado!D19</f>
        <v>1</v>
      </c>
      <c r="D2" s="48">
        <f>Enunciado!E19</f>
        <v>1200</v>
      </c>
      <c r="E2" s="86">
        <f>Enunciado!F19</f>
        <v>-60</v>
      </c>
      <c r="F2" s="117">
        <f>B2+C2</f>
        <v>3</v>
      </c>
      <c r="G2" s="118">
        <f>D2+E2</f>
        <v>1140</v>
      </c>
      <c r="H2" s="49"/>
      <c r="I2" s="42" t="s">
        <v>0</v>
      </c>
      <c r="J2" s="91">
        <f>IF(AND(J$16&gt;=Caminocrítico!$E$6+1,J$16&lt;=Caminocrítico!$H$6),$G2,"")</f>
        <v>1140</v>
      </c>
      <c r="K2" s="91">
        <f>IF(AND(K$16&gt;=Caminocrítico!$E$6+1,K$16&lt;=Caminocrítico!$H$6),$G2,"")</f>
        <v>1140</v>
      </c>
      <c r="L2" s="91" t="str">
        <f>IF(AND(L$16&gt;=Caminocrítico!$E$6+1,L$16&lt;=Caminocrítico!$H$6),$G2,"")</f>
        <v/>
      </c>
      <c r="M2" s="91" t="str">
        <f>IF(AND(M$16&gt;=Caminocrítico!$E$6+1,M$16&lt;=Caminocrítico!$H$6),$G2,"")</f>
        <v/>
      </c>
      <c r="N2" s="91" t="str">
        <f>IF(AND(N$16&gt;=Caminocrítico!$E$6+1,N$16&lt;=Caminocrítico!$H$6),$G2,"")</f>
        <v/>
      </c>
      <c r="O2" s="92" t="str">
        <f>IF(AND(O$16&gt;=Caminocrítico!$E$6+1,O$16&lt;=Caminocrítico!$H$6),$G2,"")</f>
        <v/>
      </c>
      <c r="P2" s="91" t="str">
        <f>IF(AND(P$16&gt;=Caminocrítico!$E$6+1,P$16&lt;=Caminocrítico!$H$6),$G2,"")</f>
        <v/>
      </c>
      <c r="Q2" s="91" t="str">
        <f>IF(AND(Q$16&gt;=Caminocrítico!$E$6+1,Q$16&lt;=Caminocrítico!$H$6),$G2,"")</f>
        <v/>
      </c>
      <c r="R2" s="91" t="str">
        <f>IF(AND(R$16&gt;=Caminocrítico!$E$6+1,R$16&lt;=Caminocrítico!$H$6),$G2,"")</f>
        <v/>
      </c>
      <c r="S2" s="91" t="str">
        <f>IF(AND(S$16&gt;=Caminocrítico!$E$6+1,S$16&lt;=Caminocrítico!$H$6),$G2,"")</f>
        <v/>
      </c>
      <c r="T2" s="91" t="str">
        <f>IF(AND(T$16&gt;=Caminocrítico!$E$6+1,T$16&lt;=Caminocrítico!$H$6),$G2,"")</f>
        <v/>
      </c>
      <c r="U2" s="91" t="str">
        <f>IF(AND(U$16&gt;=Caminocrítico!$E$6+1,U$16&lt;=Caminocrítico!$H$6),$G2,"")</f>
        <v/>
      </c>
      <c r="V2" s="91" t="str">
        <f>IF(AND(V$16&gt;=Caminocrítico!$E$6+1,V$16&lt;=Caminocrítico!$H$6),$G2,"")</f>
        <v/>
      </c>
      <c r="W2" s="91" t="str">
        <f>IF(AND(W$16&gt;=Caminocrítico!$E$6+1,W$16&lt;=Caminocrítico!$H$6),$G2,"")</f>
        <v/>
      </c>
      <c r="X2" s="91" t="str">
        <f>IF(AND(X$16&gt;=Caminocrítico!$E$6+1,X$16&lt;=Caminocrítico!$H$6),$G2,"")</f>
        <v/>
      </c>
      <c r="Y2" s="91" t="str">
        <f>IF(AND(Y$16&gt;=Caminocrítico!$E$6+1,Y$16&lt;=Caminocrítico!$H$6),$G2,"")</f>
        <v/>
      </c>
      <c r="Z2" s="91" t="str">
        <f>IF(AND(Z$16&gt;=Caminocrítico!$E$6+1,Z$16&lt;=Caminocrítico!$H$6),$G2,"")</f>
        <v/>
      </c>
      <c r="AA2" s="91" t="str">
        <f>IF(AND(AA$16&gt;=Caminocrítico!$E$6+1,AA$16&lt;=Caminocrítico!$H$6),$G2,"")</f>
        <v/>
      </c>
      <c r="AB2" s="91" t="str">
        <f>IF(AND(AB$16&gt;=Caminocrítico!$E$6+1,AB$16&lt;=Caminocrítico!$H$6),$G2,"")</f>
        <v/>
      </c>
      <c r="AC2" s="91" t="str">
        <f>IF(AND(AC$16&gt;=Caminocrítico!$E$6+1,AC$16&lt;=Caminocrítico!$H$6),$G2,"")</f>
        <v/>
      </c>
      <c r="AD2" s="91" t="str">
        <f>IF(AND(AD$16&gt;=Caminocrítico!$E$6+1,AD$16&lt;=Caminocrítico!$H$6),$G2,"")</f>
        <v/>
      </c>
      <c r="AE2" s="91" t="str">
        <f>IF(AND(AE$16&gt;=Caminocrítico!$E$6+1,AE$16&lt;=Caminocrítico!$H$6),$G2,"")</f>
        <v/>
      </c>
      <c r="AF2" s="91" t="str">
        <f>IF(AND(AF$16&gt;=Caminocrítico!$E$6+1,AF$16&lt;=Caminocrítico!$H$6),$G2,"")</f>
        <v/>
      </c>
      <c r="AG2" s="91" t="str">
        <f>IF(AND(AG$16&gt;=Caminocrítico!$E$6+1,AG$16&lt;=Caminocrítico!$H$6),$G2,"")</f>
        <v/>
      </c>
      <c r="AH2" s="91" t="str">
        <f>IF(AND(AH$16&gt;=Caminocrítico!$E$6+1,AH$16&lt;=Caminocrítico!$H$6),$G2,"")</f>
        <v/>
      </c>
      <c r="AI2" s="91" t="str">
        <f>IF(AND(AI$16&gt;=Caminocrítico!$E$6+1,AI$16&lt;=Caminocrítico!$H$6),$G2,"")</f>
        <v/>
      </c>
      <c r="AJ2" s="91" t="str">
        <f>IF(AND(AJ$16&gt;=Caminocrítico!$E$6+1,AJ$16&lt;=Caminocrítico!$H$6),$G2,"")</f>
        <v/>
      </c>
      <c r="AK2" s="91" t="str">
        <f>IF(AND(AK$16&gt;=Caminocrítico!$E$6+1,AK$16&lt;=Caminocrítico!$H$6),$G2,"")</f>
        <v/>
      </c>
      <c r="AL2" s="69" t="str">
        <f>IF(AND(AL$16&gt;=Caminocrítico!$E$6+1,AL$16&lt;=Caminocrítico!$H$6),AI2,"")</f>
        <v/>
      </c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</row>
    <row r="3" spans="1:84" ht="24.9" customHeight="1">
      <c r="A3" s="47" t="s">
        <v>10</v>
      </c>
      <c r="B3" s="48">
        <f>Enunciado!C20</f>
        <v>2</v>
      </c>
      <c r="C3" s="89">
        <f>Enunciado!D20</f>
        <v>-1</v>
      </c>
      <c r="D3" s="48">
        <f>Enunciado!E20</f>
        <v>1200</v>
      </c>
      <c r="E3" s="86">
        <f>Enunciado!F20</f>
        <v>200</v>
      </c>
      <c r="F3" s="117">
        <f t="shared" ref="F3:F15" si="0">B3+C3</f>
        <v>1</v>
      </c>
      <c r="G3" s="118">
        <f t="shared" ref="G3:G15" si="1">D3+E3</f>
        <v>1400</v>
      </c>
      <c r="H3" s="49"/>
      <c r="I3" s="42" t="s">
        <v>10</v>
      </c>
      <c r="J3" s="91">
        <f>IF(AND(J$16&gt;=Caminocrítico!$D$18+1,J$16&lt;=Caminocrítico!$G$18),$G3,"")</f>
        <v>1400</v>
      </c>
      <c r="K3" s="91">
        <f>IF(AND(K$16&gt;=Caminocrítico!$D$18+1,K$16&lt;=Caminocrítico!$G$18),$G3,"")</f>
        <v>1400</v>
      </c>
      <c r="L3" s="91" t="str">
        <f>IF(AND(L$16&gt;=Caminocrítico!$D$18+1,L$16&lt;=Caminocrítico!$G$18),$G3,"")</f>
        <v/>
      </c>
      <c r="M3" s="91" t="str">
        <f>IF(AND(M$16&gt;=Caminocrítico!$D$18+1,M$16&lt;=Caminocrítico!$G$18),$G3,"")</f>
        <v/>
      </c>
      <c r="N3" s="91" t="str">
        <f>IF(AND(N$16&gt;=Caminocrítico!$D$18+1,N$16&lt;=Caminocrítico!$G$18),$G3,"")</f>
        <v/>
      </c>
      <c r="O3" s="91" t="str">
        <f>IF(AND(O$16&gt;=Caminocrítico!$D$18+1,O$16&lt;=Caminocrítico!$G$18),$G3,"")</f>
        <v/>
      </c>
      <c r="P3" s="91" t="str">
        <f>IF(AND(P$16&gt;=Caminocrítico!$D$18+1,P$16&lt;=Caminocrítico!$G$18),$G3,"")</f>
        <v/>
      </c>
      <c r="Q3" s="91" t="str">
        <f>IF(AND(Q$16&gt;=Caminocrítico!$D$18+1,Q$16&lt;=Caminocrítico!$G$18),$G3,"")</f>
        <v/>
      </c>
      <c r="R3" s="91" t="str">
        <f>IF(AND(R$16&gt;=Caminocrítico!$D$18+1,R$16&lt;=Caminocrítico!$G$18),$G3,"")</f>
        <v/>
      </c>
      <c r="S3" s="91" t="str">
        <f>IF(AND(S$16&gt;=Caminocrítico!$D$18+1,S$16&lt;=Caminocrítico!$G$18),$G3,"")</f>
        <v/>
      </c>
      <c r="T3" s="91" t="str">
        <f>IF(AND(T$16&gt;=Caminocrítico!$D$18+1,T$16&lt;=Caminocrítico!$G$18),$G3,"")</f>
        <v/>
      </c>
      <c r="U3" s="91" t="str">
        <f>IF(AND(U$16&gt;=Caminocrítico!$D$18+1,U$16&lt;=Caminocrítico!$G$18),$G3,"")</f>
        <v/>
      </c>
      <c r="V3" s="91" t="str">
        <f>IF(AND(V$16&gt;=Caminocrítico!$D$18+1,V$16&lt;=Caminocrítico!$G$18),$G3,"")</f>
        <v/>
      </c>
      <c r="W3" s="91" t="str">
        <f>IF(AND(W$16&gt;=Caminocrítico!$D$18+1,W$16&lt;=Caminocrítico!$G$18),$G3,"")</f>
        <v/>
      </c>
      <c r="X3" s="91" t="str">
        <f>IF(AND(X$16&gt;=Caminocrítico!$D$18+1,X$16&lt;=Caminocrítico!$G$18),$G3,"")</f>
        <v/>
      </c>
      <c r="Y3" s="91" t="str">
        <f>IF(AND(Y$16&gt;=Caminocrítico!$D$18+1,Y$16&lt;=Caminocrítico!$G$18),$G3,"")</f>
        <v/>
      </c>
      <c r="Z3" s="91" t="str">
        <f>IF(AND(Z$16&gt;=Caminocrítico!$D$18+1,Z$16&lt;=Caminocrítico!$G$18),$G3,"")</f>
        <v/>
      </c>
      <c r="AA3" s="91" t="str">
        <f>IF(AND(AA$16&gt;=Caminocrítico!$D$18+1,AA$16&lt;=Caminocrítico!$G$18),$G3,"")</f>
        <v/>
      </c>
      <c r="AB3" s="91" t="str">
        <f>IF(AND(AB$16&gt;=Caminocrítico!$D$18+1,AB$16&lt;=Caminocrítico!$G$18),$G3,"")</f>
        <v/>
      </c>
      <c r="AC3" s="91" t="str">
        <f>IF(AND(AC$16&gt;=Caminocrítico!$D$18+1,AC$16&lt;=Caminocrítico!$G$18),$G3,"")</f>
        <v/>
      </c>
      <c r="AD3" s="91" t="str">
        <f>IF(AND(AD$16&gt;=Caminocrítico!$D$18+1,AD$16&lt;=Caminocrítico!$G$18),$G3,"")</f>
        <v/>
      </c>
      <c r="AE3" s="91" t="str">
        <f>IF(AND(AE$16&gt;=Caminocrítico!$D$18+1,AE$16&lt;=Caminocrítico!$G$18),$G3,"")</f>
        <v/>
      </c>
      <c r="AF3" s="91" t="str">
        <f>IF(AND(AF$16&gt;=Caminocrítico!$D$18+1,AF$16&lt;=Caminocrítico!$G$18),$G3,"")</f>
        <v/>
      </c>
      <c r="AG3" s="91" t="str">
        <f>IF(AND(AG$16&gt;=Caminocrítico!$D$18+1,AG$16&lt;=Caminocrítico!$G$18),$G3,"")</f>
        <v/>
      </c>
      <c r="AH3" s="91" t="str">
        <f>IF(AND(AH$16&gt;=Caminocrítico!$D$18+1,AH$16&lt;=Caminocrítico!$G$18),$G3,"")</f>
        <v/>
      </c>
      <c r="AI3" s="91" t="str">
        <f>IF(AND(AI$16&gt;=Caminocrítico!$D$18+1,AI$16&lt;=Caminocrítico!$G$18),$G3,"")</f>
        <v/>
      </c>
      <c r="AJ3" s="91" t="str">
        <f>IF(AND(AJ$16&gt;=Caminocrítico!$D$18+1,AJ$16&lt;=Caminocrítico!$G$18),$G3,"")</f>
        <v/>
      </c>
      <c r="AK3" s="91" t="str">
        <f>IF(AND(AK$16&gt;=Caminocrítico!$D$18+1,AK$16&lt;=Caminocrítico!$G$18),$G3,"")</f>
        <v/>
      </c>
      <c r="AL3" s="51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</row>
    <row r="4" spans="1:84" ht="24.9" customHeight="1">
      <c r="A4" s="47" t="s">
        <v>6</v>
      </c>
      <c r="B4" s="48">
        <f>Enunciado!C21</f>
        <v>1</v>
      </c>
      <c r="C4" s="89">
        <f>Enunciado!D21</f>
        <v>1</v>
      </c>
      <c r="D4" s="48">
        <f>Enunciado!E21</f>
        <v>600</v>
      </c>
      <c r="E4" s="86">
        <f>Enunciado!F21</f>
        <v>0</v>
      </c>
      <c r="F4" s="117">
        <f t="shared" si="0"/>
        <v>2</v>
      </c>
      <c r="G4" s="118">
        <f t="shared" si="1"/>
        <v>600</v>
      </c>
      <c r="H4" s="49"/>
      <c r="I4" s="42" t="s">
        <v>6</v>
      </c>
      <c r="J4" s="91" t="str">
        <f>IF(AND(J$16&gt;=Caminocrítico!$K$4+1,J$16&lt;=Caminocrítico!$N$4),$G4,"")</f>
        <v/>
      </c>
      <c r="K4" s="91" t="str">
        <f>IF(AND(K$16&gt;=Caminocrítico!$K$4+1,K$16&lt;=Caminocrítico!$N$4),$G4,"")</f>
        <v/>
      </c>
      <c r="L4" s="91">
        <f>IF(AND(L$16&gt;=Caminocrítico!$K$4+1,L$16&lt;=Caminocrítico!$N$4),$G4,"")</f>
        <v>600</v>
      </c>
      <c r="M4" s="91" t="str">
        <f>IF(AND(M$16&gt;=Caminocrítico!$K$4+1,M$16&lt;=Caminocrítico!$N$4),$G4,"")</f>
        <v/>
      </c>
      <c r="N4" s="91" t="str">
        <f>IF(AND(N$16&gt;=Caminocrítico!$K$4+1,N$16&lt;=Caminocrítico!$N$4),$G4,"")</f>
        <v/>
      </c>
      <c r="O4" s="91" t="str">
        <f>IF(AND(O$16&gt;=Caminocrítico!$K$4+1,O$16&lt;=Caminocrítico!$N$4),$G4,"")</f>
        <v/>
      </c>
      <c r="P4" s="91" t="str">
        <f>IF(AND(P$16&gt;=Caminocrítico!$K$4+1,P$16&lt;=Caminocrítico!$N$4),$G4,"")</f>
        <v/>
      </c>
      <c r="Q4" s="91" t="str">
        <f>IF(AND(Q$16&gt;=Caminocrítico!$K$4+1,Q$16&lt;=Caminocrítico!$N$4),$G4,"")</f>
        <v/>
      </c>
      <c r="R4" s="91" t="str">
        <f>IF(AND(R$16&gt;=Caminocrítico!$K$4+1,R$16&lt;=Caminocrítico!$N$4),$G4,"")</f>
        <v/>
      </c>
      <c r="S4" s="91" t="str">
        <f>IF(AND(S$16&gt;=Caminocrítico!$K$4+1,S$16&lt;=Caminocrítico!$N$4),$G4,"")</f>
        <v/>
      </c>
      <c r="T4" s="91" t="str">
        <f>IF(AND(T$16&gt;=Caminocrítico!$K$4+1,T$16&lt;=Caminocrítico!$N$4),$G4,"")</f>
        <v/>
      </c>
      <c r="U4" s="91" t="str">
        <f>IF(AND(U$16&gt;=Caminocrítico!$K$4+1,U$16&lt;=Caminocrítico!$N$4),$G4,"")</f>
        <v/>
      </c>
      <c r="V4" s="91" t="str">
        <f>IF(AND(V$16&gt;=Caminocrítico!$K$4+1,V$16&lt;=Caminocrítico!$N$4),$G4,"")</f>
        <v/>
      </c>
      <c r="W4" s="91" t="str">
        <f>IF(AND(W$16&gt;=Caminocrítico!$K$4+1,W$16&lt;=Caminocrítico!$N$4),$G4,"")</f>
        <v/>
      </c>
      <c r="X4" s="91" t="str">
        <f>IF(AND(X$16&gt;=Caminocrítico!$K$4+1,X$16&lt;=Caminocrítico!$N$4),$G4,"")</f>
        <v/>
      </c>
      <c r="Y4" s="91" t="str">
        <f>IF(AND(Y$16&gt;=Caminocrítico!$K$4+1,Y$16&lt;=Caminocrítico!$N$4),$G4,"")</f>
        <v/>
      </c>
      <c r="Z4" s="91" t="str">
        <f>IF(AND(Z$16&gt;=Caminocrítico!$K$4+1,Z$16&lt;=Caminocrítico!$N$4),$G4,"")</f>
        <v/>
      </c>
      <c r="AA4" s="91" t="str">
        <f>IF(AND(AA$16&gt;=Caminocrítico!$K$4+1,AA$16&lt;=Caminocrítico!$N$4),$G4,"")</f>
        <v/>
      </c>
      <c r="AB4" s="91" t="str">
        <f>IF(AND(AB$16&gt;=Caminocrítico!$K$4+1,AB$16&lt;=Caminocrítico!$N$4),$G4,"")</f>
        <v/>
      </c>
      <c r="AC4" s="91" t="str">
        <f>IF(AND(AC$16&gt;=Caminocrítico!$K$4+1,AC$16&lt;=Caminocrítico!$N$4),$G4,"")</f>
        <v/>
      </c>
      <c r="AD4" s="91" t="str">
        <f>IF(AND(AD$16&gt;=Caminocrítico!$K$4+1,AD$16&lt;=Caminocrítico!$N$4),$G4,"")</f>
        <v/>
      </c>
      <c r="AE4" s="91" t="str">
        <f>IF(AND(AE$16&gt;=Caminocrítico!$K$4+1,AE$16&lt;=Caminocrítico!$N$4),$G4,"")</f>
        <v/>
      </c>
      <c r="AF4" s="91" t="str">
        <f>IF(AND(AF$16&gt;=Caminocrítico!$K$4+1,AF$16&lt;=Caminocrítico!$N$4),$G4,"")</f>
        <v/>
      </c>
      <c r="AG4" s="91" t="str">
        <f>IF(AND(AG$16&gt;=Caminocrítico!$K$4+1,AG$16&lt;=Caminocrítico!$N$4),$G4,"")</f>
        <v/>
      </c>
      <c r="AH4" s="91" t="str">
        <f>IF(AND(AH$16&gt;=Caminocrítico!$K$4+1,AH$16&lt;=Caminocrítico!$N$4),$G4,"")</f>
        <v/>
      </c>
      <c r="AI4" s="91" t="str">
        <f>IF(AND(AI$16&gt;=Caminocrítico!$K$4+1,AI$16&lt;=Caminocrítico!$N$4),$G4,"")</f>
        <v/>
      </c>
      <c r="AJ4" s="91" t="str">
        <f>IF(AND(AJ$16&gt;=Caminocrítico!$K$4+1,AJ$16&lt;=Caminocrítico!$N$4),$G4,"")</f>
        <v/>
      </c>
      <c r="AK4" s="91" t="str">
        <f>IF(AND(AK$16&gt;=Caminocrítico!$K$4+1,AK$16&lt;=Caminocrítico!$N$4),$G4,"")</f>
        <v/>
      </c>
      <c r="AL4" s="51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</row>
    <row r="5" spans="1:84" ht="24.9" customHeight="1">
      <c r="A5" s="47" t="s">
        <v>11</v>
      </c>
      <c r="B5" s="48">
        <f>Enunciado!C22</f>
        <v>1</v>
      </c>
      <c r="C5" s="89">
        <f>Enunciado!D22</f>
        <v>1</v>
      </c>
      <c r="D5" s="48">
        <f>Enunciado!E22</f>
        <v>600</v>
      </c>
      <c r="E5" s="86">
        <f>Enunciado!F22</f>
        <v>640</v>
      </c>
      <c r="F5" s="117">
        <f t="shared" si="0"/>
        <v>2</v>
      </c>
      <c r="G5" s="118">
        <f t="shared" si="1"/>
        <v>1240</v>
      </c>
      <c r="H5" s="49"/>
      <c r="I5" s="42" t="s">
        <v>11</v>
      </c>
      <c r="J5" s="91" t="str">
        <f>IF(AND(J$16&gt;=Caminocrítico!$K$10+1,J$16&lt;=Caminocrítico!$N$10),$G5,"")</f>
        <v/>
      </c>
      <c r="K5" s="91" t="str">
        <f>IF(AND(K$16&gt;=Caminocrítico!$K$10+1,K$16&lt;=Caminocrítico!$N$10),$G5,"")</f>
        <v/>
      </c>
      <c r="L5" s="91">
        <f>IF(AND(L$16&gt;=Caminocrítico!$K$10+1,L$16&lt;=Caminocrítico!$N$10),$G5,"")</f>
        <v>1240</v>
      </c>
      <c r="M5" s="91" t="str">
        <f>IF(AND(M$16&gt;=Caminocrítico!$K$10+1,M$16&lt;=Caminocrítico!$N$10),$G5,"")</f>
        <v/>
      </c>
      <c r="N5" s="91" t="str">
        <f>IF(AND(N$16&gt;=Caminocrítico!$K$10+1,N$16&lt;=Caminocrítico!$N$10),$G5,"")</f>
        <v/>
      </c>
      <c r="O5" s="91" t="str">
        <f>IF(AND(O$16&gt;=Caminocrítico!$K$10+1,O$16&lt;=Caminocrítico!$N$10),$G5,"")</f>
        <v/>
      </c>
      <c r="P5" s="91" t="str">
        <f>IF(AND(P$16&gt;=Caminocrítico!$K$10+1,P$16&lt;=Caminocrítico!$N$10),$G5,"")</f>
        <v/>
      </c>
      <c r="Q5" s="91" t="str">
        <f>IF(AND(Q$16&gt;=Caminocrítico!$K$10+1,Q$16&lt;=Caminocrítico!$N$10),$G5,"")</f>
        <v/>
      </c>
      <c r="R5" s="91" t="str">
        <f>IF(AND(R$16&gt;=Caminocrítico!$K$10+1,R$16&lt;=Caminocrítico!$N$10),$G5,"")</f>
        <v/>
      </c>
      <c r="S5" s="91" t="str">
        <f>IF(AND(S$16&gt;=Caminocrítico!$K$10+1,S$16&lt;=Caminocrítico!$N$10),$G5,"")</f>
        <v/>
      </c>
      <c r="T5" s="91" t="str">
        <f>IF(AND(T$16&gt;=Caminocrítico!$K$10+1,T$16&lt;=Caminocrítico!$N$10),$G5,"")</f>
        <v/>
      </c>
      <c r="U5" s="91" t="str">
        <f>IF(AND(U$16&gt;=Caminocrítico!$K$10+1,U$16&lt;=Caminocrítico!$N$10),$G5,"")</f>
        <v/>
      </c>
      <c r="V5" s="91" t="str">
        <f>IF(AND(V$16&gt;=Caminocrítico!$K$10+1,V$16&lt;=Caminocrítico!$N$10),$G5,"")</f>
        <v/>
      </c>
      <c r="W5" s="91" t="str">
        <f>IF(AND(W$16&gt;=Caminocrítico!$K$10+1,W$16&lt;=Caminocrítico!$N$10),$G5,"")</f>
        <v/>
      </c>
      <c r="X5" s="91" t="str">
        <f>IF(AND(X$16&gt;=Caminocrítico!$K$10+1,X$16&lt;=Caminocrítico!$N$10),$G5,"")</f>
        <v/>
      </c>
      <c r="Y5" s="91" t="str">
        <f>IF(AND(Y$16&gt;=Caminocrítico!$K$10+1,Y$16&lt;=Caminocrítico!$N$10),$G5,"")</f>
        <v/>
      </c>
      <c r="Z5" s="91" t="str">
        <f>IF(AND(Z$16&gt;=Caminocrítico!$K$10+1,Z$16&lt;=Caminocrítico!$N$10),$G5,"")</f>
        <v/>
      </c>
      <c r="AA5" s="91" t="str">
        <f>IF(AND(AA$16&gt;=Caminocrítico!$K$10+1,AA$16&lt;=Caminocrítico!$N$10),$G5,"")</f>
        <v/>
      </c>
      <c r="AB5" s="91" t="str">
        <f>IF(AND(AB$16&gt;=Caminocrítico!$K$10+1,AB$16&lt;=Caminocrítico!$N$10),$G5,"")</f>
        <v/>
      </c>
      <c r="AC5" s="91" t="str">
        <f>IF(AND(AC$16&gt;=Caminocrítico!$K$10+1,AC$16&lt;=Caminocrítico!$N$10),$G5,"")</f>
        <v/>
      </c>
      <c r="AD5" s="91" t="str">
        <f>IF(AND(AD$16&gt;=Caminocrítico!$K$10+1,AD$16&lt;=Caminocrítico!$N$10),$G5,"")</f>
        <v/>
      </c>
      <c r="AE5" s="91" t="str">
        <f>IF(AND(AE$16&gt;=Caminocrítico!$K$10+1,AE$16&lt;=Caminocrítico!$N$10),$G5,"")</f>
        <v/>
      </c>
      <c r="AF5" s="91" t="str">
        <f>IF(AND(AF$16&gt;=Caminocrítico!$K$10+1,AF$16&lt;=Caminocrítico!$N$10),$G5,"")</f>
        <v/>
      </c>
      <c r="AG5" s="91" t="str">
        <f>IF(AND(AG$16&gt;=Caminocrítico!$K$10+1,AG$16&lt;=Caminocrítico!$N$10),$G5,"")</f>
        <v/>
      </c>
      <c r="AH5" s="91" t="str">
        <f>IF(AND(AH$16&gt;=Caminocrítico!$K$10+1,AH$16&lt;=Caminocrítico!$N$10),$G5,"")</f>
        <v/>
      </c>
      <c r="AI5" s="91" t="str">
        <f>IF(AND(AI$16&gt;=Caminocrítico!$K$10+1,AI$16&lt;=Caminocrítico!$N$10),$G5,"")</f>
        <v/>
      </c>
      <c r="AJ5" s="91" t="str">
        <f>IF(AND(AJ$16&gt;=Caminocrítico!$K$10+1,AJ$16&lt;=Caminocrítico!$N$10),$G5,"")</f>
        <v/>
      </c>
      <c r="AK5" s="91" t="str">
        <f>IF(AND(AK$16&gt;=Caminocrítico!$K$10+1,AK$16&lt;=Caminocrítico!$N$10),$G5,"")</f>
        <v/>
      </c>
      <c r="AL5" s="52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</row>
    <row r="6" spans="1:84" ht="24.9" customHeight="1">
      <c r="A6" s="47" t="s">
        <v>3</v>
      </c>
      <c r="B6" s="48">
        <f>Enunciado!C23</f>
        <v>2</v>
      </c>
      <c r="C6" s="89">
        <f>Enunciado!D23</f>
        <v>1</v>
      </c>
      <c r="D6" s="48">
        <f>Enunciado!E23</f>
        <v>1200</v>
      </c>
      <c r="E6" s="86">
        <f>Enunciado!F23</f>
        <v>2400</v>
      </c>
      <c r="F6" s="117">
        <f t="shared" si="0"/>
        <v>3</v>
      </c>
      <c r="G6" s="118">
        <f t="shared" si="1"/>
        <v>3600</v>
      </c>
      <c r="H6" s="49"/>
      <c r="I6" s="42" t="s">
        <v>3</v>
      </c>
      <c r="J6" s="91" t="str">
        <f>IF(AND(J$16&gt;=Caminocrítico!$Q$4+1,J$16&lt;=Caminocrítico!$T$4),$G6,"")</f>
        <v/>
      </c>
      <c r="K6" s="91" t="str">
        <f>IF(AND(K$16&gt;=Caminocrítico!$Q$4+1,K$16&lt;=Caminocrítico!$T$4),$G6,"")</f>
        <v/>
      </c>
      <c r="L6" s="91" t="str">
        <f>IF(AND(L$16&gt;=Caminocrítico!$Q$4+1,L$16&lt;=Caminocrítico!$T$4),$G6,"")</f>
        <v/>
      </c>
      <c r="M6" s="91">
        <f>IF(AND(M$16&gt;=Caminocrítico!$Q$4+1,M$16&lt;=Caminocrítico!$T$4),$G6,"")</f>
        <v>3600</v>
      </c>
      <c r="N6" s="91">
        <f>IF(AND(N$16&gt;=Caminocrítico!$Q$4+1,N$16&lt;=Caminocrítico!$T$4),$G6,"")</f>
        <v>3600</v>
      </c>
      <c r="O6" s="91" t="str">
        <f>IF(AND(O$16&gt;=Caminocrítico!$Q$4+1,O$16&lt;=Caminocrítico!$T$4),$G6,"")</f>
        <v/>
      </c>
      <c r="P6" s="91" t="str">
        <f>IF(AND(P$16&gt;=Caminocrítico!$Q$4+1,P$16&lt;=Caminocrítico!$T$4),$G6,"")</f>
        <v/>
      </c>
      <c r="Q6" s="91" t="str">
        <f>IF(AND(Q$16&gt;=Caminocrítico!$Q$4+1,Q$16&lt;=Caminocrítico!$T$4),$G6,"")</f>
        <v/>
      </c>
      <c r="R6" s="91" t="str">
        <f>IF(AND(R$16&gt;=Caminocrítico!$Q$4+1,R$16&lt;=Caminocrítico!$T$4),$G6,"")</f>
        <v/>
      </c>
      <c r="S6" s="91" t="str">
        <f>IF(AND(S$16&gt;=Caminocrítico!$Q$4+1,S$16&lt;=Caminocrítico!$T$4),$G6,"")</f>
        <v/>
      </c>
      <c r="T6" s="91" t="str">
        <f>IF(AND(T$16&gt;=Caminocrítico!$Q$4+1,T$16&lt;=Caminocrítico!$T$4),$G6,"")</f>
        <v/>
      </c>
      <c r="U6" s="91" t="str">
        <f>IF(AND(U$16&gt;=Caminocrítico!$Q$4+1,U$16&lt;=Caminocrítico!$T$4),$G6,"")</f>
        <v/>
      </c>
      <c r="V6" s="91" t="str">
        <f>IF(AND(V$16&gt;=Caminocrítico!$Q$4+1,V$16&lt;=Caminocrítico!$T$4),$G6,"")</f>
        <v/>
      </c>
      <c r="W6" s="91" t="str">
        <f>IF(AND(W$16&gt;=Caminocrítico!$Q$4+1,W$16&lt;=Caminocrítico!$T$4),$G6,"")</f>
        <v/>
      </c>
      <c r="X6" s="91" t="str">
        <f>IF(AND(X$16&gt;=Caminocrítico!$Q$4+1,X$16&lt;=Caminocrítico!$T$4),$G6,"")</f>
        <v/>
      </c>
      <c r="Y6" s="91" t="str">
        <f>IF(AND(Y$16&gt;=Caminocrítico!$Q$4+1,Y$16&lt;=Caminocrítico!$T$4),$G6,"")</f>
        <v/>
      </c>
      <c r="Z6" s="91" t="str">
        <f>IF(AND(Z$16&gt;=Caminocrítico!$Q$4+1,Z$16&lt;=Caminocrítico!$T$4),$G6,"")</f>
        <v/>
      </c>
      <c r="AA6" s="91" t="str">
        <f>IF(AND(AA$16&gt;=Caminocrítico!$Q$4+1,AA$16&lt;=Caminocrítico!$T$4),$G6,"")</f>
        <v/>
      </c>
      <c r="AB6" s="91" t="str">
        <f>IF(AND(AB$16&gt;=Caminocrítico!$Q$4+1,AB$16&lt;=Caminocrítico!$T$4),$G6,"")</f>
        <v/>
      </c>
      <c r="AC6" s="91" t="str">
        <f>IF(AND(AC$16&gt;=Caminocrítico!$Q$4+1,AC$16&lt;=Caminocrítico!$T$4),$G6,"")</f>
        <v/>
      </c>
      <c r="AD6" s="91" t="str">
        <f>IF(AND(AD$16&gt;=Caminocrítico!$Q$4+1,AD$16&lt;=Caminocrítico!$T$4),$G6,"")</f>
        <v/>
      </c>
      <c r="AE6" s="91" t="str">
        <f>IF(AND(AE$16&gt;=Caminocrítico!$Q$4+1,AE$16&lt;=Caminocrítico!$T$4),$G6,"")</f>
        <v/>
      </c>
      <c r="AF6" s="91" t="str">
        <f>IF(AND(AF$16&gt;=Caminocrítico!$Q$4+1,AF$16&lt;=Caminocrítico!$T$4),$G6,"")</f>
        <v/>
      </c>
      <c r="AG6" s="91" t="str">
        <f>IF(AND(AG$16&gt;=Caminocrítico!$Q$4+1,AG$16&lt;=Caminocrítico!$T$4),$G6,"")</f>
        <v/>
      </c>
      <c r="AH6" s="91" t="str">
        <f>IF(AND(AH$16&gt;=Caminocrítico!$Q$4+1,AH$16&lt;=Caminocrítico!$T$4),$G6,"")</f>
        <v/>
      </c>
      <c r="AI6" s="91" t="str">
        <f>IF(AND(AI$16&gt;=Caminocrítico!$Q$4+1,AI$16&lt;=Caminocrítico!$T$4),$G6,"")</f>
        <v/>
      </c>
      <c r="AJ6" s="91" t="str">
        <f>IF(AND(AJ$16&gt;=Caminocrítico!$Q$4+1,AJ$16&lt;=Caminocrítico!$T$4),$G6,"")</f>
        <v/>
      </c>
      <c r="AK6" s="91" t="str">
        <f>IF(AND(AK$16&gt;=Caminocrítico!$Q$4+1,AK$16&lt;=Caminocrítico!$T$4),$G6,"")</f>
        <v/>
      </c>
      <c r="AL6" s="52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</row>
    <row r="7" spans="1:84" ht="24.9" customHeight="1">
      <c r="A7" s="47" t="s">
        <v>1</v>
      </c>
      <c r="B7" s="48">
        <f>Enunciado!C24</f>
        <v>3</v>
      </c>
      <c r="C7" s="89">
        <f>Enunciado!D24</f>
        <v>-1</v>
      </c>
      <c r="D7" s="48">
        <f>Enunciado!E24</f>
        <v>1800</v>
      </c>
      <c r="E7" s="86">
        <f>Enunciado!F24</f>
        <v>1920</v>
      </c>
      <c r="F7" s="117">
        <f t="shared" si="0"/>
        <v>2</v>
      </c>
      <c r="G7" s="118">
        <f t="shared" si="1"/>
        <v>3720</v>
      </c>
      <c r="H7" s="49"/>
      <c r="I7" s="42" t="s">
        <v>1</v>
      </c>
      <c r="J7" s="91" t="str">
        <f>IF(AND(J$16&gt;=Caminocrítico!$Q$10+1,J$16&lt;=Caminocrítico!$T$10),$G7,"")</f>
        <v/>
      </c>
      <c r="K7" s="91" t="str">
        <f>IF(AND(K$16&gt;=Caminocrítico!$Q$10+1,K$16&lt;=Caminocrítico!$T$10),$G7,"")</f>
        <v/>
      </c>
      <c r="L7" s="91" t="str">
        <f>IF(AND(L$16&gt;=Caminocrítico!$Q$10+1,L$16&lt;=Caminocrítico!$T$10),$G7,"")</f>
        <v/>
      </c>
      <c r="M7" s="91">
        <f>IF(AND(M$16&gt;=Caminocrítico!$Q$10+1,M$16&lt;=Caminocrítico!$T$10),$G7,"")</f>
        <v>3720</v>
      </c>
      <c r="N7" s="91">
        <f>IF(AND(N$16&gt;=Caminocrítico!$Q$10+1,N$16&lt;=Caminocrítico!$T$10),$G7,"")</f>
        <v>3720</v>
      </c>
      <c r="O7" s="91">
        <f>IF(AND(O$16&gt;=Caminocrítico!$Q$10+1,O$16&lt;=Caminocrítico!$T$10),$G7,"")</f>
        <v>3720</v>
      </c>
      <c r="P7" s="91" t="str">
        <f>IF(AND(P$16&gt;=Caminocrítico!$Q$10+1,P$16&lt;=Caminocrítico!$T$10),$G7,"")</f>
        <v/>
      </c>
      <c r="Q7" s="91" t="str">
        <f>IF(AND(Q$16&gt;=Caminocrítico!$Q$10+1,Q$16&lt;=Caminocrítico!$T$10),$G7,"")</f>
        <v/>
      </c>
      <c r="R7" s="91" t="str">
        <f>IF(AND(R$16&gt;=Caminocrítico!$Q$10+1,R$16&lt;=Caminocrítico!$T$10),$G7,"")</f>
        <v/>
      </c>
      <c r="S7" s="91" t="str">
        <f>IF(AND(S$16&gt;=Caminocrítico!$Q$10+1,S$16&lt;=Caminocrítico!$T$10),$G7,"")</f>
        <v/>
      </c>
      <c r="T7" s="91" t="str">
        <f>IF(AND(T$16&gt;=Caminocrítico!$Q$10+1,T$16&lt;=Caminocrítico!$T$10),$G7,"")</f>
        <v/>
      </c>
      <c r="U7" s="91" t="str">
        <f>IF(AND(U$16&gt;=Caminocrítico!$Q$10+1,U$16&lt;=Caminocrítico!$T$10),$G7,"")</f>
        <v/>
      </c>
      <c r="V7" s="91" t="str">
        <f>IF(AND(V$16&gt;=Caminocrítico!$Q$10+1,V$16&lt;=Caminocrítico!$T$10),$G7,"")</f>
        <v/>
      </c>
      <c r="W7" s="91" t="str">
        <f>IF(AND(W$16&gt;=Caminocrítico!$Q$10+1,W$16&lt;=Caminocrítico!$T$10),$G7,"")</f>
        <v/>
      </c>
      <c r="X7" s="91" t="str">
        <f>IF(AND(X$16&gt;=Caminocrítico!$Q$10+1,X$16&lt;=Caminocrítico!$T$10),$G7,"")</f>
        <v/>
      </c>
      <c r="Y7" s="91" t="str">
        <f>IF(AND(Y$16&gt;=Caminocrítico!$Q$10+1,Y$16&lt;=Caminocrítico!$T$10),$G7,"")</f>
        <v/>
      </c>
      <c r="Z7" s="91" t="str">
        <f>IF(AND(Z$16&gt;=Caminocrítico!$Q$10+1,Z$16&lt;=Caminocrítico!$T$10),$G7,"")</f>
        <v/>
      </c>
      <c r="AA7" s="91" t="str">
        <f>IF(AND(AA$16&gt;=Caminocrítico!$Q$10+1,AA$16&lt;=Caminocrítico!$T$10),$G7,"")</f>
        <v/>
      </c>
      <c r="AB7" s="91" t="str">
        <f>IF(AND(AB$16&gt;=Caminocrítico!$Q$10+1,AB$16&lt;=Caminocrítico!$T$10),$G7,"")</f>
        <v/>
      </c>
      <c r="AC7" s="91" t="str">
        <f>IF(AND(AC$16&gt;=Caminocrítico!$Q$10+1,AC$16&lt;=Caminocrítico!$T$10),$G7,"")</f>
        <v/>
      </c>
      <c r="AD7" s="91" t="str">
        <f>IF(AND(AD$16&gt;=Caminocrítico!$Q$10+1,AD$16&lt;=Caminocrítico!$T$10),$G7,"")</f>
        <v/>
      </c>
      <c r="AE7" s="91" t="str">
        <f>IF(AND(AE$16&gt;=Caminocrítico!$Q$10+1,AE$16&lt;=Caminocrítico!$T$10),$G7,"")</f>
        <v/>
      </c>
      <c r="AF7" s="91" t="str">
        <f>IF(AND(AF$16&gt;=Caminocrítico!$Q$10+1,AF$16&lt;=Caminocrítico!$T$10),$G7,"")</f>
        <v/>
      </c>
      <c r="AG7" s="91" t="str">
        <f>IF(AND(AG$16&gt;=Caminocrítico!$Q$10+1,AG$16&lt;=Caminocrítico!$T$10),$G7,"")</f>
        <v/>
      </c>
      <c r="AH7" s="91" t="str">
        <f>IF(AND(AH$16&gt;=Caminocrítico!$Q$10+1,AH$16&lt;=Caminocrítico!$T$10),$G7,"")</f>
        <v/>
      </c>
      <c r="AI7" s="91" t="str">
        <f>IF(AND(AI$16&gt;=Caminocrítico!$Q$10+1,AI$16&lt;=Caminocrítico!$T$10),$G7,"")</f>
        <v/>
      </c>
      <c r="AJ7" s="91" t="str">
        <f>IF(AND(AJ$16&gt;=Caminocrítico!$Q$10+1,AJ$16&lt;=Caminocrítico!$T$10),$G7,"")</f>
        <v/>
      </c>
      <c r="AK7" s="91" t="str">
        <f>IF(AND(AK$16&gt;=Caminocrítico!$Q$10+1,AK$16&lt;=Caminocrítico!$T$10),$G7,"")</f>
        <v/>
      </c>
      <c r="AL7" s="52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</row>
    <row r="8" spans="1:84" ht="24.9" customHeight="1" thickBot="1">
      <c r="A8" s="76" t="s">
        <v>12</v>
      </c>
      <c r="B8" s="77">
        <f>Enunciado!C25</f>
        <v>6</v>
      </c>
      <c r="C8" s="90">
        <f>Enunciado!D25</f>
        <v>1</v>
      </c>
      <c r="D8" s="77">
        <f>Enunciado!E25</f>
        <v>3600</v>
      </c>
      <c r="E8" s="87">
        <f>Enunciado!F25</f>
        <v>140</v>
      </c>
      <c r="F8" s="117">
        <f t="shared" si="0"/>
        <v>7</v>
      </c>
      <c r="G8" s="118">
        <f t="shared" si="1"/>
        <v>3740</v>
      </c>
      <c r="H8" s="49"/>
      <c r="I8" s="42" t="s">
        <v>12</v>
      </c>
      <c r="J8" s="91" t="str">
        <f>IF(AND(J$16&gt;=Caminocrítico!$L$16+1,J$16&lt;=Caminocrítico!$O$16),$G8,"")</f>
        <v/>
      </c>
      <c r="K8" s="91" t="str">
        <f>IF(AND(K$16&gt;=Caminocrítico!$L$16+1,K$16&lt;=Caminocrítico!$O$16),$G8,"")</f>
        <v/>
      </c>
      <c r="L8" s="91">
        <f>IF(AND(L$16&gt;=Caminocrítico!$L$16+1,L$16&lt;=Caminocrítico!$O$16),$G8,"")</f>
        <v>3740</v>
      </c>
      <c r="M8" s="91">
        <f>IF(AND(M$16&gt;=Caminocrítico!$L$16+1,M$16&lt;=Caminocrítico!$O$16),$G8,"")</f>
        <v>3740</v>
      </c>
      <c r="N8" s="91">
        <f>IF(AND(N$16&gt;=Caminocrítico!$L$16+1,N$16&lt;=Caminocrítico!$O$16),$G8,"")</f>
        <v>3740</v>
      </c>
      <c r="O8" s="91">
        <f>IF(AND(O$16&gt;=Caminocrítico!$L$16+1,O$16&lt;=Caminocrítico!$O$16),$G8,"")</f>
        <v>3740</v>
      </c>
      <c r="P8" s="91">
        <f>IF(AND(P$16&gt;=Caminocrítico!$L$16+1,P$16&lt;=Caminocrítico!$O$16),$G8,"")</f>
        <v>3740</v>
      </c>
      <c r="Q8" s="91">
        <f>IF(AND(Q$16&gt;=Caminocrítico!$L$16+1,Q$16&lt;=Caminocrítico!$O$16),$G8,"")</f>
        <v>3740</v>
      </c>
      <c r="R8" s="91" t="str">
        <f>IF(AND(R$16&gt;=Caminocrítico!$L$16+1,R$16&lt;=Caminocrítico!$O$16),$G8,"")</f>
        <v/>
      </c>
      <c r="S8" s="91" t="str">
        <f>IF(AND(S$16&gt;=Caminocrítico!$L$16+1,S$16&lt;=Caminocrítico!$O$16),$G8,"")</f>
        <v/>
      </c>
      <c r="T8" s="91" t="str">
        <f>IF(AND(T$16&gt;=Caminocrítico!$L$16+1,T$16&lt;=Caminocrítico!$O$16),$G8,"")</f>
        <v/>
      </c>
      <c r="U8" s="91" t="str">
        <f>IF(AND(U$16&gt;=Caminocrítico!$L$16+1,U$16&lt;=Caminocrítico!$O$16),$G8,"")</f>
        <v/>
      </c>
      <c r="V8" s="91" t="str">
        <f>IF(AND(V$16&gt;=Caminocrítico!$L$16+1,V$16&lt;=Caminocrítico!$O$16),$G8,"")</f>
        <v/>
      </c>
      <c r="W8" s="91" t="str">
        <f>IF(AND(W$16&gt;=Caminocrítico!$L$16+1,W$16&lt;=Caminocrítico!$O$16),$G8,"")</f>
        <v/>
      </c>
      <c r="X8" s="91" t="str">
        <f>IF(AND(X$16&gt;=Caminocrítico!$L$16+1,X$16&lt;=Caminocrítico!$O$16),$G8,"")</f>
        <v/>
      </c>
      <c r="Y8" s="91" t="str">
        <f>IF(AND(Y$16&gt;=Caminocrítico!$L$16+1,Y$16&lt;=Caminocrítico!$O$16),$G8,"")</f>
        <v/>
      </c>
      <c r="Z8" s="91" t="str">
        <f>IF(AND(Z$16&gt;=Caminocrítico!$L$16+1,Z$16&lt;=Caminocrítico!$O$16),$G8,"")</f>
        <v/>
      </c>
      <c r="AA8" s="91" t="str">
        <f>IF(AND(AA$16&gt;=Caminocrítico!$L$16+1,AA$16&lt;=Caminocrítico!$O$16),$G8,"")</f>
        <v/>
      </c>
      <c r="AB8" s="91" t="str">
        <f>IF(AND(AB$16&gt;=Caminocrítico!$L$16+1,AB$16&lt;=Caminocrítico!$O$16),$G8,"")</f>
        <v/>
      </c>
      <c r="AC8" s="91" t="str">
        <f>IF(AND(AC$16&gt;=Caminocrítico!$L$16+1,AC$16&lt;=Caminocrítico!$O$16),$G8,"")</f>
        <v/>
      </c>
      <c r="AD8" s="91" t="str">
        <f>IF(AND(AD$16&gt;=Caminocrítico!$L$16+1,AD$16&lt;=Caminocrítico!$O$16),$G8,"")</f>
        <v/>
      </c>
      <c r="AE8" s="91" t="str">
        <f>IF(AND(AE$16&gt;=Caminocrítico!$L$16+1,AE$16&lt;=Caminocrítico!$O$16),$G8,"")</f>
        <v/>
      </c>
      <c r="AF8" s="91" t="str">
        <f>IF(AND(AF$16&gt;=Caminocrítico!$L$16+1,AF$16&lt;=Caminocrítico!$O$16),$G8,"")</f>
        <v/>
      </c>
      <c r="AG8" s="91" t="str">
        <f>IF(AND(AG$16&gt;=Caminocrítico!$L$16+1,AG$16&lt;=Caminocrítico!$O$16),$G8,"")</f>
        <v/>
      </c>
      <c r="AH8" s="91" t="str">
        <f>IF(AND(AH$16&gt;=Caminocrítico!$L$16+1,AH$16&lt;=Caminocrítico!$O$16),$G8,"")</f>
        <v/>
      </c>
      <c r="AI8" s="91" t="str">
        <f>IF(AND(AI$16&gt;=Caminocrítico!$L$16+1,AI$16&lt;=Caminocrítico!$O$16),$G8,"")</f>
        <v/>
      </c>
      <c r="AJ8" s="91" t="str">
        <f>IF(AND(AJ$16&gt;=Caminocrítico!$L$16+1,AJ$16&lt;=Caminocrítico!$O$16),$G8,"")</f>
        <v/>
      </c>
      <c r="AK8" s="91" t="str">
        <f>IF(AND(AK$16&gt;=Caminocrítico!$L$16+1,AK$16&lt;=Caminocrítico!$O$16),$G8,"")</f>
        <v/>
      </c>
      <c r="AL8" s="52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</row>
    <row r="9" spans="1:84" ht="24.9" customHeight="1" thickTop="1">
      <c r="A9" s="47" t="s">
        <v>2</v>
      </c>
      <c r="B9" s="48">
        <f>Enunciado!C26</f>
        <v>3</v>
      </c>
      <c r="C9" s="48">
        <v>0</v>
      </c>
      <c r="D9" s="48">
        <f>Enunciado!E26</f>
        <v>1800</v>
      </c>
      <c r="E9" s="88">
        <v>0</v>
      </c>
      <c r="F9" s="117">
        <f t="shared" si="0"/>
        <v>3</v>
      </c>
      <c r="G9" s="118">
        <f t="shared" si="1"/>
        <v>1800</v>
      </c>
      <c r="H9" s="49"/>
      <c r="I9" s="42" t="s">
        <v>2</v>
      </c>
      <c r="J9" s="91" t="str">
        <f>IF(AND(J$16&gt;=Caminocrítico!$W$4+1,J$16&lt;=Caminocrítico!$Z$4),$G9,"")</f>
        <v/>
      </c>
      <c r="K9" s="91" t="str">
        <f>IF(AND(K$16&gt;=Caminocrítico!$W$4+1,K$16&lt;=Caminocrítico!$Z$4),$G9,"")</f>
        <v/>
      </c>
      <c r="L9" s="91" t="str">
        <f>IF(AND(L$16&gt;=Caminocrítico!$W$4+1,L$16&lt;=Caminocrítico!$Z$4),$G9,"")</f>
        <v/>
      </c>
      <c r="M9" s="91" t="str">
        <f>IF(AND(M$16&gt;=Caminocrítico!$W$4+1,M$16&lt;=Caminocrítico!$Z$4),$G9,"")</f>
        <v/>
      </c>
      <c r="N9" s="91" t="str">
        <f>IF(AND(N$16&gt;=Caminocrítico!$W$4+1,N$16&lt;=Caminocrítico!$Z$4),$G9,"")</f>
        <v/>
      </c>
      <c r="O9" s="91">
        <f>IF(AND(O$16&gt;=Caminocrítico!$W$4+1,O$16&lt;=Caminocrítico!$Z$4),$G9,"")</f>
        <v>1800</v>
      </c>
      <c r="P9" s="91">
        <f>IF(AND(P$16&gt;=Caminocrítico!$W$4+1,P$16&lt;=Caminocrítico!$Z$4),$G9,"")</f>
        <v>1800</v>
      </c>
      <c r="Q9" s="91">
        <f>IF(AND(Q$16&gt;=Caminocrítico!$W$4+1,Q$16&lt;=Caminocrítico!$Z$4),$G9,"")</f>
        <v>1800</v>
      </c>
      <c r="R9" s="91" t="str">
        <f>IF(AND(R$16&gt;=Caminocrítico!$W$4+1,R$16&lt;=Caminocrítico!$Z$4),$G9,"")</f>
        <v/>
      </c>
      <c r="S9" s="91" t="str">
        <f>IF(AND(S$16&gt;=Caminocrítico!$W$4+1,S$16&lt;=Caminocrítico!$Z$4),$G9,"")</f>
        <v/>
      </c>
      <c r="T9" s="91" t="str">
        <f>IF(AND(T$16&gt;=Caminocrítico!$W$4+1,T$16&lt;=Caminocrítico!$Z$4),$G9,"")</f>
        <v/>
      </c>
      <c r="U9" s="91" t="str">
        <f>IF(AND(U$16&gt;=Caminocrítico!$W$4+1,U$16&lt;=Caminocrítico!$Z$4),$G9,"")</f>
        <v/>
      </c>
      <c r="V9" s="91" t="str">
        <f>IF(AND(V$16&gt;=Caminocrítico!$W$4+1,V$16&lt;=Caminocrítico!$Z$4),$G9,"")</f>
        <v/>
      </c>
      <c r="W9" s="91" t="str">
        <f>IF(AND(W$16&gt;=Caminocrítico!$W$4+1,W$16&lt;=Caminocrítico!$Z$4),$G9,"")</f>
        <v/>
      </c>
      <c r="X9" s="91" t="str">
        <f>IF(AND(X$16&gt;=Caminocrítico!$W$4+1,X$16&lt;=Caminocrítico!$Z$4),$G9,"")</f>
        <v/>
      </c>
      <c r="Y9" s="91" t="str">
        <f>IF(AND(Y$16&gt;=Caminocrítico!$W$4+1,Y$16&lt;=Caminocrítico!$Z$4),$G9,"")</f>
        <v/>
      </c>
      <c r="Z9" s="91" t="str">
        <f>IF(AND(Z$16&gt;=Caminocrítico!$W$4+1,Z$16&lt;=Caminocrítico!$Z$4),$G9,"")</f>
        <v/>
      </c>
      <c r="AA9" s="91" t="str">
        <f>IF(AND(AA$16&gt;=Caminocrítico!$W$4+1,AA$16&lt;=Caminocrítico!$Z$4),$G9,"")</f>
        <v/>
      </c>
      <c r="AB9" s="91" t="str">
        <f>IF(AND(AB$16&gt;=Caminocrítico!$W$4+1,AB$16&lt;=Caminocrítico!$Z$4),$G9,"")</f>
        <v/>
      </c>
      <c r="AC9" s="91" t="str">
        <f>IF(AND(AC$16&gt;=Caminocrítico!$W$4+1,AC$16&lt;=Caminocrítico!$Z$4),$G9,"")</f>
        <v/>
      </c>
      <c r="AD9" s="91" t="str">
        <f>IF(AND(AD$16&gt;=Caminocrítico!$W$4+1,AD$16&lt;=Caminocrítico!$Z$4),$G9,"")</f>
        <v/>
      </c>
      <c r="AE9" s="91" t="str">
        <f>IF(AND(AE$16&gt;=Caminocrítico!$W$4+1,AE$16&lt;=Caminocrítico!$Z$4),$G9,"")</f>
        <v/>
      </c>
      <c r="AF9" s="91" t="str">
        <f>IF(AND(AF$16&gt;=Caminocrítico!$W$4+1,AF$16&lt;=Caminocrítico!$Z$4),$G9,"")</f>
        <v/>
      </c>
      <c r="AG9" s="91" t="str">
        <f>IF(AND(AG$16&gt;=Caminocrítico!$W$4+1,AG$16&lt;=Caminocrítico!$Z$4),$G9,"")</f>
        <v/>
      </c>
      <c r="AH9" s="91" t="str">
        <f>IF(AND(AH$16&gt;=Caminocrítico!$W$4+1,AH$16&lt;=Caminocrítico!$Z$4),$G9,"")</f>
        <v/>
      </c>
      <c r="AI9" s="91" t="str">
        <f>IF(AND(AI$16&gt;=Caminocrítico!$W$4+1,AI$16&lt;=Caminocrítico!$Z$4),$G9,"")</f>
        <v/>
      </c>
      <c r="AJ9" s="91" t="str">
        <f>IF(AND(AJ$16&gt;=Caminocrítico!$W$4+1,AJ$16&lt;=Caminocrítico!$Z$4),$G9,"")</f>
        <v/>
      </c>
      <c r="AK9" s="91" t="str">
        <f>IF(AND(AK$16&gt;=Caminocrítico!$W$4+1,AK$16&lt;=Caminocrítico!$Z$4),$G9,"")</f>
        <v/>
      </c>
      <c r="AL9" s="52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</row>
    <row r="10" spans="1:84" ht="24.9" customHeight="1">
      <c r="A10" s="47" t="s">
        <v>7</v>
      </c>
      <c r="B10" s="48">
        <f>Enunciado!C27</f>
        <v>3</v>
      </c>
      <c r="C10" s="48">
        <v>0</v>
      </c>
      <c r="D10" s="48">
        <f>Enunciado!E27</f>
        <v>1800</v>
      </c>
      <c r="E10" s="88">
        <v>0</v>
      </c>
      <c r="F10" s="117">
        <f t="shared" si="0"/>
        <v>3</v>
      </c>
      <c r="G10" s="118">
        <f t="shared" si="1"/>
        <v>1800</v>
      </c>
      <c r="H10" s="49"/>
      <c r="I10" s="42" t="s">
        <v>7</v>
      </c>
      <c r="J10" s="91" t="str">
        <f>IF(AND(J$16&gt;=Caminocrítico!$R$16+1,J$16&lt;=Caminocrítico!$U$16),$G10,"")</f>
        <v/>
      </c>
      <c r="K10" s="91" t="str">
        <f>IF(AND(K$16&gt;=Caminocrítico!$R$16+1,K$16&lt;=Caminocrítico!$U$16),$G10,"")</f>
        <v/>
      </c>
      <c r="L10" s="91" t="str">
        <f>IF(AND(L$16&gt;=Caminocrítico!$R$16+1,L$16&lt;=Caminocrítico!$U$16),$G10,"")</f>
        <v/>
      </c>
      <c r="M10" s="91" t="str">
        <f>IF(AND(M$16&gt;=Caminocrítico!$R$16+1,M$16&lt;=Caminocrítico!$U$16),$G10,"")</f>
        <v/>
      </c>
      <c r="N10" s="91" t="str">
        <f>IF(AND(N$16&gt;=Caminocrítico!$R$16+1,N$16&lt;=Caminocrítico!$U$16),$G10,"")</f>
        <v/>
      </c>
      <c r="O10" s="91" t="str">
        <f>IF(AND(O$16&gt;=Caminocrítico!$R$16+1,O$16&lt;=Caminocrítico!$U$16),$G10,"")</f>
        <v/>
      </c>
      <c r="P10" s="91" t="str">
        <f>IF(AND(P$16&gt;=Caminocrítico!$R$16+1,P$16&lt;=Caminocrítico!$U$16),$G10,"")</f>
        <v/>
      </c>
      <c r="Q10" s="91" t="str">
        <f>IF(AND(Q$16&gt;=Caminocrítico!$R$16+1,Q$16&lt;=Caminocrítico!$U$16),$G10,"")</f>
        <v/>
      </c>
      <c r="R10" s="91">
        <f>IF(AND(R$16&gt;=Caminocrítico!$R$16+1,R$16&lt;=Caminocrítico!$U$16),$G10,"")</f>
        <v>1800</v>
      </c>
      <c r="S10" s="91">
        <f>IF(AND(S$16&gt;=Caminocrítico!$R$16+1,S$16&lt;=Caminocrítico!$U$16),$G10,"")</f>
        <v>1800</v>
      </c>
      <c r="T10" s="91">
        <f>IF(AND(T$16&gt;=Caminocrítico!$R$16+1,T$16&lt;=Caminocrítico!$U$16),$G10,"")</f>
        <v>1800</v>
      </c>
      <c r="U10" s="91" t="str">
        <f>IF(AND(U$16&gt;=Caminocrítico!$R$16+1,U$16&lt;=Caminocrítico!$U$16),$G10,"")</f>
        <v/>
      </c>
      <c r="V10" s="91" t="str">
        <f>IF(AND(V$16&gt;=Caminocrítico!$R$16+1,V$16&lt;=Caminocrítico!$U$16),$G10,"")</f>
        <v/>
      </c>
      <c r="W10" s="91" t="str">
        <f>IF(AND(W$16&gt;=Caminocrítico!$R$16+1,W$16&lt;=Caminocrítico!$U$16),$G10,"")</f>
        <v/>
      </c>
      <c r="X10" s="91" t="str">
        <f>IF(AND(X$16&gt;=Caminocrítico!$R$16+1,X$16&lt;=Caminocrítico!$U$16),$G10,"")</f>
        <v/>
      </c>
      <c r="Y10" s="91" t="str">
        <f>IF(AND(Y$16&gt;=Caminocrítico!$R$16+1,Y$16&lt;=Caminocrítico!$U$16),$G10,"")</f>
        <v/>
      </c>
      <c r="Z10" s="91" t="str">
        <f>IF(AND(Z$16&gt;=Caminocrítico!$R$16+1,Z$16&lt;=Caminocrítico!$U$16),$G10,"")</f>
        <v/>
      </c>
      <c r="AA10" s="91" t="str">
        <f>IF(AND(AA$16&gt;=Caminocrítico!$R$16+1,AA$16&lt;=Caminocrítico!$U$16),$G10,"")</f>
        <v/>
      </c>
      <c r="AB10" s="91" t="str">
        <f>IF(AND(AB$16&gt;=Caminocrítico!$R$16+1,AB$16&lt;=Caminocrítico!$U$16),$G10,"")</f>
        <v/>
      </c>
      <c r="AC10" s="91" t="str">
        <f>IF(AND(AC$16&gt;=Caminocrítico!$R$16+1,AC$16&lt;=Caminocrítico!$U$16),$G10,"")</f>
        <v/>
      </c>
      <c r="AD10" s="91" t="str">
        <f>IF(AND(AD$16&gt;=Caminocrítico!$R$16+1,AD$16&lt;=Caminocrítico!$U$16),$G10,"")</f>
        <v/>
      </c>
      <c r="AE10" s="91" t="str">
        <f>IF(AND(AE$16&gt;=Caminocrítico!$R$16+1,AE$16&lt;=Caminocrítico!$U$16),$G10,"")</f>
        <v/>
      </c>
      <c r="AF10" s="91" t="str">
        <f>IF(AND(AF$16&gt;=Caminocrítico!$R$16+1,AF$16&lt;=Caminocrítico!$U$16),$G10,"")</f>
        <v/>
      </c>
      <c r="AG10" s="91" t="str">
        <f>IF(AND(AG$16&gt;=Caminocrítico!$R$16+1,AG$16&lt;=Caminocrítico!$U$16),$G10,"")</f>
        <v/>
      </c>
      <c r="AH10" s="91" t="str">
        <f>IF(AND(AH$16&gt;=Caminocrítico!$R$16+1,AH$16&lt;=Caminocrítico!$U$16),$G10,"")</f>
        <v/>
      </c>
      <c r="AI10" s="91" t="str">
        <f>IF(AND(AI$16&gt;=Caminocrítico!$R$16+1,AI$16&lt;=Caminocrítico!$U$16),$G10,"")</f>
        <v/>
      </c>
      <c r="AJ10" s="91" t="str">
        <f>IF(AND(AJ$16&gt;=Caminocrítico!$R$16+1,AJ$16&lt;=Caminocrítico!$U$16),$G10,"")</f>
        <v/>
      </c>
      <c r="AK10" s="91" t="str">
        <f>IF(AND(AK$16&gt;=Caminocrítico!$R$16+1,AK$16&lt;=Caminocrítico!$U$16),$G10,"")</f>
        <v/>
      </c>
      <c r="AL10" s="52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</row>
    <row r="11" spans="1:84" ht="24.9" customHeight="1" thickBot="1">
      <c r="A11" s="47" t="s">
        <v>5</v>
      </c>
      <c r="B11" s="48">
        <f>Enunciado!C28</f>
        <v>2</v>
      </c>
      <c r="C11" s="48">
        <v>0</v>
      </c>
      <c r="D11" s="48">
        <f>Enunciado!E28</f>
        <v>1200</v>
      </c>
      <c r="E11" s="88">
        <v>0</v>
      </c>
      <c r="F11" s="117">
        <f t="shared" si="0"/>
        <v>2</v>
      </c>
      <c r="G11" s="118">
        <f t="shared" si="1"/>
        <v>1200</v>
      </c>
      <c r="H11" s="49"/>
      <c r="I11" s="42" t="s">
        <v>5</v>
      </c>
      <c r="J11" s="97" t="str">
        <f>IF(AND(J$16&gt;=Caminocrítico!$W$10+1,J$16&lt;=Caminocrítico!$Z$10),$G11,"")</f>
        <v/>
      </c>
      <c r="K11" s="97" t="str">
        <f>IF(AND(K$16&gt;=Caminocrítico!$W$10+1,K$16&lt;=Caminocrítico!$Z$10),$G11,"")</f>
        <v/>
      </c>
      <c r="L11" s="97" t="str">
        <f>IF(AND(L$16&gt;=Caminocrítico!$W$10+1,L$16&lt;=Caminocrítico!$Z$10),$G11,"")</f>
        <v/>
      </c>
      <c r="M11" s="97" t="str">
        <f>IF(AND(M$16&gt;=Caminocrítico!$W$10+1,M$16&lt;=Caminocrítico!$Z$10),$G11,"")</f>
        <v/>
      </c>
      <c r="N11" s="97" t="str">
        <f>IF(AND(N$16&gt;=Caminocrítico!$W$10+1,N$16&lt;=Caminocrítico!$Z$10),$G11,"")</f>
        <v/>
      </c>
      <c r="O11" s="97" t="str">
        <f>IF(AND(O$16&gt;=Caminocrítico!$W$10+1,O$16&lt;=Caminocrítico!$Z$10),$G11,"")</f>
        <v/>
      </c>
      <c r="P11" s="97" t="str">
        <f>IF(AND(P$16&gt;=Caminocrítico!$W$10+1,P$16&lt;=Caminocrítico!$Z$10),$G11,"")</f>
        <v/>
      </c>
      <c r="Q11" s="97" t="str">
        <f>IF(AND(Q$16&gt;=Caminocrítico!$W$10+1,Q$16&lt;=Caminocrítico!$Z$10),$G11,"")</f>
        <v/>
      </c>
      <c r="R11" s="97" t="str">
        <f>IF(AND(R$16&gt;=Caminocrítico!$W$10+1,R$16&lt;=Caminocrítico!$Z$10),$G11,"")</f>
        <v/>
      </c>
      <c r="S11" s="97" t="str">
        <f>IF(AND(S$16&gt;=Caminocrítico!$W$10+1,S$16&lt;=Caminocrítico!$Z$10),$G11,"")</f>
        <v/>
      </c>
      <c r="T11" s="97" t="str">
        <f>IF(AND(T$16&gt;=Caminocrítico!$W$10+1,T$16&lt;=Caminocrítico!$Z$10),$G11,"")</f>
        <v/>
      </c>
      <c r="U11" s="97">
        <f>IF(AND(U$16&gt;=Caminocrítico!$W$10+1,U$16&lt;=Caminocrítico!$Z$10),$G11,"")</f>
        <v>1200</v>
      </c>
      <c r="V11" s="97">
        <f>IF(AND(V$16&gt;=Caminocrítico!$W$10+1,V$16&lt;=Caminocrítico!$Z$10),$G11,"")</f>
        <v>1200</v>
      </c>
      <c r="W11" s="97" t="str">
        <f>IF(AND(W$16&gt;=Caminocrítico!$W$10+1,W$16&lt;=Caminocrítico!$Z$10),$G11,"")</f>
        <v/>
      </c>
      <c r="X11" s="97" t="str">
        <f>IF(AND(X$16&gt;=Caminocrítico!$W$10+1,X$16&lt;=Caminocrítico!$Z$10),$G11,"")</f>
        <v/>
      </c>
      <c r="Y11" s="97" t="str">
        <f>IF(AND(Y$16&gt;=Caminocrítico!$W$10+1,Y$16&lt;=Caminocrítico!$Z$10),$G11,"")</f>
        <v/>
      </c>
      <c r="Z11" s="97" t="str">
        <f>IF(AND(Z$16&gt;=Caminocrítico!$W$10+1,Z$16&lt;=Caminocrítico!$Z$10),$G11,"")</f>
        <v/>
      </c>
      <c r="AA11" s="97" t="str">
        <f>IF(AND(AA$16&gt;=Caminocrítico!$W$10+1,AA$16&lt;=Caminocrítico!$Z$10),$G11,"")</f>
        <v/>
      </c>
      <c r="AB11" s="97" t="str">
        <f>IF(AND(AB$16&gt;=Caminocrítico!$W$10+1,AB$16&lt;=Caminocrítico!$Z$10),$G11,"")</f>
        <v/>
      </c>
      <c r="AC11" s="97" t="str">
        <f>IF(AND(AC$16&gt;=Caminocrítico!$W$10+1,AC$16&lt;=Caminocrítico!$Z$10),$G11,"")</f>
        <v/>
      </c>
      <c r="AD11" s="97" t="str">
        <f>IF(AND(AD$16&gt;=Caminocrítico!$W$10+1,AD$16&lt;=Caminocrítico!$Z$10),$G11,"")</f>
        <v/>
      </c>
      <c r="AE11" s="97" t="str">
        <f>IF(AND(AE$16&gt;=Caminocrítico!$W$10+1,AE$16&lt;=Caminocrítico!$Z$10),$G11,"")</f>
        <v/>
      </c>
      <c r="AF11" s="97" t="str">
        <f>IF(AND(AF$16&gt;=Caminocrítico!$W$10+1,AF$16&lt;=Caminocrítico!$Z$10),$G11,"")</f>
        <v/>
      </c>
      <c r="AG11" s="97" t="str">
        <f>IF(AND(AG$16&gt;=Caminocrítico!$W$10+1,AG$16&lt;=Caminocrítico!$Z$10),$G11,"")</f>
        <v/>
      </c>
      <c r="AH11" s="97" t="str">
        <f>IF(AND(AH$16&gt;=Caminocrítico!$W$10+1,AH$16&lt;=Caminocrítico!$Z$10),$G11,"")</f>
        <v/>
      </c>
      <c r="AI11" s="97" t="str">
        <f>IF(AND(AI$16&gt;=Caminocrítico!$W$10+1,AI$16&lt;=Caminocrítico!$Z$10),$G11,"")</f>
        <v/>
      </c>
      <c r="AJ11" s="97" t="str">
        <f>IF(AND(AJ$16&gt;=Caminocrítico!$W$10+1,AJ$16&lt;=Caminocrítico!$Z$10),$G11,"")</f>
        <v/>
      </c>
      <c r="AK11" s="97" t="str">
        <f>IF(AND(AK$16&gt;=Caminocrítico!$W$10+1,AK$16&lt;=Caminocrítico!$Z$10),$G11,"")</f>
        <v/>
      </c>
      <c r="AL11" s="52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</row>
    <row r="12" spans="1:84" ht="24.9" customHeight="1" thickTop="1">
      <c r="A12" s="47" t="s">
        <v>4</v>
      </c>
      <c r="B12" s="48">
        <f>Enunciado!C29</f>
        <v>1</v>
      </c>
      <c r="C12" s="48">
        <v>0</v>
      </c>
      <c r="D12" s="48">
        <f>Enunciado!E29</f>
        <v>600</v>
      </c>
      <c r="E12" s="88">
        <v>0</v>
      </c>
      <c r="F12" s="117">
        <f t="shared" si="0"/>
        <v>1</v>
      </c>
      <c r="G12" s="118">
        <f t="shared" si="1"/>
        <v>600</v>
      </c>
      <c r="H12" s="49"/>
      <c r="I12" s="42" t="s">
        <v>4</v>
      </c>
      <c r="J12" s="96" t="str">
        <f>IF(AND(J$16&gt;=Caminocrítico!$X$17+1,J$16&lt;=Caminocrítico!$AA$17),$G12,"")</f>
        <v/>
      </c>
      <c r="K12" s="96" t="str">
        <f>IF(AND(K$16&gt;=Caminocrítico!$X$17+1,K$16&lt;=Caminocrítico!$AA$17),$G12,"")</f>
        <v/>
      </c>
      <c r="L12" s="96" t="str">
        <f>IF(AND(L$16&gt;=Caminocrítico!$X$17+1,L$16&lt;=Caminocrítico!$AA$17),$G12,"")</f>
        <v/>
      </c>
      <c r="M12" s="96" t="str">
        <f>IF(AND(M$16&gt;=Caminocrítico!$X$17+1,M$16&lt;=Caminocrítico!$AA$17),$G12,"")</f>
        <v/>
      </c>
      <c r="N12" s="96" t="str">
        <f>IF(AND(N$16&gt;=Caminocrítico!$X$17+1,N$16&lt;=Caminocrítico!$AA$17),$G12,"")</f>
        <v/>
      </c>
      <c r="O12" s="96" t="str">
        <f>IF(AND(O$16&gt;=Caminocrítico!$X$17+1,O$16&lt;=Caminocrítico!$AA$17),$G12,"")</f>
        <v/>
      </c>
      <c r="P12" s="96" t="str">
        <f>IF(AND(P$16&gt;=Caminocrítico!$X$17+1,P$16&lt;=Caminocrítico!$AA$17),$G12,"")</f>
        <v/>
      </c>
      <c r="Q12" s="96" t="str">
        <f>IF(AND(Q$16&gt;=Caminocrítico!$X$17+1,Q$16&lt;=Caminocrítico!$AA$17),$G12,"")</f>
        <v/>
      </c>
      <c r="R12" s="96" t="str">
        <f>IF(AND(R$16&gt;=Caminocrítico!$X$17+1,R$16&lt;=Caminocrítico!$AA$17),$G12,"")</f>
        <v/>
      </c>
      <c r="S12" s="96" t="str">
        <f>IF(AND(S$16&gt;=Caminocrítico!$X$17+1,S$16&lt;=Caminocrítico!$AA$17),$G12,"")</f>
        <v/>
      </c>
      <c r="T12" s="96" t="str">
        <f>IF(AND(T$16&gt;=Caminocrítico!$X$17+1,T$16&lt;=Caminocrítico!$AA$17),$G12,"")</f>
        <v/>
      </c>
      <c r="U12" s="96" t="str">
        <f>IF(AND(U$16&gt;=Caminocrítico!$X$17+1,U$16&lt;=Caminocrítico!$AA$17),$G12,"")</f>
        <v/>
      </c>
      <c r="V12" s="96" t="str">
        <f>IF(AND(V$16&gt;=Caminocrítico!$X$17+1,V$16&lt;=Caminocrítico!$AA$17),$G12,"")</f>
        <v/>
      </c>
      <c r="W12" s="96">
        <f>IF(AND(W$16&gt;=Caminocrítico!$X$17+1,W$16&lt;=Caminocrítico!$AA$17),$G12,"")</f>
        <v>600</v>
      </c>
      <c r="X12" s="96" t="str">
        <f>IF(AND(X$16&gt;=Caminocrítico!$X$17+1,X$16&lt;=Caminocrítico!$AA$17),$G12,"")</f>
        <v/>
      </c>
      <c r="Y12" s="96" t="str">
        <f>IF(AND(Y$16&gt;=Caminocrítico!$X$17+1,Y$16&lt;=Caminocrítico!$AA$17),$G12,"")</f>
        <v/>
      </c>
      <c r="Z12" s="96" t="str">
        <f>IF(AND(Z$16&gt;=Caminocrítico!$X$17+1,Z$16&lt;=Caminocrítico!$AA$17),$G12,"")</f>
        <v/>
      </c>
      <c r="AA12" s="96" t="str">
        <f>IF(AND(AA$16&gt;=Caminocrítico!$X$17+1,AA$16&lt;=Caminocrítico!$AA$17),$G12,"")</f>
        <v/>
      </c>
      <c r="AB12" s="96" t="str">
        <f>IF(AND(AB$16&gt;=Caminocrítico!$X$17+1,AB$16&lt;=Caminocrítico!$AA$17),$G12,"")</f>
        <v/>
      </c>
      <c r="AC12" s="96" t="str">
        <f>IF(AND(AC$16&gt;=Caminocrítico!$X$17+1,AC$16&lt;=Caminocrítico!$AA$17),$G12,"")</f>
        <v/>
      </c>
      <c r="AD12" s="96" t="str">
        <f>IF(AND(AD$16&gt;=Caminocrítico!$X$17+1,AD$16&lt;=Caminocrítico!$AA$17),$G12,"")</f>
        <v/>
      </c>
      <c r="AE12" s="96" t="str">
        <f>IF(AND(AE$16&gt;=Caminocrítico!$X$17+1,AE$16&lt;=Caminocrítico!$AA$17),$G12,"")</f>
        <v/>
      </c>
      <c r="AF12" s="96" t="str">
        <f>IF(AND(AF$16&gt;=Caminocrítico!$X$17+1,AF$16&lt;=Caminocrítico!$AA$17),$G12,"")</f>
        <v/>
      </c>
      <c r="AG12" s="96" t="str">
        <f>IF(AND(AG$16&gt;=Caminocrítico!$X$17+1,AG$16&lt;=Caminocrítico!$AA$17),$G12,"")</f>
        <v/>
      </c>
      <c r="AH12" s="96" t="str">
        <f>IF(AND(AH$16&gt;=Caminocrítico!$X$17+1,AH$16&lt;=Caminocrítico!$AA$17),$G12,"")</f>
        <v/>
      </c>
      <c r="AI12" s="96" t="str">
        <f>IF(AND(AI$16&gt;=Caminocrítico!$X$17+1,AI$16&lt;=Caminocrítico!$AA$17),$G12,"")</f>
        <v/>
      </c>
      <c r="AJ12" s="96" t="str">
        <f>IF(AND(AJ$16&gt;=Caminocrítico!$X$17+1,AJ$16&lt;=Caminocrítico!$AA$17),$G12,"")</f>
        <v/>
      </c>
      <c r="AK12" s="96" t="str">
        <f>IF(AND(AK$16&gt;=Caminocrítico!$X$17+1,AK$16&lt;=Caminocrítico!$AA$17),$G12,"")</f>
        <v/>
      </c>
      <c r="AL12" s="52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</row>
    <row r="13" spans="1:84" ht="24.9" customHeight="1">
      <c r="A13" s="47" t="s">
        <v>8</v>
      </c>
      <c r="B13" s="48">
        <f>Enunciado!C30</f>
        <v>3</v>
      </c>
      <c r="C13" s="48">
        <v>0</v>
      </c>
      <c r="D13" s="48">
        <f>Enunciado!E30</f>
        <v>1800</v>
      </c>
      <c r="E13" s="88">
        <v>0</v>
      </c>
      <c r="F13" s="117">
        <f t="shared" si="0"/>
        <v>3</v>
      </c>
      <c r="G13" s="118">
        <f t="shared" si="1"/>
        <v>1800</v>
      </c>
      <c r="H13" s="49"/>
      <c r="I13" s="42" t="s">
        <v>8</v>
      </c>
      <c r="J13" s="91" t="str">
        <f>IF(AND(J$16&gt;=Caminocrítico!$AC$12+1,J$16&lt;=Caminocrítico!$AF$12),$G13,"")</f>
        <v/>
      </c>
      <c r="K13" s="91" t="str">
        <f>IF(AND(K$16&gt;=Caminocrítico!$AC$12+1,K$16&lt;=Caminocrítico!$AF$12),$G13,"")</f>
        <v/>
      </c>
      <c r="L13" s="91" t="str">
        <f>IF(AND(L$16&gt;=Caminocrítico!$AC$12+1,L$16&lt;=Caminocrítico!$AF$12),$G13,"")</f>
        <v/>
      </c>
      <c r="M13" s="91" t="str">
        <f>IF(AND(M$16&gt;=Caminocrítico!$AC$12+1,M$16&lt;=Caminocrítico!$AF$12),$G13,"")</f>
        <v/>
      </c>
      <c r="N13" s="91" t="str">
        <f>IF(AND(N$16&gt;=Caminocrítico!$AC$12+1,N$16&lt;=Caminocrítico!$AF$12),$G13,"")</f>
        <v/>
      </c>
      <c r="O13" s="91" t="str">
        <f>IF(AND(O$16&gt;=Caminocrítico!$AC$12+1,O$16&lt;=Caminocrítico!$AF$12),$G13,"")</f>
        <v/>
      </c>
      <c r="P13" s="91" t="str">
        <f>IF(AND(P$16&gt;=Caminocrítico!$AC$12+1,P$16&lt;=Caminocrítico!$AF$12),$G13,"")</f>
        <v/>
      </c>
      <c r="Q13" s="91" t="str">
        <f>IF(AND(Q$16&gt;=Caminocrítico!$AC$12+1,Q$16&lt;=Caminocrítico!$AF$12),$G13,"")</f>
        <v/>
      </c>
      <c r="R13" s="91" t="str">
        <f>IF(AND(R$16&gt;=Caminocrítico!$AC$12+1,R$16&lt;=Caminocrítico!$AF$12),$G13,"")</f>
        <v/>
      </c>
      <c r="S13" s="91" t="str">
        <f>IF(AND(S$16&gt;=Caminocrítico!$AC$12+1,S$16&lt;=Caminocrítico!$AF$12),$G13,"")</f>
        <v/>
      </c>
      <c r="T13" s="91" t="str">
        <f>IF(AND(T$16&gt;=Caminocrítico!$AC$12+1,T$16&lt;=Caminocrítico!$AF$12),$G13,"")</f>
        <v/>
      </c>
      <c r="U13" s="91" t="str">
        <f>IF(AND(U$16&gt;=Caminocrítico!$AC$12+1,U$16&lt;=Caminocrítico!$AF$12),$G13,"")</f>
        <v/>
      </c>
      <c r="V13" s="91" t="str">
        <f>IF(AND(V$16&gt;=Caminocrítico!$AC$12+1,V$16&lt;=Caminocrítico!$AF$12),$G13,"")</f>
        <v/>
      </c>
      <c r="W13" s="91">
        <f>IF(AND(W$16&gt;=Caminocrítico!$AC$12+1,W$16&lt;=Caminocrítico!$AF$12),$G13,"")</f>
        <v>1800</v>
      </c>
      <c r="X13" s="91">
        <f>IF(AND(X$16&gt;=Caminocrítico!$AC$12+1,X$16&lt;=Caminocrítico!$AF$12),$G13,"")</f>
        <v>1800</v>
      </c>
      <c r="Y13" s="91">
        <f>IF(AND(Y$16&gt;=Caminocrítico!$AC$12+1,Y$16&lt;=Caminocrítico!$AF$12),$G13,"")</f>
        <v>1800</v>
      </c>
      <c r="Z13" s="91" t="str">
        <f>IF(AND(Z$16&gt;=Caminocrítico!$AC$12+1,Z$16&lt;=Caminocrítico!$AF$12),$G13,"")</f>
        <v/>
      </c>
      <c r="AA13" s="91" t="str">
        <f>IF(AND(AA$16&gt;=Caminocrítico!$AC$12+1,AA$16&lt;=Caminocrítico!$AF$12),$G13,"")</f>
        <v/>
      </c>
      <c r="AB13" s="91" t="str">
        <f>IF(AND(AB$16&gt;=Caminocrítico!$AC$12+1,AB$16&lt;=Caminocrítico!$AF$12),$G13,"")</f>
        <v/>
      </c>
      <c r="AC13" s="91" t="str">
        <f>IF(AND(AC$16&gt;=Caminocrítico!$AC$12+1,AC$16&lt;=Caminocrítico!$AF$12),$G13,"")</f>
        <v/>
      </c>
      <c r="AD13" s="91" t="str">
        <f>IF(AND(AD$16&gt;=Caminocrítico!$AC$12+1,AD$16&lt;=Caminocrítico!$AF$12),$G13,"")</f>
        <v/>
      </c>
      <c r="AE13" s="91" t="str">
        <f>IF(AND(AE$16&gt;=Caminocrítico!$AC$12+1,AE$16&lt;=Caminocrítico!$AF$12),$G13,"")</f>
        <v/>
      </c>
      <c r="AF13" s="91" t="str">
        <f>IF(AND(AF$16&gt;=Caminocrítico!$AC$12+1,AF$16&lt;=Caminocrítico!$AF$12),$G13,"")</f>
        <v/>
      </c>
      <c r="AG13" s="91" t="str">
        <f>IF(AND(AG$16&gt;=Caminocrítico!$AC$12+1,AG$16&lt;=Caminocrítico!$AF$12),$G13,"")</f>
        <v/>
      </c>
      <c r="AH13" s="91" t="str">
        <f>IF(AND(AH$16&gt;=Caminocrítico!$AC$12+1,AH$16&lt;=Caminocrítico!$AF$12),$G13,"")</f>
        <v/>
      </c>
      <c r="AI13" s="91" t="str">
        <f>IF(AND(AI$16&gt;=Caminocrítico!$AC$12+1,AI$16&lt;=Caminocrítico!$AF$12),$G13,"")</f>
        <v/>
      </c>
      <c r="AJ13" s="91" t="str">
        <f>IF(AND(AJ$16&gt;=Caminocrítico!$AC$12+1,AJ$16&lt;=Caminocrítico!$AF$12),$G13,"")</f>
        <v/>
      </c>
      <c r="AK13" s="91" t="str">
        <f>IF(AND(AK$16&gt;=Caminocrítico!$AC$12+1,AK$16&lt;=Caminocrítico!$AF$12),$G13,"")</f>
        <v/>
      </c>
      <c r="AL13" s="53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</row>
    <row r="14" spans="1:84" ht="24.9" customHeight="1">
      <c r="A14" s="47" t="s">
        <v>14</v>
      </c>
      <c r="B14" s="48">
        <f>Enunciado!C31</f>
        <v>3</v>
      </c>
      <c r="C14" s="48">
        <v>0</v>
      </c>
      <c r="D14" s="48">
        <f>Enunciado!E31</f>
        <v>1800</v>
      </c>
      <c r="E14" s="88">
        <v>0</v>
      </c>
      <c r="F14" s="117">
        <f t="shared" si="0"/>
        <v>3</v>
      </c>
      <c r="G14" s="118">
        <f t="shared" si="1"/>
        <v>1800</v>
      </c>
      <c r="H14" s="49"/>
      <c r="I14" s="42" t="s">
        <v>14</v>
      </c>
      <c r="J14" s="91" t="str">
        <f>IF(AND(J$16&gt;=Caminocrítico!$X$23+1,J$16&lt;=Caminocrítico!$AA$23),$G14,"")</f>
        <v/>
      </c>
      <c r="K14" s="91" t="str">
        <f>IF(AND(K$16&gt;=Caminocrítico!$X$23+1,K$16&lt;=Caminocrítico!$AA$23),$G14,"")</f>
        <v/>
      </c>
      <c r="L14" s="91" t="str">
        <f>IF(AND(L$16&gt;=Caminocrítico!$X$23+1,L$16&lt;=Caminocrítico!$AA$23),$G14,"")</f>
        <v/>
      </c>
      <c r="M14" s="91" t="str">
        <f>IF(AND(M$16&gt;=Caminocrítico!$X$23+1,M$16&lt;=Caminocrítico!$AA$23),$G14,"")</f>
        <v/>
      </c>
      <c r="N14" s="91" t="str">
        <f>IF(AND(N$16&gt;=Caminocrítico!$X$23+1,N$16&lt;=Caminocrítico!$AA$23),$G14,"")</f>
        <v/>
      </c>
      <c r="O14" s="91" t="str">
        <f>IF(AND(O$16&gt;=Caminocrítico!$X$23+1,O$16&lt;=Caminocrítico!$AA$23),$G14,"")</f>
        <v/>
      </c>
      <c r="P14" s="91" t="str">
        <f>IF(AND(P$16&gt;=Caminocrítico!$X$23+1,P$16&lt;=Caminocrítico!$AA$23),$G14,"")</f>
        <v/>
      </c>
      <c r="Q14" s="91" t="str">
        <f>IF(AND(Q$16&gt;=Caminocrítico!$X$23+1,Q$16&lt;=Caminocrítico!$AA$23),$G14,"")</f>
        <v/>
      </c>
      <c r="R14" s="91" t="str">
        <f>IF(AND(R$16&gt;=Caminocrítico!$X$23+1,R$16&lt;=Caminocrítico!$AA$23),$G14,"")</f>
        <v/>
      </c>
      <c r="S14" s="91" t="str">
        <f>IF(AND(S$16&gt;=Caminocrítico!$X$23+1,S$16&lt;=Caminocrítico!$AA$23),$G14,"")</f>
        <v/>
      </c>
      <c r="T14" s="91" t="str">
        <f>IF(AND(T$16&gt;=Caminocrítico!$X$23+1,T$16&lt;=Caminocrítico!$AA$23),$G14,"")</f>
        <v/>
      </c>
      <c r="U14" s="91" t="str">
        <f>IF(AND(U$16&gt;=Caminocrítico!$X$23+1,U$16&lt;=Caminocrítico!$AA$23),$G14,"")</f>
        <v/>
      </c>
      <c r="V14" s="91" t="str">
        <f>IF(AND(V$16&gt;=Caminocrítico!$X$23+1,V$16&lt;=Caminocrítico!$AA$23),$G14,"")</f>
        <v/>
      </c>
      <c r="W14" s="91" t="str">
        <f>IF(AND(W$16&gt;=Caminocrítico!$X$23+1,W$16&lt;=Caminocrítico!$AA$23),$G14,"")</f>
        <v/>
      </c>
      <c r="X14" s="91">
        <f>IF(AND(X$16&gt;=Caminocrítico!$X$23+1,X$16&lt;=Caminocrítico!$AA$23),$G14,"")</f>
        <v>1800</v>
      </c>
      <c r="Y14" s="91">
        <f>IF(AND(Y$16&gt;=Caminocrítico!$X$23+1,Y$16&lt;=Caminocrítico!$AA$23),$G14,"")</f>
        <v>1800</v>
      </c>
      <c r="Z14" s="91">
        <f>IF(AND(Z$16&gt;=Caminocrítico!$X$23+1,Z$16&lt;=Caminocrítico!$AA$23),$G14,"")</f>
        <v>1800</v>
      </c>
      <c r="AA14" s="91" t="str">
        <f>IF(AND(AA$16&gt;=Caminocrítico!$X$23+1,AA$16&lt;=Caminocrítico!$AA$23),$G14,"")</f>
        <v/>
      </c>
      <c r="AB14" s="91" t="str">
        <f>IF(AND(AB$16&gt;=Caminocrítico!$X$23+1,AB$16&lt;=Caminocrítico!$AA$23),$G14,"")</f>
        <v/>
      </c>
      <c r="AC14" s="91" t="str">
        <f>IF(AND(AC$16&gt;=Caminocrítico!$X$23+1,AC$16&lt;=Caminocrítico!$AA$23),$G14,"")</f>
        <v/>
      </c>
      <c r="AD14" s="91" t="str">
        <f>IF(AND(AD$16&gt;=Caminocrítico!$X$23+1,AD$16&lt;=Caminocrítico!$AA$23),$G14,"")</f>
        <v/>
      </c>
      <c r="AE14" s="91" t="str">
        <f>IF(AND(AE$16&gt;=Caminocrítico!$X$23+1,AE$16&lt;=Caminocrítico!$AA$23),$G14,"")</f>
        <v/>
      </c>
      <c r="AF14" s="91" t="str">
        <f>IF(AND(AF$16&gt;=Caminocrítico!$X$23+1,AF$16&lt;=Caminocrítico!$AA$23),$G14,"")</f>
        <v/>
      </c>
      <c r="AG14" s="91" t="str">
        <f>IF(AND(AG$16&gt;=Caminocrítico!$X$23+1,AG$16&lt;=Caminocrítico!$AA$23),$G14,"")</f>
        <v/>
      </c>
      <c r="AH14" s="91" t="str">
        <f>IF(AND(AH$16&gt;=Caminocrítico!$X$23+1,AH$16&lt;=Caminocrítico!$AA$23),$G14,"")</f>
        <v/>
      </c>
      <c r="AI14" s="91" t="str">
        <f>IF(AND(AI$16&gt;=Caminocrítico!$X$23+1,AI$16&lt;=Caminocrítico!$AA$23),$G14,"")</f>
        <v/>
      </c>
      <c r="AJ14" s="91" t="str">
        <f>IF(AND(AJ$16&gt;=Caminocrítico!$X$23+1,AJ$16&lt;=Caminocrítico!$AA$23),$G14,"")</f>
        <v/>
      </c>
      <c r="AK14" s="91" t="str">
        <f>IF(AND(AK$16&gt;=Caminocrítico!$X$23+1,AK$16&lt;=Caminocrítico!$AA$23),$G14,"")</f>
        <v/>
      </c>
      <c r="AL14" s="5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</row>
    <row r="15" spans="1:84" ht="24.9" customHeight="1">
      <c r="A15" s="47" t="s">
        <v>15</v>
      </c>
      <c r="B15" s="48">
        <f>Enunciado!C32</f>
        <v>2</v>
      </c>
      <c r="C15" s="48">
        <v>0</v>
      </c>
      <c r="D15" s="48">
        <f>Enunciado!E32</f>
        <v>1200</v>
      </c>
      <c r="E15" s="88">
        <v>0</v>
      </c>
      <c r="F15" s="117">
        <f t="shared" si="0"/>
        <v>2</v>
      </c>
      <c r="G15" s="118">
        <f t="shared" si="1"/>
        <v>1200</v>
      </c>
      <c r="H15" s="49"/>
      <c r="I15" s="42" t="s">
        <v>15</v>
      </c>
      <c r="J15" s="91" t="str">
        <f>IF(AND(J$16&gt;=Caminocrítico!$AC$20+1,J$16&lt;=Caminocrítico!$AF$20),$G15,"")</f>
        <v/>
      </c>
      <c r="K15" s="91" t="str">
        <f>IF(AND(K$16&gt;=Caminocrítico!$AC$20+1,K$16&lt;=Caminocrítico!$AF$20),$G15,"")</f>
        <v/>
      </c>
      <c r="L15" s="91" t="str">
        <f>IF(AND(L$16&gt;=Caminocrítico!$AC$20+1,L$16&lt;=Caminocrítico!$AF$20),$G15,"")</f>
        <v/>
      </c>
      <c r="M15" s="91" t="str">
        <f>IF(AND(M$16&gt;=Caminocrítico!$AC$20+1,M$16&lt;=Caminocrítico!$AF$20),$G15,"")</f>
        <v/>
      </c>
      <c r="N15" s="91" t="str">
        <f>IF(AND(N$16&gt;=Caminocrítico!$AC$20+1,N$16&lt;=Caminocrítico!$AF$20),$G15,"")</f>
        <v/>
      </c>
      <c r="O15" s="91" t="str">
        <f>IF(AND(O$16&gt;=Caminocrítico!$AC$20+1,O$16&lt;=Caminocrítico!$AF$20),$G15,"")</f>
        <v/>
      </c>
      <c r="P15" s="91" t="str">
        <f>IF(AND(P$16&gt;=Caminocrítico!$AC$20+1,P$16&lt;=Caminocrítico!$AF$20),$G15,"")</f>
        <v/>
      </c>
      <c r="Q15" s="91" t="str">
        <f>IF(AND(Q$16&gt;=Caminocrítico!$AC$20+1,Q$16&lt;=Caminocrítico!$AF$20),$G15,"")</f>
        <v/>
      </c>
      <c r="R15" s="91" t="str">
        <f>IF(AND(R$16&gt;=Caminocrítico!$AC$20+1,R$16&lt;=Caminocrítico!$AF$20),$G15,"")</f>
        <v/>
      </c>
      <c r="S15" s="91" t="str">
        <f>IF(AND(S$16&gt;=Caminocrítico!$AC$20+1,S$16&lt;=Caminocrítico!$AF$20),$G15,"")</f>
        <v/>
      </c>
      <c r="T15" s="91" t="str">
        <f>IF(AND(T$16&gt;=Caminocrítico!$AC$20+1,T$16&lt;=Caminocrítico!$AF$20),$G15,"")</f>
        <v/>
      </c>
      <c r="U15" s="91" t="str">
        <f>IF(AND(U$16&gt;=Caminocrítico!$AC$20+1,U$16&lt;=Caminocrítico!$AF$20),$G15,"")</f>
        <v/>
      </c>
      <c r="V15" s="91" t="str">
        <f>IF(AND(V$16&gt;=Caminocrítico!$AC$20+1,V$16&lt;=Caminocrítico!$AF$20),$G15,"")</f>
        <v/>
      </c>
      <c r="W15" s="91" t="str">
        <f>IF(AND(W$16&gt;=Caminocrítico!$AC$20+1,W$16&lt;=Caminocrítico!$AF$20),$G15,"")</f>
        <v/>
      </c>
      <c r="X15" s="91" t="str">
        <f>IF(AND(X$16&gt;=Caminocrítico!$AC$20+1,X$16&lt;=Caminocrítico!$AF$20),$G15,"")</f>
        <v/>
      </c>
      <c r="Y15" s="91" t="str">
        <f>IF(AND(Y$16&gt;=Caminocrítico!$AC$20+1,Y$16&lt;=Caminocrítico!$AF$20),$G15,"")</f>
        <v/>
      </c>
      <c r="Z15" s="91">
        <f>IF(AND(Z$16&gt;=Caminocrítico!$AC$20+1,Z$16&lt;=Caminocrítico!$AF$20),$G15,"")</f>
        <v>1200</v>
      </c>
      <c r="AA15" s="91">
        <f>IF(AND(AA$16&gt;=Caminocrítico!$AC$20+1,AA$16&lt;=Caminocrítico!$AF$20),$G15,"")</f>
        <v>1200</v>
      </c>
      <c r="AB15" s="91" t="str">
        <f>IF(AND(AB$16&gt;=Caminocrítico!$AC$20+1,AB$16&lt;=Caminocrítico!$AF$20),$G15,"")</f>
        <v/>
      </c>
      <c r="AC15" s="91" t="str">
        <f>IF(AND(AC$16&gt;=Caminocrítico!$AC$20+1,AC$16&lt;=Caminocrítico!$AF$20),$G15,"")</f>
        <v/>
      </c>
      <c r="AD15" s="91" t="str">
        <f>IF(AND(AD$16&gt;=Caminocrítico!$AC$20+1,AD$16&lt;=Caminocrítico!$AF$20),$G15,"")</f>
        <v/>
      </c>
      <c r="AE15" s="91" t="str">
        <f>IF(AND(AE$16&gt;=Caminocrítico!$AC$20+1,AE$16&lt;=Caminocrítico!$AF$20),$G15,"")</f>
        <v/>
      </c>
      <c r="AF15" s="91" t="str">
        <f>IF(AND(AF$16&gt;=Caminocrítico!$AC$20+1,AF$16&lt;=Caminocrítico!$AF$20),$G15,"")</f>
        <v/>
      </c>
      <c r="AG15" s="91" t="str">
        <f>IF(AND(AG$16&gt;=Caminocrítico!$AC$20+1,AG$16&lt;=Caminocrítico!$AF$20),$G15,"")</f>
        <v/>
      </c>
      <c r="AH15" s="91" t="str">
        <f>IF(AND(AH$16&gt;=Caminocrítico!$AC$20+1,AH$16&lt;=Caminocrítico!$AF$20),$G15,"")</f>
        <v/>
      </c>
      <c r="AI15" s="91" t="str">
        <f>IF(AND(AI$16&gt;=Caminocrítico!$AC$20+1,AI$16&lt;=Caminocrítico!$AF$20),$G15,"")</f>
        <v/>
      </c>
      <c r="AJ15" s="91" t="str">
        <f>IF(AND(AJ$16&gt;=Caminocrítico!$AC$20+1,AJ$16&lt;=Caminocrítico!$AF$20),$G15,"")</f>
        <v/>
      </c>
      <c r="AK15" s="91" t="str">
        <f>IF(AND(AK$16&gt;=Caminocrítico!$AC$20+1,AK$16&lt;=Caminocrítico!$AF$20),$G15,"")</f>
        <v/>
      </c>
      <c r="AL15" s="51"/>
    </row>
    <row r="16" spans="1:84" s="15" customFormat="1" ht="24.9" customHeight="1">
      <c r="J16" s="50">
        <v>1</v>
      </c>
      <c r="K16" s="50">
        <v>2</v>
      </c>
      <c r="L16" s="50">
        <v>3</v>
      </c>
      <c r="M16" s="50">
        <v>4</v>
      </c>
      <c r="N16" s="50">
        <v>5</v>
      </c>
      <c r="O16" s="50">
        <v>6</v>
      </c>
      <c r="P16" s="50">
        <v>7</v>
      </c>
      <c r="Q16" s="50">
        <v>8</v>
      </c>
      <c r="R16" s="50">
        <v>9</v>
      </c>
      <c r="S16" s="50">
        <v>10</v>
      </c>
      <c r="T16" s="50">
        <v>11</v>
      </c>
      <c r="U16" s="50">
        <v>12</v>
      </c>
      <c r="V16" s="50">
        <v>13</v>
      </c>
      <c r="W16" s="50">
        <v>14</v>
      </c>
      <c r="X16" s="50">
        <v>15</v>
      </c>
      <c r="Y16" s="50">
        <v>16</v>
      </c>
      <c r="Z16" s="50">
        <v>17</v>
      </c>
      <c r="AA16" s="50">
        <v>18</v>
      </c>
      <c r="AB16" s="50">
        <v>19</v>
      </c>
      <c r="AC16" s="50">
        <v>20</v>
      </c>
      <c r="AD16" s="50">
        <v>21</v>
      </c>
      <c r="AE16" s="50">
        <v>22</v>
      </c>
      <c r="AF16" s="50">
        <v>23</v>
      </c>
      <c r="AG16" s="50">
        <v>24</v>
      </c>
      <c r="AH16" s="50">
        <v>25</v>
      </c>
      <c r="AI16" s="50">
        <v>26</v>
      </c>
      <c r="AJ16" s="50">
        <v>27</v>
      </c>
      <c r="AK16" s="50">
        <v>28</v>
      </c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4"/>
      <c r="BA16" s="4"/>
      <c r="BB16" s="4"/>
      <c r="BC16" s="4"/>
      <c r="BD16" s="4"/>
      <c r="BE16" s="4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</row>
    <row r="17" spans="1:52" ht="24.9" customHeight="1">
      <c r="F17" s="129" t="s">
        <v>18</v>
      </c>
      <c r="G17" s="130"/>
      <c r="H17" s="130"/>
      <c r="I17" s="131"/>
      <c r="J17" s="78">
        <f>IF(J2&lt;&gt;"",1,0)*$D2/$B2+IF(J3&lt;&gt;"",1,0)*$D3/$B3+IF(J4&lt;&gt;"",1,0)*$D4/$B4+IF(J5&lt;&gt;"",1,0)*$D5/$B5+IF(J6&lt;&gt;"",1,0)*$D6/$B6+IF(J7&lt;&gt;"",1,0)*$D7/$B7+IF(J8&lt;&gt;"",1,0)*$D8/$B8+IF(J9&lt;&gt;"",1,0)*$D9/$B9+IF(J10&lt;&gt;"",1,0)*$D10/$B10+IF(J11&lt;&gt;"",1,0)*$D11/$B11+IF(J12&lt;&gt;"",1,0)*$D12/$B12+IF(J13&lt;&gt;"",1,0)*$D13/$B13+IF(J14&lt;&gt;"",1,0)*$D14/$B14+IF(J15&lt;&gt;"",1,0)*$D15/$B15</f>
        <v>1200</v>
      </c>
      <c r="K17" s="78">
        <f t="shared" ref="K17:AL17" si="2">IF(K2&lt;&gt;"",1,0)*$D2/$B2+IF(K3&lt;&gt;"",1,0)*$D3/$B3+IF(K4&lt;&gt;"",1,0)*$D4/$B4+IF(K5&lt;&gt;"",1,0)*$D5/$B5+IF(K6&lt;&gt;"",1,0)*$D6/$B6+IF(K7&lt;&gt;"",1,0)*$D7/$B7+IF(K8&lt;&gt;"",1,0)*$D8/$B8+IF(K9&lt;&gt;"",1,0)*$D9/$B9+IF(K10&lt;&gt;"",1,0)*$D10/$B10+IF(K11&lt;&gt;"",1,0)*$D11/$B11+IF(K12&lt;&gt;"",1,0)*$D12/$B12+IF(K13&lt;&gt;"",1,0)*$D13/$B13+IF(K14&lt;&gt;"",1,0)*$D14/$B14+IF(K15&lt;&gt;"",1,0)*$D15/$B15</f>
        <v>1200</v>
      </c>
      <c r="L17" s="78">
        <f t="shared" si="2"/>
        <v>1800</v>
      </c>
      <c r="M17" s="78">
        <f t="shared" si="2"/>
        <v>1800</v>
      </c>
      <c r="N17" s="78">
        <f t="shared" si="2"/>
        <v>1800</v>
      </c>
      <c r="O17" s="78">
        <f t="shared" si="2"/>
        <v>1800</v>
      </c>
      <c r="P17" s="78">
        <f t="shared" si="2"/>
        <v>1200</v>
      </c>
      <c r="Q17" s="78">
        <f t="shared" si="2"/>
        <v>1200</v>
      </c>
      <c r="R17" s="78">
        <f t="shared" si="2"/>
        <v>600</v>
      </c>
      <c r="S17" s="78">
        <f t="shared" si="2"/>
        <v>600</v>
      </c>
      <c r="T17" s="78">
        <f t="shared" si="2"/>
        <v>600</v>
      </c>
      <c r="U17" s="78">
        <f t="shared" si="2"/>
        <v>600</v>
      </c>
      <c r="V17" s="78">
        <f t="shared" si="2"/>
        <v>600</v>
      </c>
      <c r="W17" s="78">
        <f t="shared" si="2"/>
        <v>1200</v>
      </c>
      <c r="X17" s="78">
        <f t="shared" si="2"/>
        <v>1200</v>
      </c>
      <c r="Y17" s="78">
        <f t="shared" si="2"/>
        <v>1200</v>
      </c>
      <c r="Z17" s="78">
        <f t="shared" si="2"/>
        <v>1200</v>
      </c>
      <c r="AA17" s="78">
        <f t="shared" si="2"/>
        <v>600</v>
      </c>
      <c r="AB17" s="78">
        <f t="shared" si="2"/>
        <v>0</v>
      </c>
      <c r="AC17" s="78">
        <f t="shared" si="2"/>
        <v>0</v>
      </c>
      <c r="AD17" s="78">
        <f t="shared" si="2"/>
        <v>0</v>
      </c>
      <c r="AE17" s="78">
        <f t="shared" si="2"/>
        <v>0</v>
      </c>
      <c r="AF17" s="78">
        <f t="shared" si="2"/>
        <v>0</v>
      </c>
      <c r="AG17" s="78">
        <f t="shared" si="2"/>
        <v>0</v>
      </c>
      <c r="AH17" s="78">
        <f t="shared" si="2"/>
        <v>0</v>
      </c>
      <c r="AI17" s="78">
        <f t="shared" si="2"/>
        <v>0</v>
      </c>
      <c r="AJ17" s="78">
        <f t="shared" si="2"/>
        <v>0</v>
      </c>
      <c r="AK17" s="78">
        <f t="shared" si="2"/>
        <v>0</v>
      </c>
      <c r="AL17" s="55">
        <f t="shared" si="2"/>
        <v>0</v>
      </c>
    </row>
    <row r="18" spans="1:52" ht="24.9" customHeight="1">
      <c r="F18" s="132" t="s">
        <v>24</v>
      </c>
      <c r="G18" s="133"/>
      <c r="H18" s="133"/>
      <c r="I18" s="134"/>
      <c r="J18" s="78">
        <f>IF(J17&lt;&gt;0,SUM($J17:J17),0)</f>
        <v>1200</v>
      </c>
      <c r="K18" s="78">
        <f>IF(K17&lt;&gt;0,SUM($J17:K17),0)</f>
        <v>2400</v>
      </c>
      <c r="L18" s="78">
        <f>IF(L17&lt;&gt;0,SUM($J17:L17),0)</f>
        <v>4200</v>
      </c>
      <c r="M18" s="78">
        <f>IF(M17&lt;&gt;0,SUM($J17:M17),0)</f>
        <v>6000</v>
      </c>
      <c r="N18" s="78">
        <f>IF(N17&lt;&gt;0,SUM($J17:N17),0)</f>
        <v>7800</v>
      </c>
      <c r="O18" s="78">
        <f>IF(O17&lt;&gt;0,SUM($J17:O17),0)</f>
        <v>9600</v>
      </c>
      <c r="P18" s="78">
        <f>IF(P17&lt;&gt;0,SUM($J17:P17),0)</f>
        <v>10800</v>
      </c>
      <c r="Q18" s="78">
        <f>IF(Q17&lt;&gt;0,SUM($J17:Q17),0)</f>
        <v>12000</v>
      </c>
      <c r="R18" s="78">
        <f>IF(R17&lt;&gt;0,SUM($J17:R17),0)</f>
        <v>12600</v>
      </c>
      <c r="S18" s="78">
        <f>IF(S17&lt;&gt;0,SUM($J17:S17),0)</f>
        <v>13200</v>
      </c>
      <c r="T18" s="78">
        <f>IF(T17&lt;&gt;0,SUM($J17:T17),0)</f>
        <v>13800</v>
      </c>
      <c r="U18" s="78">
        <f>IF(U17&lt;&gt;0,SUM($J17:U17),0)</f>
        <v>14400</v>
      </c>
      <c r="V18" s="78">
        <f>IF(V17&lt;&gt;0,SUM($J17:V17),0)</f>
        <v>15000</v>
      </c>
      <c r="W18" s="78">
        <f>IF(W17&lt;&gt;0,SUM($J17:W17),0)</f>
        <v>16200</v>
      </c>
      <c r="X18" s="78">
        <f>IF(X17&lt;&gt;0,SUM($J17:X17),0)</f>
        <v>17400</v>
      </c>
      <c r="Y18" s="78">
        <f>IF(Y17&lt;&gt;0,SUM($J17:Y17),0)</f>
        <v>18600</v>
      </c>
      <c r="Z18" s="78">
        <f>IF(Z17&lt;&gt;0,SUM($J17:Z17),0)</f>
        <v>19800</v>
      </c>
      <c r="AA18" s="78">
        <f>IF(AA17&lt;&gt;0,SUM($J17:AA17),0)</f>
        <v>20400</v>
      </c>
      <c r="AB18" s="78">
        <f>IF(AB17&lt;&gt;0,SUM($J17:AB17),0)</f>
        <v>0</v>
      </c>
      <c r="AC18" s="78">
        <f>IF(AC17&lt;&gt;0,SUM($J17:AC17),0)</f>
        <v>0</v>
      </c>
      <c r="AD18" s="78">
        <f>IF(AD17&lt;&gt;0,SUM($J17:AD17),0)</f>
        <v>0</v>
      </c>
      <c r="AE18" s="78">
        <f>IF(AE17&lt;&gt;0,SUM($J17:AE17),0)</f>
        <v>0</v>
      </c>
      <c r="AF18" s="78">
        <f>IF(AF17&lt;&gt;0,SUM($J17:AF17),0)</f>
        <v>0</v>
      </c>
      <c r="AG18" s="78">
        <f>IF(AG17&lt;&gt;0,SUM($J17:AG17),0)</f>
        <v>0</v>
      </c>
      <c r="AH18" s="78">
        <f>IF(AH17&lt;&gt;0,SUM($J17:AH17),0)</f>
        <v>0</v>
      </c>
      <c r="AI18" s="78">
        <f>IF(AI17&lt;&gt;0,SUM($J17:AI17),0)</f>
        <v>0</v>
      </c>
      <c r="AJ18" s="78">
        <f>IF(AJ17&lt;&gt;0,SUM($J17:AJ17),0)</f>
        <v>0</v>
      </c>
      <c r="AK18" s="78">
        <f>IF(AK17&lt;&gt;0,SUM($J17:AK17),0)</f>
        <v>0</v>
      </c>
      <c r="AL18" s="55">
        <f>IF(AL17&lt;&gt;0,SUM($J17:AL17),0)</f>
        <v>0</v>
      </c>
    </row>
    <row r="19" spans="1:52" ht="24.9" customHeight="1">
      <c r="F19" s="135" t="s">
        <v>25</v>
      </c>
      <c r="G19" s="136"/>
      <c r="H19" s="136"/>
      <c r="I19" s="137"/>
      <c r="J19" s="108">
        <f>SUMPRODUCT($G2:$G11,B40:B49)</f>
        <v>1780</v>
      </c>
      <c r="K19" s="108">
        <f t="shared" ref="K19:P19" si="3">SUMPRODUCT($G2:$G11,C40:C49)</f>
        <v>2694.2857142857142</v>
      </c>
      <c r="L19" s="108">
        <f t="shared" si="3"/>
        <v>3608.5714285714284</v>
      </c>
      <c r="M19" s="108">
        <f t="shared" si="3"/>
        <v>5062.8571428571449</v>
      </c>
      <c r="N19" s="108">
        <f t="shared" si="3"/>
        <v>6517.1428571428587</v>
      </c>
      <c r="O19" s="108">
        <f t="shared" si="3"/>
        <v>10111.428571428571</v>
      </c>
      <c r="P19" s="108">
        <f t="shared" si="3"/>
        <v>13705.714285714286</v>
      </c>
      <c r="Q19" s="108">
        <f>SUMPRODUCT($G2:$G11,I40:I49)</f>
        <v>15440</v>
      </c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</row>
    <row r="20" spans="1:52" ht="24.9" customHeight="1">
      <c r="F20" s="138" t="s">
        <v>26</v>
      </c>
      <c r="G20" s="139"/>
      <c r="H20" s="139"/>
      <c r="I20" s="140"/>
      <c r="J20" s="108">
        <f>SUMPRODUCT($D2:$D11,B40:B49)</f>
        <v>1600</v>
      </c>
      <c r="K20" s="108">
        <f t="shared" ref="K20:P20" si="4">SUMPRODUCT($D2:$D11,C40:C49)</f>
        <v>2514.2857142857142</v>
      </c>
      <c r="L20" s="108">
        <f t="shared" si="4"/>
        <v>3428.5714285714284</v>
      </c>
      <c r="M20" s="108">
        <f t="shared" si="4"/>
        <v>4542.8571428571449</v>
      </c>
      <c r="N20" s="108">
        <f t="shared" si="4"/>
        <v>5657.1428571428587</v>
      </c>
      <c r="O20" s="108">
        <f t="shared" si="4"/>
        <v>7471.4285714285706</v>
      </c>
      <c r="P20" s="108">
        <f t="shared" si="4"/>
        <v>9285.7142857142862</v>
      </c>
      <c r="Q20" s="108">
        <f>SUMPRODUCT($D2:$D11,I40:I49)</f>
        <v>10200</v>
      </c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55"/>
    </row>
    <row r="21" spans="1:52" ht="24.9" customHeight="1">
      <c r="F21" s="126" t="s">
        <v>55</v>
      </c>
      <c r="G21" s="127"/>
      <c r="H21" s="127"/>
      <c r="I21" s="128"/>
      <c r="J21" s="108">
        <f>J20-J18</f>
        <v>400</v>
      </c>
      <c r="K21" s="108">
        <f t="shared" ref="K21:Q21" si="5">K20-K18</f>
        <v>114.28571428571422</v>
      </c>
      <c r="L21" s="108">
        <f t="shared" si="5"/>
        <v>-771.42857142857156</v>
      </c>
      <c r="M21" s="108">
        <f t="shared" si="5"/>
        <v>-1457.1428571428551</v>
      </c>
      <c r="N21" s="108">
        <f t="shared" si="5"/>
        <v>-2142.8571428571413</v>
      </c>
      <c r="O21" s="108">
        <f t="shared" si="5"/>
        <v>-2128.5714285714294</v>
      </c>
      <c r="P21" s="108">
        <f t="shared" si="5"/>
        <v>-1514.2857142857138</v>
      </c>
      <c r="Q21" s="108">
        <f t="shared" si="5"/>
        <v>-1800</v>
      </c>
      <c r="R21" s="122" t="s">
        <v>60</v>
      </c>
      <c r="S21" s="123"/>
      <c r="T21" s="123"/>
      <c r="U21" s="124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55"/>
    </row>
    <row r="22" spans="1:52" ht="24.9" customHeight="1">
      <c r="F22" s="129" t="s">
        <v>56</v>
      </c>
      <c r="G22" s="130"/>
      <c r="H22" s="130"/>
      <c r="I22" s="131"/>
      <c r="J22" s="108">
        <f>J20-J19</f>
        <v>-180</v>
      </c>
      <c r="K22" s="108">
        <f t="shared" ref="K22:Q22" si="6">K20-K19</f>
        <v>-180</v>
      </c>
      <c r="L22" s="108">
        <f t="shared" si="6"/>
        <v>-180</v>
      </c>
      <c r="M22" s="108">
        <f t="shared" si="6"/>
        <v>-520</v>
      </c>
      <c r="N22" s="108">
        <f t="shared" si="6"/>
        <v>-860</v>
      </c>
      <c r="O22" s="108">
        <f t="shared" si="6"/>
        <v>-2640</v>
      </c>
      <c r="P22" s="108">
        <f t="shared" si="6"/>
        <v>-4420</v>
      </c>
      <c r="Q22" s="108">
        <f t="shared" si="6"/>
        <v>-5240</v>
      </c>
      <c r="R22" s="122" t="s">
        <v>61</v>
      </c>
      <c r="S22" s="123"/>
      <c r="T22" s="123"/>
      <c r="U22" s="124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55"/>
    </row>
    <row r="24" spans="1:52" ht="24.9" customHeight="1">
      <c r="C24" s="79" t="s">
        <v>28</v>
      </c>
      <c r="F24" s="81" t="s">
        <v>29</v>
      </c>
      <c r="G24" s="82">
        <f>Caminocrítico!O16</f>
        <v>8</v>
      </c>
      <c r="H24" s="83" t="s">
        <v>30</v>
      </c>
      <c r="I24" s="83"/>
      <c r="N24" s="121" t="s">
        <v>57</v>
      </c>
      <c r="O24" s="121"/>
      <c r="P24" s="121"/>
      <c r="Q24" s="121"/>
      <c r="R24" s="119">
        <f>Q20/Q18</f>
        <v>0.85</v>
      </c>
      <c r="AE24" s="27"/>
      <c r="AF24" s="27"/>
      <c r="AG24" s="27"/>
      <c r="AH24" s="27"/>
      <c r="AI24" s="27"/>
      <c r="AJ24" s="27"/>
      <c r="AK24" s="27"/>
      <c r="AL24" s="27"/>
      <c r="AZ24" s="16"/>
    </row>
    <row r="25" spans="1:52" ht="24.9" customHeight="1">
      <c r="A25" s="42"/>
      <c r="E25" s="4"/>
      <c r="F25" s="4" t="s">
        <v>20</v>
      </c>
      <c r="G25" s="4" t="s">
        <v>20</v>
      </c>
      <c r="H25" s="4"/>
      <c r="I25" s="4"/>
      <c r="N25" s="121" t="s">
        <v>58</v>
      </c>
      <c r="O25" s="121"/>
      <c r="P25" s="121"/>
      <c r="Q25" s="121"/>
      <c r="R25" s="119">
        <f>Q20/Q19</f>
        <v>0.6606217616580311</v>
      </c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 t="str">
        <f>IF(AND(AL$16&gt;=Caminocrítico!$E$33+1,AL$16&lt;=Caminocrítico!$H$33),$G24,"")</f>
        <v/>
      </c>
      <c r="AZ25" s="16"/>
    </row>
    <row r="26" spans="1:52" ht="24.9" customHeight="1">
      <c r="A26" s="42"/>
      <c r="G26" s="45" t="s">
        <v>20</v>
      </c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 t="str">
        <f>IF(AND(AL$16&gt;=Caminocrítico!$D$45+1,AL$16&lt;=Caminocrítico!$G$45),$G26,"")</f>
        <v/>
      </c>
      <c r="AZ26" s="16"/>
    </row>
    <row r="27" spans="1:52" ht="24.9" customHeight="1">
      <c r="A27" s="42"/>
      <c r="G27" s="45" t="s">
        <v>20</v>
      </c>
      <c r="J27" s="46" t="s">
        <v>13</v>
      </c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 t="str">
        <f>IF(AND(AL$16&gt;=Caminocrítico!$K$31+1,AL$16&lt;=Caminocrítico!$N$31),$G27,"")</f>
        <v/>
      </c>
      <c r="AZ27" s="16"/>
    </row>
    <row r="28" spans="1:52" ht="24.9" customHeight="1">
      <c r="A28" s="42"/>
      <c r="G28" s="45" t="s">
        <v>20</v>
      </c>
      <c r="J28" s="42" t="s">
        <v>0</v>
      </c>
      <c r="K28" s="91" t="str">
        <f>IF(AND(J$16&gt;=Caminocrítico!$E$33+1,J$16&lt;=Caminocrítico!$H$33),IF(K38&lt;=$G$24,$G25,""),"")</f>
        <v xml:space="preserve"> </v>
      </c>
      <c r="L28" s="91" t="str">
        <f>IF(AND(K$16&gt;=Caminocrítico!$E$33+1,K$16&lt;=Caminocrítico!$H$33),IF(L38&lt;=$G$24,$G25,""),"")</f>
        <v xml:space="preserve"> </v>
      </c>
      <c r="M28" s="91" t="str">
        <f>IF(AND(L$16&gt;=Caminocrítico!$E$33+1,L$16&lt;=Caminocrítico!$H$33),IF(M38&lt;=$G$24,$G25,""),"")</f>
        <v xml:space="preserve"> </v>
      </c>
      <c r="N28" s="91" t="str">
        <f>IF(AND(M$16&gt;=Caminocrítico!$E$33+1,M$16&lt;=Caminocrítico!$H$33),IF(N38&lt;=$G$24,$G25,""),"")</f>
        <v/>
      </c>
      <c r="O28" s="91" t="str">
        <f>IF(AND(N$16&gt;=Caminocrítico!$E$33+1,N$16&lt;=Caminocrítico!$H$33),IF(O38&lt;=$G$24,$G25,""),"")</f>
        <v/>
      </c>
      <c r="P28" s="91" t="str">
        <f>IF(AND(O$16&gt;=Caminocrítico!$E$33+1,O$16&lt;=Caminocrítico!$H$33),IF(P38&lt;=$G$24,$G25,""),"")</f>
        <v/>
      </c>
      <c r="Q28" s="91" t="str">
        <f>IF(AND(P$16&gt;=Caminocrítico!$E$33+1,P$16&lt;=Caminocrítico!$H$33),IF(Q38&lt;=$G$24,$G25,""),"")</f>
        <v/>
      </c>
      <c r="R28" s="91" t="str">
        <f>IF(AND(Q$16&gt;=Caminocrítico!$E$33+1,Q$16&lt;=Caminocrítico!$H$33),IF(R38&lt;=$G$24,$G25,""),"")</f>
        <v/>
      </c>
      <c r="S28" s="91" t="str">
        <f>IF(AND(R$16&gt;=Caminocrítico!$E$33+1,R$16&lt;=Caminocrítico!$H$33),IF(S38&lt;=$G$24,$G25,""),"")</f>
        <v/>
      </c>
      <c r="T28" s="91" t="str">
        <f>IF(AND(S$16&gt;=Caminocrítico!$E$33+1,S$16&lt;=Caminocrítico!$H$33),IF(T38&lt;=$G$24,$G25,""),"")</f>
        <v/>
      </c>
      <c r="U28" s="91" t="str">
        <f>IF(AND(T$16&gt;=Caminocrítico!$E$33+1,T$16&lt;=Caminocrítico!$H$33),IF(U38&lt;=$G$24,$G25,""),"")</f>
        <v/>
      </c>
      <c r="V28" s="91" t="str">
        <f>IF(AND(U$16&gt;=Caminocrítico!$E$33+1,U$16&lt;=Caminocrítico!$H$33),IF(V38&lt;=$G$24,$G25,""),"")</f>
        <v/>
      </c>
      <c r="W28" s="91" t="str">
        <f>IF(AND(V$16&gt;=Caminocrítico!$E$33+1,V$16&lt;=Caminocrítico!$H$33),IF(W38&lt;=$G$24,$G25,""),"")</f>
        <v/>
      </c>
      <c r="X28" s="91" t="str">
        <f>IF(AND(W$16&gt;=Caminocrítico!$E$33+1,W$16&lt;=Caminocrítico!$H$33),IF(X38&lt;=$G$24,$G25,""),"")</f>
        <v/>
      </c>
      <c r="Y28" s="91" t="str">
        <f>IF(AND(X$16&gt;=Caminocrítico!$E$33+1,X$16&lt;=Caminocrítico!$H$33),IF(Y38&lt;=$G$24,$G25,""),"")</f>
        <v/>
      </c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 t="str">
        <f>IF(AND(AL$16&gt;=Caminocrítico!$K$37+1,AL$16&lt;=Caminocrítico!$N$37),$G28,"")</f>
        <v/>
      </c>
      <c r="AZ28" s="16"/>
    </row>
    <row r="29" spans="1:52" ht="24.9" customHeight="1">
      <c r="A29" s="42"/>
      <c r="G29" s="45" t="s">
        <v>20</v>
      </c>
      <c r="J29" s="42" t="s">
        <v>10</v>
      </c>
      <c r="K29" s="91" t="str">
        <f>IF(AND(J$16&gt;=Caminocrítico!$D$45+1,J$16&lt;=Caminocrítico!$G$45),IF(K38&lt;=$G$24,$G26,""),"")</f>
        <v xml:space="preserve"> </v>
      </c>
      <c r="L29" s="91" t="str">
        <f>IF(AND(K$16&gt;=Caminocrítico!$D$45+1,K$16&lt;=Caminocrítico!$G$45),IF(L38&lt;=$G$24,$G26,""),"")</f>
        <v/>
      </c>
      <c r="M29" s="91" t="str">
        <f>IF(AND(L$16&gt;=Caminocrítico!$D$45+1,L$16&lt;=Caminocrítico!$G$45),IF(M38&lt;=$G$24,$G26,""),"")</f>
        <v/>
      </c>
      <c r="N29" s="91" t="str">
        <f>IF(AND(M$16&gt;=Caminocrítico!$D$45+1,M$16&lt;=Caminocrítico!$G$45),IF(N38&lt;=$G$24,$G26,""),"")</f>
        <v/>
      </c>
      <c r="O29" s="91" t="str">
        <f>IF(AND(N$16&gt;=Caminocrítico!$D$45+1,N$16&lt;=Caminocrítico!$G$45),IF(O38&lt;=$G$24,$G26,""),"")</f>
        <v/>
      </c>
      <c r="P29" s="91" t="str">
        <f>IF(AND(O$16&gt;=Caminocrítico!$D$45+1,O$16&lt;=Caminocrítico!$G$45),IF(P38&lt;=$G$24,$G26,""),"")</f>
        <v/>
      </c>
      <c r="Q29" s="91" t="str">
        <f>IF(AND(P$16&gt;=Caminocrítico!$D$45+1,P$16&lt;=Caminocrítico!$G$45),IF(Q38&lt;=$G$24,$G26,""),"")</f>
        <v/>
      </c>
      <c r="R29" s="91" t="str">
        <f>IF(AND(Q$16&gt;=Caminocrítico!$D$45+1,Q$16&lt;=Caminocrítico!$G$45),IF(R38&lt;=$G$24,$G26,""),"")</f>
        <v/>
      </c>
      <c r="S29" s="91" t="str">
        <f>IF(AND(R$16&gt;=Caminocrítico!$D$45+1,R$16&lt;=Caminocrítico!$G$45),IF(S38&lt;=$G$24,$G26,""),"")</f>
        <v/>
      </c>
      <c r="T29" s="91" t="str">
        <f>IF(AND(S$16&gt;=Caminocrítico!$D$45+1,S$16&lt;=Caminocrítico!$G$45),IF(T38&lt;=$G$24,$G26,""),"")</f>
        <v/>
      </c>
      <c r="U29" s="91" t="str">
        <f>IF(AND(T$16&gt;=Caminocrítico!$D$45+1,T$16&lt;=Caminocrítico!$G$45),IF(U38&lt;=$G$24,$G26,""),"")</f>
        <v/>
      </c>
      <c r="V29" s="91" t="str">
        <f>IF(AND(U$16&gt;=Caminocrítico!$D$45+1,U$16&lt;=Caminocrítico!$G$45),IF(V38&lt;=$G$24,$G26,""),"")</f>
        <v/>
      </c>
      <c r="W29" s="91" t="str">
        <f>IF(AND(V$16&gt;=Caminocrítico!$D$45+1,V$16&lt;=Caminocrítico!$G$45),IF(W38&lt;=$G$24,$G26,""),"")</f>
        <v/>
      </c>
      <c r="X29" s="91" t="str">
        <f>IF(AND(W$16&gt;=Caminocrítico!$D$45+1,W$16&lt;=Caminocrítico!$G$45),IF(X38&lt;=$G$24,$G26,""),"")</f>
        <v/>
      </c>
      <c r="Y29" s="91" t="str">
        <f>IF(AND(X$16&gt;=Caminocrítico!$D$45+1,X$16&lt;=Caminocrítico!$G$45),IF(Y38&lt;=$G$24,$G26,""),"")</f>
        <v/>
      </c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 t="str">
        <f>IF(AND(AL$16&gt;=Caminocrítico!$Q$31+1,AL$16&lt;=Caminocrítico!$T$31),$G29,"")</f>
        <v/>
      </c>
      <c r="AZ29" s="16"/>
    </row>
    <row r="30" spans="1:52" ht="24.9" customHeight="1">
      <c r="A30" s="42"/>
      <c r="G30" s="45" t="s">
        <v>20</v>
      </c>
      <c r="J30" s="42" t="s">
        <v>6</v>
      </c>
      <c r="K30" s="91" t="str">
        <f>IF(AND(J$16&gt;=Caminocrítico!$K$31+1,J$16&lt;=Caminocrítico!$N$31),IF(K38&lt;=$G$24,$G27,""),"")</f>
        <v/>
      </c>
      <c r="L30" s="91" t="str">
        <f>IF(AND(K$16&gt;=Caminocrítico!$K$31+1,K$16&lt;=Caminocrítico!$N$31),IF(L38&lt;=$G$24,$G27,""),"")</f>
        <v/>
      </c>
      <c r="M30" s="91" t="str">
        <f>IF(AND(L$16&gt;=Caminocrítico!$K$31+1,L$16&lt;=Caminocrítico!$N$31),IF(M38&lt;=$G$24,$G27,""),"")</f>
        <v/>
      </c>
      <c r="N30" s="91" t="str">
        <f>IF(AND(M$16&gt;=Caminocrítico!$K$31+1,M$16&lt;=Caminocrítico!$N$31),IF(N38&lt;=$G$24,$G27,""),"")</f>
        <v xml:space="preserve"> </v>
      </c>
      <c r="O30" s="91" t="str">
        <f>IF(AND(N$16&gt;=Caminocrítico!$K$31+1,N$16&lt;=Caminocrítico!$N$31),IF(O38&lt;=$G$24,$G27,""),"")</f>
        <v xml:space="preserve"> </v>
      </c>
      <c r="P30" s="91" t="str">
        <f>IF(AND(O$16&gt;=Caminocrítico!$K$31+1,O$16&lt;=Caminocrítico!$N$31),IF(P38&lt;=$G$24,$G27,""),"")</f>
        <v/>
      </c>
      <c r="Q30" s="91" t="str">
        <f>IF(AND(P$16&gt;=Caminocrítico!$K$31+1,P$16&lt;=Caminocrítico!$N$31),IF(Q38&lt;=$G$24,$G27,""),"")</f>
        <v/>
      </c>
      <c r="R30" s="91" t="str">
        <f>IF(AND(Q$16&gt;=Caminocrítico!$K$31+1,Q$16&lt;=Caminocrítico!$N$31),IF(R38&lt;=$G$24,$G27,""),"")</f>
        <v/>
      </c>
      <c r="S30" s="91" t="str">
        <f>IF(AND(R$16&gt;=Caminocrítico!$K$31+1,R$16&lt;=Caminocrítico!$N$31),IF(S38&lt;=$G$24,$G27,""),"")</f>
        <v/>
      </c>
      <c r="T30" s="91" t="str">
        <f>IF(AND(S$16&gt;=Caminocrítico!$K$31+1,S$16&lt;=Caminocrítico!$N$31),IF(T38&lt;=$G$24,$G27,""),"")</f>
        <v/>
      </c>
      <c r="U30" s="91" t="str">
        <f>IF(AND(T$16&gt;=Caminocrítico!$K$31+1,T$16&lt;=Caminocrítico!$N$31),IF(U38&lt;=$G$24,$G27,""),"")</f>
        <v/>
      </c>
      <c r="V30" s="91" t="str">
        <f>IF(AND(U$16&gt;=Caminocrítico!$K$31+1,U$16&lt;=Caminocrítico!$N$31),IF(V38&lt;=$G$24,$G27,""),"")</f>
        <v/>
      </c>
      <c r="W30" s="91" t="str">
        <f>IF(AND(V$16&gt;=Caminocrítico!$K$31+1,V$16&lt;=Caminocrítico!$N$31),IF(W38&lt;=$G$24,$G27,""),"")</f>
        <v/>
      </c>
      <c r="X30" s="91" t="str">
        <f>IF(AND(W$16&gt;=Caminocrítico!$K$31+1,W$16&lt;=Caminocrítico!$N$31),IF(X38&lt;=$G$24,$G27,""),"")</f>
        <v/>
      </c>
      <c r="Y30" s="91" t="str">
        <f>IF(AND(X$16&gt;=Caminocrítico!$K$31+1,X$16&lt;=Caminocrítico!$N$31),IF(Y38&lt;=$G$24,$G27,""),"")</f>
        <v/>
      </c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 t="str">
        <f>IF(AND(AL$16&gt;=Caminocrítico!$Q$37+1,AL$16&lt;=Caminocrítico!$T$37),$G30,"")</f>
        <v/>
      </c>
      <c r="AZ30" s="16"/>
    </row>
    <row r="31" spans="1:52" ht="24.6" customHeight="1">
      <c r="A31" s="42"/>
      <c r="G31" s="45" t="s">
        <v>20</v>
      </c>
      <c r="J31" s="42" t="s">
        <v>11</v>
      </c>
      <c r="K31" s="91" t="str">
        <f>IF(AND(J$16&gt;=Caminocrítico!$K$37+1,J$16&lt;=Caminocrítico!$N$37),IF(K38&lt;=$G$24,$G28,""),"")</f>
        <v/>
      </c>
      <c r="L31" s="91" t="str">
        <f>IF(AND(K$16&gt;=Caminocrítico!$K$37+1,K$16&lt;=Caminocrítico!$N$37),IF(L38&lt;=$G$24,$G28,""),"")</f>
        <v/>
      </c>
      <c r="M31" s="91" t="str">
        <f>IF(AND(L$16&gt;=Caminocrítico!$K$37+1,L$16&lt;=Caminocrítico!$N$37),IF(M38&lt;=$G$24,$G28,""),"")</f>
        <v/>
      </c>
      <c r="N31" s="91" t="str">
        <f>IF(AND(M$16&gt;=Caminocrítico!$K$37+1,M$16&lt;=Caminocrítico!$N$37),IF(N38&lt;=$G$24,$G28,""),"")</f>
        <v xml:space="preserve"> </v>
      </c>
      <c r="O31" s="91" t="str">
        <f>IF(AND(N$16&gt;=Caminocrítico!$K$37+1,N$16&lt;=Caminocrítico!$N$37),IF(O38&lt;=$G$24,$G28,""),"")</f>
        <v xml:space="preserve"> </v>
      </c>
      <c r="P31" s="91" t="str">
        <f>IF(AND(O$16&gt;=Caminocrítico!$K$37+1,O$16&lt;=Caminocrítico!$N$37),IF(P38&lt;=$G$24,$G28,""),"")</f>
        <v/>
      </c>
      <c r="Q31" s="91" t="str">
        <f>IF(AND(P$16&gt;=Caminocrítico!$K$37+1,P$16&lt;=Caminocrítico!$N$37),IF(Q38&lt;=$G$24,$G28,""),"")</f>
        <v/>
      </c>
      <c r="R31" s="91" t="str">
        <f>IF(AND(Q$16&gt;=Caminocrítico!$K$37+1,Q$16&lt;=Caminocrítico!$N$37),IF(R38&lt;=$G$24,$G28,""),"")</f>
        <v/>
      </c>
      <c r="S31" s="91" t="str">
        <f>IF(AND(R$16&gt;=Caminocrítico!$K$37+1,R$16&lt;=Caminocrítico!$N$37),IF(S38&lt;=$G$24,$G28,""),"")</f>
        <v/>
      </c>
      <c r="T31" s="91" t="str">
        <f>IF(AND(S$16&gt;=Caminocrítico!$K$37+1,S$16&lt;=Caminocrítico!$N$37),IF(T38&lt;=$G$24,$G28,""),"")</f>
        <v/>
      </c>
      <c r="U31" s="91" t="str">
        <f>IF(AND(T$16&gt;=Caminocrítico!$K$37+1,T$16&lt;=Caminocrítico!$N$37),IF(U38&lt;=$G$24,$G28,""),"")</f>
        <v/>
      </c>
      <c r="V31" s="91" t="str">
        <f>IF(AND(U$16&gt;=Caminocrítico!$K$37+1,U$16&lt;=Caminocrítico!$N$37),IF(V38&lt;=$G$24,$G28,""),"")</f>
        <v/>
      </c>
      <c r="W31" s="91" t="str">
        <f>IF(AND(V$16&gt;=Caminocrítico!$K$37+1,V$16&lt;=Caminocrítico!$N$37),IF(W38&lt;=$G$24,$G28,""),"")</f>
        <v/>
      </c>
      <c r="X31" s="91" t="str">
        <f>IF(AND(W$16&gt;=Caminocrítico!$K$37+1,W$16&lt;=Caminocrítico!$N$37),IF(X38&lt;=$G$24,$G28,""),"")</f>
        <v/>
      </c>
      <c r="Y31" s="91" t="str">
        <f>IF(AND(X$16&gt;=Caminocrítico!$K$37+1,X$16&lt;=Caminocrítico!$N$37),IF(Y38&lt;=$G$24,$G28,""),"")</f>
        <v/>
      </c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 t="str">
        <f>IF(AND(AL$16&gt;=Caminocrítico!$L$43+1,AL$16&lt;=Caminocrítico!$O$43),$G31,"")</f>
        <v/>
      </c>
      <c r="AZ31" s="16"/>
    </row>
    <row r="32" spans="1:52" ht="24.6" customHeight="1">
      <c r="A32" s="42"/>
      <c r="G32" s="45" t="s">
        <v>20</v>
      </c>
      <c r="J32" s="42" t="s">
        <v>3</v>
      </c>
      <c r="K32" s="91" t="str">
        <f>IF(AND(J$16&gt;=Caminocrítico!$Q$31+1,J$16&lt;=Caminocrítico!$T$31),IF(K38&lt;=$G$24,$G29,""),"")</f>
        <v/>
      </c>
      <c r="L32" s="91" t="str">
        <f>IF(AND(K$16&gt;=Caminocrítico!$Q$31+1,K$16&lt;=Caminocrítico!$T$31),IF(L38&lt;=$G$24,$G29,""),"")</f>
        <v/>
      </c>
      <c r="M32" s="91" t="str">
        <f>IF(AND(L$16&gt;=Caminocrítico!$Q$31+1,L$16&lt;=Caminocrítico!$T$31),IF(M38&lt;=$G$24,$G29,""),"")</f>
        <v/>
      </c>
      <c r="N32" s="91" t="str">
        <f>IF(AND(M$16&gt;=Caminocrítico!$Q$31+1,M$16&lt;=Caminocrítico!$T$31),IF(N38&lt;=$G$24,$G29,""),"")</f>
        <v/>
      </c>
      <c r="O32" s="91" t="str">
        <f>IF(AND(N$16&gt;=Caminocrítico!$Q$31+1,N$16&lt;=Caminocrítico!$T$31),IF(O38&lt;=$G$24,$G29,""),"")</f>
        <v/>
      </c>
      <c r="P32" s="91" t="str">
        <f>IF(AND(O$16&gt;=Caminocrítico!$Q$31+1,O$16&lt;=Caminocrítico!$T$31),IF(P38&lt;=$G$24,$G29,""),"")</f>
        <v xml:space="preserve"> </v>
      </c>
      <c r="Q32" s="91" t="str">
        <f>IF(AND(P$16&gt;=Caminocrítico!$Q$31+1,P$16&lt;=Caminocrítico!$T$31),IF(Q38&lt;=$G$24,$G29,""),"")</f>
        <v xml:space="preserve"> </v>
      </c>
      <c r="R32" s="91" t="str">
        <f>IF(AND(Q$16&gt;=Caminocrítico!$Q$31+1,Q$16&lt;=Caminocrítico!$T$31),IF(R38&lt;=$G$24,$G29,""),"")</f>
        <v xml:space="preserve"> </v>
      </c>
      <c r="S32" s="91" t="str">
        <f>IF(AND(R$16&gt;=Caminocrítico!$Q$31+1,R$16&lt;=Caminocrítico!$T$31),IF(S38&lt;=$G$24,$G29,""),"")</f>
        <v/>
      </c>
      <c r="T32" s="91" t="str">
        <f>IF(AND(S$16&gt;=Caminocrítico!$Q$31+1,S$16&lt;=Caminocrítico!$T$31),IF(T38&lt;=$G$24,$G29,""),"")</f>
        <v/>
      </c>
      <c r="U32" s="91" t="str">
        <f>IF(AND(T$16&gt;=Caminocrítico!$Q$31+1,T$16&lt;=Caminocrítico!$T$31),IF(U38&lt;=$G$24,$G29,""),"")</f>
        <v/>
      </c>
      <c r="V32" s="91" t="str">
        <f>IF(AND(U$16&gt;=Caminocrítico!$Q$31+1,U$16&lt;=Caminocrítico!$T$31),IF(V38&lt;=$G$24,$G29,""),"")</f>
        <v/>
      </c>
      <c r="W32" s="91" t="str">
        <f>IF(AND(V$16&gt;=Caminocrítico!$Q$31+1,V$16&lt;=Caminocrítico!$T$31),IF(W38&lt;=$G$24,$G29,""),"")</f>
        <v/>
      </c>
      <c r="X32" s="91" t="str">
        <f>IF(AND(W$16&gt;=Caminocrítico!$Q$31+1,W$16&lt;=Caminocrítico!$T$31),IF(X38&lt;=$G$24,$G29,""),"")</f>
        <v/>
      </c>
      <c r="Y32" s="91" t="str">
        <f>IF(AND(X$16&gt;=Caminocrítico!$Q$31+1,X$16&lt;=Caminocrítico!$T$31),IF(Y38&lt;=$G$24,$G29,""),"")</f>
        <v/>
      </c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Z32" s="16"/>
    </row>
    <row r="33" spans="1:52" ht="24.6" customHeight="1">
      <c r="A33" s="42"/>
      <c r="G33" s="45" t="s">
        <v>20</v>
      </c>
      <c r="J33" s="42" t="s">
        <v>1</v>
      </c>
      <c r="K33" s="91" t="str">
        <f>IF(AND(J$16&gt;=Caminocrítico!$Q$37+1,J$16&lt;=Caminocrítico!$T$37),IF(K38&lt;=$G$24,$G30,""),"")</f>
        <v/>
      </c>
      <c r="L33" s="91" t="str">
        <f>IF(AND(K$16&gt;=Caminocrítico!$Q$37+1,K$16&lt;=Caminocrítico!$T$37),IF(L38&lt;=$G$24,$G30,""),"")</f>
        <v/>
      </c>
      <c r="M33" s="91" t="str">
        <f>IF(AND(L$16&gt;=Caminocrítico!$Q$37+1,L$16&lt;=Caminocrítico!$T$37),IF(M38&lt;=$G$24,$G30,""),"")</f>
        <v/>
      </c>
      <c r="N33" s="91" t="str">
        <f>IF(AND(M$16&gt;=Caminocrítico!$Q$37+1,M$16&lt;=Caminocrítico!$T$37),IF(N38&lt;=$G$24,$G30,""),"")</f>
        <v/>
      </c>
      <c r="O33" s="91" t="str">
        <f>IF(AND(N$16&gt;=Caminocrítico!$Q$37+1,N$16&lt;=Caminocrítico!$T$37),IF(O38&lt;=$G$24,$G30,""),"")</f>
        <v/>
      </c>
      <c r="P33" s="91" t="str">
        <f>IF(AND(O$16&gt;=Caminocrítico!$Q$37+1,O$16&lt;=Caminocrítico!$T$37),IF(P38&lt;=$G$24,$G30,""),"")</f>
        <v xml:space="preserve"> </v>
      </c>
      <c r="Q33" s="91" t="str">
        <f>IF(AND(P$16&gt;=Caminocrítico!$Q$37+1,P$16&lt;=Caminocrítico!$T$37),IF(Q38&lt;=$G$24,$G30,""),"")</f>
        <v xml:space="preserve"> </v>
      </c>
      <c r="R33" s="91" t="str">
        <f>IF(AND(Q$16&gt;=Caminocrítico!$Q$37+1,Q$16&lt;=Caminocrítico!$T$37),IF(R38&lt;=$G$24,$G30,""),"")</f>
        <v/>
      </c>
      <c r="S33" s="91" t="str">
        <f>IF(AND(R$16&gt;=Caminocrítico!$Q$37+1,R$16&lt;=Caminocrítico!$T$37),IF(S38&lt;=$G$24,$G30,""),"")</f>
        <v/>
      </c>
      <c r="T33" s="91" t="str">
        <f>IF(AND(S$16&gt;=Caminocrítico!$Q$37+1,S$16&lt;=Caminocrítico!$T$37),IF(T38&lt;=$G$24,$G30,""),"")</f>
        <v/>
      </c>
      <c r="U33" s="91" t="str">
        <f>IF(AND(T$16&gt;=Caminocrítico!$Q$37+1,T$16&lt;=Caminocrítico!$T$37),IF(U38&lt;=$G$24,$G30,""),"")</f>
        <v/>
      </c>
      <c r="V33" s="91" t="str">
        <f>IF(AND(U$16&gt;=Caminocrítico!$Q$37+1,U$16&lt;=Caminocrítico!$T$37),IF(V38&lt;=$G$24,$G30,""),"")</f>
        <v/>
      </c>
      <c r="W33" s="91" t="str">
        <f>IF(AND(V$16&gt;=Caminocrítico!$Q$37+1,V$16&lt;=Caminocrítico!$T$37),IF(W38&lt;=$G$24,$G30,""),"")</f>
        <v/>
      </c>
      <c r="X33" s="91" t="str">
        <f>IF(AND(W$16&gt;=Caminocrítico!$Q$37+1,W$16&lt;=Caminocrítico!$T$37),IF(X38&lt;=$G$24,$G30,""),"")</f>
        <v/>
      </c>
      <c r="Y33" s="91" t="str">
        <f>IF(AND(X$16&gt;=Caminocrítico!$Q$37+1,X$16&lt;=Caminocrítico!$T$37),IF(Y38&lt;=$G$24,$G30,""),"")</f>
        <v/>
      </c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Z33" s="16"/>
    </row>
    <row r="34" spans="1:52" ht="24.9" customHeight="1">
      <c r="A34" s="42"/>
      <c r="G34" s="16" t="s">
        <v>20</v>
      </c>
      <c r="J34" s="42" t="s">
        <v>12</v>
      </c>
      <c r="K34" s="91" t="str">
        <f>IF(AND(J$16&gt;=Caminocrítico!$L$43+1,J$16&lt;=Caminocrítico!$O$43),IF(K38&lt;=$G$24,$G31,""),"")</f>
        <v/>
      </c>
      <c r="L34" s="91" t="str">
        <f>IF(AND(K$16&gt;=Caminocrítico!$L$43+1,K$16&lt;=Caminocrítico!$O$43),IF(L38&lt;=$G$24,$G31,""),"")</f>
        <v xml:space="preserve"> </v>
      </c>
      <c r="M34" s="91" t="str">
        <f>IF(AND(L$16&gt;=Caminocrítico!$L$43+1,L$16&lt;=Caminocrítico!$O$43),IF(M38&lt;=$G$24,$G31,""),"")</f>
        <v xml:space="preserve"> </v>
      </c>
      <c r="N34" s="91" t="str">
        <f>IF(AND(M$16&gt;=Caminocrítico!$L$43+1,M$16&lt;=Caminocrítico!$O$43),IF(N38&lt;=$G$24,$G31,""),"")</f>
        <v xml:space="preserve"> </v>
      </c>
      <c r="O34" s="91" t="str">
        <f>IF(AND(N$16&gt;=Caminocrítico!$L$43+1,N$16&lt;=Caminocrítico!$O$43),IF(O38&lt;=$G$24,$G31,""),"")</f>
        <v xml:space="preserve"> </v>
      </c>
      <c r="P34" s="91" t="str">
        <f>IF(AND(O$16&gt;=Caminocrítico!$L$43+1,O$16&lt;=Caminocrítico!$O$43),IF(P38&lt;=$G$24,$G31,""),"")</f>
        <v xml:space="preserve"> </v>
      </c>
      <c r="Q34" s="91" t="str">
        <f>IF(AND(P$16&gt;=Caminocrítico!$L$43+1,P$16&lt;=Caminocrítico!$O$43),IF(Q38&lt;=$G$24,$G31,""),"")</f>
        <v xml:space="preserve"> </v>
      </c>
      <c r="R34" s="91" t="str">
        <f>IF(AND(Q$16&gt;=Caminocrítico!$L$43+1,Q$16&lt;=Caminocrítico!$O$43),IF(R38&lt;=$G$24,$G31,""),"")</f>
        <v xml:space="preserve"> </v>
      </c>
      <c r="S34" s="91" t="str">
        <f>IF(AND(R$16&gt;=Caminocrítico!$L$43+1,R$16&lt;=Caminocrítico!$O$43),IF(S38&lt;=$G$24,$G31,""),"")</f>
        <v/>
      </c>
      <c r="T34" s="91" t="str">
        <f>IF(AND(S$16&gt;=Caminocrítico!$L$43+1,S$16&lt;=Caminocrítico!$O$43),IF(T38&lt;=$G$24,$G31,""),"")</f>
        <v/>
      </c>
      <c r="U34" s="91" t="str">
        <f>IF(AND(T$16&gt;=Caminocrítico!$L$43+1,T$16&lt;=Caminocrítico!$O$43),IF(U38&lt;=$G$24,$G31,""),"")</f>
        <v/>
      </c>
      <c r="V34" s="91" t="str">
        <f>IF(AND(U$16&gt;=Caminocrítico!$L$43+1,U$16&lt;=Caminocrítico!$O$43),IF(V38&lt;=$G$24,$G31,""),"")</f>
        <v/>
      </c>
      <c r="W34" s="91" t="str">
        <f>IF(AND(V$16&gt;=Caminocrítico!$L$43+1,V$16&lt;=Caminocrítico!$O$43),IF(W38&lt;=$G$24,$G31,""),"")</f>
        <v/>
      </c>
      <c r="X34" s="91" t="str">
        <f>IF(AND(W$16&gt;=Caminocrítico!$L$43+1,W$16&lt;=Caminocrítico!$O$43),IF(X38&lt;=$G$24,$G31,""),"")</f>
        <v/>
      </c>
      <c r="Y34" s="91" t="str">
        <f>IF(AND(X$16&gt;=Caminocrítico!$L$43+1,X$16&lt;=Caminocrítico!$O$43),IF(Y38&lt;=$G$24,$G31,""),"")</f>
        <v/>
      </c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Z34" s="16"/>
    </row>
    <row r="35" spans="1:52" ht="24.9" customHeight="1">
      <c r="J35" s="42" t="s">
        <v>2</v>
      </c>
      <c r="K35" s="91" t="str">
        <f>IF(AND(J$16&gt;=Caminocrítico!$W$31+1,J$16&lt;=Caminocrítico!$Z$31),IF(K38&lt;=$G$24,$G32,""),"")</f>
        <v/>
      </c>
      <c r="L35" s="91" t="str">
        <f>IF(AND(K$16&gt;=Caminocrítico!$W$31+1,K$16&lt;=Caminocrítico!$Z$31),IF(L38&lt;=$G$24,$G32,""),"")</f>
        <v/>
      </c>
      <c r="M35" s="91" t="str">
        <f>IF(AND(L$16&gt;=Caminocrítico!$W$31+1,L$16&lt;=Caminocrítico!$Z$31),IF(M38&lt;=$G$24,$G32,""),"")</f>
        <v/>
      </c>
      <c r="N35" s="91" t="str">
        <f>IF(AND(M$16&gt;=Caminocrítico!$W$31+1,M$16&lt;=Caminocrítico!$Z$31),IF(N38&lt;=$G$24,$G32,""),"")</f>
        <v/>
      </c>
      <c r="O35" s="91" t="str">
        <f>IF(AND(N$16&gt;=Caminocrítico!$W$31+1,N$16&lt;=Caminocrítico!$Z$31),IF(O38&lt;=$G$24,$G32,""),"")</f>
        <v/>
      </c>
      <c r="P35" s="91" t="str">
        <f>IF(AND(O$16&gt;=Caminocrítico!$W$31+1,O$16&lt;=Caminocrítico!$Z$31),IF(P38&lt;=$G$24,$G32,""),"")</f>
        <v/>
      </c>
      <c r="Q35" s="91" t="str">
        <f>IF(AND(P$16&gt;=Caminocrítico!$W$31+1,P$16&lt;=Caminocrítico!$Z$31),IF(Q38&lt;=$G$24,$G32,""),"")</f>
        <v/>
      </c>
      <c r="R35" s="91" t="str">
        <f>IF(AND(Q$16&gt;=Caminocrítico!$W$31+1,Q$16&lt;=Caminocrítico!$Z$31),IF(R38&lt;=$G$24,$G32,""),"")</f>
        <v/>
      </c>
      <c r="S35" s="91" t="str">
        <f>IF(AND(R$16&gt;=Caminocrítico!$W$31+1,R$16&lt;=Caminocrítico!$Z$31),IF(S38&lt;=$G$24,$G32,""),"")</f>
        <v/>
      </c>
      <c r="T35" s="91" t="str">
        <f>IF(AND(S$16&gt;=Caminocrítico!$W$31+1,S$16&lt;=Caminocrítico!$Z$31),IF(T38&lt;=$G$24,$G32,""),"")</f>
        <v/>
      </c>
      <c r="U35" s="91" t="str">
        <f>IF(AND(T$16&gt;=Caminocrítico!$W$31+1,T$16&lt;=Caminocrítico!$Z$31),IF(U38&lt;=$G$24,$G32,""),"")</f>
        <v/>
      </c>
      <c r="V35" s="91" t="str">
        <f>IF(AND(U$16&gt;=Caminocrítico!$W$31+1,U$16&lt;=Caminocrítico!$Z$31),IF(V38&lt;=$G$24,$G32,""),"")</f>
        <v/>
      </c>
      <c r="W35" s="91" t="str">
        <f>IF(AND(V$16&gt;=Caminocrítico!$W$31+1,V$16&lt;=Caminocrítico!$Z$31),IF(W38&lt;=$G$24,$G32,""),"")</f>
        <v/>
      </c>
      <c r="X35" s="91" t="str">
        <f>IF(AND(W$16&gt;=Caminocrítico!$W$31+1,W$16&lt;=Caminocrítico!$Z$31),IF(X38&lt;=$G$24,$G32,""),"")</f>
        <v/>
      </c>
      <c r="Y35" s="91" t="str">
        <f>IF(AND(X$16&gt;=Caminocrítico!$W$31+1,X$16&lt;=Caminocrítico!$Z$31),IF(Y38&lt;=$G$24,$G32,""),"")</f>
        <v/>
      </c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Z35" s="16"/>
    </row>
    <row r="36" spans="1:52" ht="24.9" customHeight="1">
      <c r="J36" s="42" t="s">
        <v>7</v>
      </c>
      <c r="K36" s="91" t="str">
        <f>IF(AND(J$16&gt;=Caminocrítico!$R$43+1,J$16&lt;=Caminocrítico!$U$43),IF(K38&lt;=$G$24,$G33,""),"")</f>
        <v/>
      </c>
      <c r="L36" s="91" t="str">
        <f>IF(AND(K$16&gt;=Caminocrítico!$R$43+1,K$16&lt;=Caminocrítico!$U$43),IF(L38&lt;=$G$24,$G33,""),"")</f>
        <v/>
      </c>
      <c r="M36" s="91" t="str">
        <f>IF(AND(L$16&gt;=Caminocrítico!$R$43+1,L$16&lt;=Caminocrítico!$U$43),IF(M38&lt;=$G$24,$G33,""),"")</f>
        <v/>
      </c>
      <c r="N36" s="91" t="str">
        <f>IF(AND(M$16&gt;=Caminocrítico!$R$43+1,M$16&lt;=Caminocrítico!$U$43),IF(N38&lt;=$G$24,$G33,""),"")</f>
        <v/>
      </c>
      <c r="O36" s="91" t="str">
        <f>IF(AND(N$16&gt;=Caminocrítico!$R$43+1,N$16&lt;=Caminocrítico!$U$43),IF(O38&lt;=$G$24,$G33,""),"")</f>
        <v/>
      </c>
      <c r="P36" s="91" t="str">
        <f>IF(AND(O$16&gt;=Caminocrítico!$R$43+1,O$16&lt;=Caminocrítico!$U$43),IF(P38&lt;=$G$24,$G33,""),"")</f>
        <v/>
      </c>
      <c r="Q36" s="91" t="str">
        <f>IF(AND(P$16&gt;=Caminocrítico!$R$43+1,P$16&lt;=Caminocrítico!$U$43),IF(Q38&lt;=$G$24,$G33,""),"")</f>
        <v/>
      </c>
      <c r="R36" s="91" t="str">
        <f>IF(AND(Q$16&gt;=Caminocrítico!$R$43+1,Q$16&lt;=Caminocrítico!$U$43),IF(R38&lt;=$G$24,$G33,""),"")</f>
        <v/>
      </c>
      <c r="S36" s="91" t="str">
        <f>IF(AND(R$16&gt;=Caminocrítico!$R$43+1,R$16&lt;=Caminocrítico!$U$43),IF(S38&lt;=$G$24,$G33,""),"")</f>
        <v/>
      </c>
      <c r="T36" s="91" t="str">
        <f>IF(AND(S$16&gt;=Caminocrítico!$R$43+1,S$16&lt;=Caminocrítico!$U$43),IF(T38&lt;=$G$24,$G33,""),"")</f>
        <v/>
      </c>
      <c r="U36" s="91" t="str">
        <f>IF(AND(T$16&gt;=Caminocrítico!$R$43+1,T$16&lt;=Caminocrítico!$U$43),IF(U38&lt;=$G$24,$G33,""),"")</f>
        <v/>
      </c>
      <c r="V36" s="91" t="str">
        <f>IF(AND(U$16&gt;=Caminocrítico!$R$43+1,U$16&lt;=Caminocrítico!$U$43),IF(V38&lt;=$G$24,$G33,""),"")</f>
        <v/>
      </c>
      <c r="W36" s="91" t="str">
        <f>IF(AND(V$16&gt;=Caminocrítico!$R$43+1,V$16&lt;=Caminocrítico!$U$43),IF(W38&lt;=$G$24,$G33,""),"")</f>
        <v/>
      </c>
      <c r="X36" s="91" t="str">
        <f>IF(AND(W$16&gt;=Caminocrítico!$R$43+1,W$16&lt;=Caminocrítico!$U$43),IF(X38&lt;=$G$24,$G33,""),"")</f>
        <v/>
      </c>
      <c r="Y36" s="91" t="str">
        <f>IF(AND(X$16&gt;=Caminocrítico!$R$43+1,X$16&lt;=Caminocrítico!$U$43),IF(Y38&lt;=$G$24,$G33,""),"")</f>
        <v/>
      </c>
    </row>
    <row r="37" spans="1:52" ht="24.9" customHeight="1" thickBot="1">
      <c r="A37" s="125" t="s">
        <v>54</v>
      </c>
      <c r="B37" s="125"/>
      <c r="C37" s="125"/>
      <c r="D37" s="125"/>
      <c r="E37" s="125"/>
      <c r="F37" s="125"/>
      <c r="G37" s="125"/>
      <c r="J37" s="42" t="s">
        <v>5</v>
      </c>
      <c r="K37" s="97" t="str">
        <f>IF(AND(J$16&gt;=Caminocrítico!$W$37+1,J$16&lt;=Caminocrítico!$Z$37),IF(K38&lt;=$G$24,$G34,""),"")</f>
        <v/>
      </c>
      <c r="L37" s="97" t="str">
        <f>IF(AND(K$16&gt;=Caminocrítico!$W$37+1,K$16&lt;=Caminocrítico!$Z$37),IF(L38&lt;=$G$24,$G34,""),"")</f>
        <v/>
      </c>
      <c r="M37" s="97" t="str">
        <f>IF(AND(L$16&gt;=Caminocrítico!$W$37+1,L$16&lt;=Caminocrítico!$Z$37),IF(M38&lt;=$G$24,$G34,""),"")</f>
        <v/>
      </c>
      <c r="N37" s="97" t="str">
        <f>IF(AND(M$16&gt;=Caminocrítico!$W$37+1,M$16&lt;=Caminocrítico!$Z$37),IF(N38&lt;=$G$24,$G34,""),"")</f>
        <v/>
      </c>
      <c r="O37" s="97" t="str">
        <f>IF(AND(N$16&gt;=Caminocrítico!$W$37+1,N$16&lt;=Caminocrítico!$Z$37),IF(O38&lt;=$G$24,$G34,""),"")</f>
        <v/>
      </c>
      <c r="P37" s="97" t="str">
        <f>IF(AND(O$16&gt;=Caminocrítico!$W$37+1,O$16&lt;=Caminocrítico!$Z$37),IF(P38&lt;=$G$24,$G34,""),"")</f>
        <v/>
      </c>
      <c r="Q37" s="97" t="str">
        <f>IF(AND(P$16&gt;=Caminocrítico!$W$37+1,P$16&lt;=Caminocrítico!$Z$37),IF(Q38&lt;=$G$24,$G34,""),"")</f>
        <v/>
      </c>
      <c r="R37" s="97" t="str">
        <f>IF(AND(Q$16&gt;=Caminocrítico!$W$37+1,Q$16&lt;=Caminocrítico!$Z$37),IF(R38&lt;=$G$24,$G34,""),"")</f>
        <v/>
      </c>
      <c r="S37" s="97" t="str">
        <f>IF(AND(R$16&gt;=Caminocrítico!$W$37+1,R$16&lt;=Caminocrítico!$Z$37),IF(S38&lt;=$G$24,$G34,""),"")</f>
        <v/>
      </c>
      <c r="T37" s="97" t="str">
        <f>IF(AND(S$16&gt;=Caminocrítico!$W$37+1,S$16&lt;=Caminocrítico!$Z$37),IF(T38&lt;=$G$24,$G34,""),"")</f>
        <v/>
      </c>
      <c r="U37" s="97" t="str">
        <f>IF(AND(T$16&gt;=Caminocrítico!$W$37+1,T$16&lt;=Caminocrítico!$Z$37),IF(U38&lt;=$G$24,$G34,""),"")</f>
        <v/>
      </c>
      <c r="V37" s="97" t="str">
        <f>IF(AND(U$16&gt;=Caminocrítico!$W$37+1,U$16&lt;=Caminocrítico!$Z$37),IF(V38&lt;=$G$24,$G34,""),"")</f>
        <v/>
      </c>
      <c r="W37" s="97" t="str">
        <f>IF(AND(V$16&gt;=Caminocrítico!$W$37+1,V$16&lt;=Caminocrítico!$Z$37),IF(W38&lt;=$G$24,$G34,""),"")</f>
        <v/>
      </c>
      <c r="X37" s="97" t="str">
        <f>IF(AND(W$16&gt;=Caminocrítico!$W$37+1,W$16&lt;=Caminocrítico!$Z$37),IF(X38&lt;=$G$24,$G34,""),"")</f>
        <v/>
      </c>
      <c r="Y37" s="97" t="str">
        <f>IF(AND(X$16&gt;=Caminocrítico!$W$37+1,X$16&lt;=Caminocrítico!$Z$37),IF(Y38&lt;=$G$24,$G34,""),"")</f>
        <v/>
      </c>
    </row>
    <row r="38" spans="1:52" ht="24.9" customHeight="1" thickTop="1">
      <c r="J38" s="15"/>
      <c r="K38" s="80">
        <v>1</v>
      </c>
      <c r="L38" s="80">
        <v>2</v>
      </c>
      <c r="M38" s="80">
        <v>3</v>
      </c>
      <c r="N38" s="80">
        <v>4</v>
      </c>
      <c r="O38" s="80">
        <v>5</v>
      </c>
      <c r="P38" s="80">
        <v>6</v>
      </c>
      <c r="Q38" s="80">
        <v>7</v>
      </c>
      <c r="R38" s="80">
        <v>8</v>
      </c>
      <c r="S38" s="80">
        <v>9</v>
      </c>
      <c r="T38" s="80">
        <v>10</v>
      </c>
      <c r="U38" s="80">
        <v>11</v>
      </c>
      <c r="V38" s="80">
        <v>12</v>
      </c>
      <c r="W38" s="80">
        <v>13</v>
      </c>
      <c r="X38" s="80">
        <v>14</v>
      </c>
      <c r="Y38" s="80">
        <v>15</v>
      </c>
    </row>
    <row r="39" spans="1:52" ht="24.9" customHeight="1">
      <c r="A39" s="110"/>
      <c r="B39" s="110">
        <v>1</v>
      </c>
      <c r="C39" s="110">
        <v>2</v>
      </c>
      <c r="D39" s="110">
        <v>3</v>
      </c>
      <c r="E39" s="110">
        <v>4</v>
      </c>
      <c r="F39" s="110">
        <v>5</v>
      </c>
      <c r="G39" s="110">
        <v>6</v>
      </c>
      <c r="H39" s="110">
        <v>7</v>
      </c>
      <c r="I39" s="110">
        <v>8</v>
      </c>
      <c r="J39" s="84"/>
      <c r="K39" s="84"/>
      <c r="L39" s="84"/>
      <c r="M39" s="84"/>
      <c r="N39" s="84"/>
      <c r="O39" s="84"/>
      <c r="P39" s="84"/>
      <c r="Q39" s="84"/>
    </row>
    <row r="40" spans="1:52" ht="24.9" customHeight="1">
      <c r="A40" s="109" t="s">
        <v>0</v>
      </c>
      <c r="B40" s="113">
        <v>0.33333333333333331</v>
      </c>
      <c r="C40" s="113">
        <v>0.66666666666666663</v>
      </c>
      <c r="D40" s="113">
        <v>1</v>
      </c>
      <c r="E40" s="111">
        <v>1</v>
      </c>
      <c r="F40" s="111">
        <v>1</v>
      </c>
      <c r="G40" s="111">
        <v>1</v>
      </c>
      <c r="H40" s="111">
        <v>1</v>
      </c>
      <c r="I40" s="111">
        <v>1</v>
      </c>
    </row>
    <row r="41" spans="1:52" ht="24.9" customHeight="1">
      <c r="A41" s="109" t="s">
        <v>10</v>
      </c>
      <c r="B41" s="113">
        <v>1</v>
      </c>
      <c r="C41" s="111">
        <v>1</v>
      </c>
      <c r="D41" s="111">
        <v>1</v>
      </c>
      <c r="E41" s="111">
        <v>1</v>
      </c>
      <c r="F41" s="111">
        <v>1</v>
      </c>
      <c r="G41" s="111">
        <v>1</v>
      </c>
      <c r="H41" s="111">
        <v>1</v>
      </c>
      <c r="I41" s="111">
        <v>1</v>
      </c>
    </row>
    <row r="42" spans="1:52" ht="24.9" customHeight="1">
      <c r="A42" s="109" t="s">
        <v>6</v>
      </c>
      <c r="B42" s="111">
        <v>0</v>
      </c>
      <c r="C42" s="111">
        <v>0</v>
      </c>
      <c r="D42" s="111">
        <v>0</v>
      </c>
      <c r="E42" s="114">
        <v>0.5</v>
      </c>
      <c r="F42" s="114">
        <v>1</v>
      </c>
      <c r="G42" s="112">
        <v>1</v>
      </c>
      <c r="H42" s="112">
        <v>1</v>
      </c>
      <c r="I42" s="112">
        <v>1</v>
      </c>
    </row>
    <row r="43" spans="1:52" ht="24.9" customHeight="1">
      <c r="A43" s="109" t="s">
        <v>11</v>
      </c>
      <c r="B43" s="111">
        <v>0</v>
      </c>
      <c r="C43" s="111">
        <v>0</v>
      </c>
      <c r="D43" s="111">
        <v>0</v>
      </c>
      <c r="E43" s="114">
        <v>0.5</v>
      </c>
      <c r="F43" s="114">
        <v>1</v>
      </c>
      <c r="G43" s="112">
        <v>1</v>
      </c>
      <c r="H43" s="112">
        <v>1</v>
      </c>
      <c r="I43" s="112">
        <v>1</v>
      </c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</row>
    <row r="44" spans="1:52" ht="24.9" customHeight="1">
      <c r="A44" s="109" t="s">
        <v>3</v>
      </c>
      <c r="B44" s="111">
        <v>0</v>
      </c>
      <c r="C44" s="111">
        <v>0</v>
      </c>
      <c r="D44" s="111">
        <v>0</v>
      </c>
      <c r="E44" s="112">
        <v>0</v>
      </c>
      <c r="F44" s="112">
        <v>0</v>
      </c>
      <c r="G44" s="114">
        <v>0.33333333333333331</v>
      </c>
      <c r="H44" s="114">
        <v>0.66666666666666663</v>
      </c>
      <c r="I44" s="114">
        <v>1</v>
      </c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5"/>
    </row>
    <row r="45" spans="1:52" ht="24.9" customHeight="1">
      <c r="A45" s="109" t="s">
        <v>1</v>
      </c>
      <c r="B45" s="111">
        <v>0</v>
      </c>
      <c r="C45" s="111">
        <v>0</v>
      </c>
      <c r="D45" s="111">
        <v>0</v>
      </c>
      <c r="E45" s="112">
        <v>0</v>
      </c>
      <c r="F45" s="112">
        <v>0</v>
      </c>
      <c r="G45" s="114">
        <v>0.5</v>
      </c>
      <c r="H45" s="114">
        <v>1</v>
      </c>
      <c r="I45" s="112">
        <v>1</v>
      </c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5"/>
    </row>
    <row r="46" spans="1:52" ht="24.9" customHeight="1">
      <c r="A46" s="109" t="s">
        <v>12</v>
      </c>
      <c r="B46" s="111">
        <v>0</v>
      </c>
      <c r="C46" s="113">
        <v>0.14285714285714285</v>
      </c>
      <c r="D46" s="113">
        <v>0.2857142857142857</v>
      </c>
      <c r="E46" s="113">
        <v>0.42857142857142899</v>
      </c>
      <c r="F46" s="113">
        <v>0.57142857142857195</v>
      </c>
      <c r="G46" s="113">
        <v>0.71428571428571397</v>
      </c>
      <c r="H46" s="113">
        <v>0.85714285714285698</v>
      </c>
      <c r="I46" s="113">
        <v>1</v>
      </c>
    </row>
    <row r="47" spans="1:52" ht="24.9" customHeight="1">
      <c r="A47" s="109" t="s">
        <v>2</v>
      </c>
      <c r="B47" s="111">
        <v>0</v>
      </c>
      <c r="C47" s="111">
        <v>0</v>
      </c>
      <c r="D47" s="111">
        <v>0</v>
      </c>
      <c r="E47" s="112">
        <v>0</v>
      </c>
      <c r="F47" s="112">
        <v>0</v>
      </c>
      <c r="G47" s="112">
        <v>0</v>
      </c>
      <c r="H47" s="112">
        <v>0</v>
      </c>
      <c r="I47" s="112">
        <v>0</v>
      </c>
    </row>
    <row r="48" spans="1:52" ht="24.9" customHeight="1">
      <c r="A48" s="109" t="s">
        <v>7</v>
      </c>
      <c r="B48" s="111">
        <v>0</v>
      </c>
      <c r="C48" s="111">
        <v>0</v>
      </c>
      <c r="D48" s="111">
        <v>0</v>
      </c>
      <c r="E48" s="111">
        <v>0</v>
      </c>
      <c r="F48" s="111">
        <v>0</v>
      </c>
      <c r="G48" s="111">
        <v>0</v>
      </c>
      <c r="H48" s="111">
        <v>0</v>
      </c>
      <c r="I48" s="111">
        <v>0</v>
      </c>
    </row>
    <row r="49" spans="1:9" ht="24.9" customHeight="1">
      <c r="A49" s="109" t="s">
        <v>5</v>
      </c>
      <c r="B49" s="111">
        <v>0</v>
      </c>
      <c r="C49" s="111">
        <v>0</v>
      </c>
      <c r="D49" s="111">
        <v>0</v>
      </c>
      <c r="E49" s="111">
        <v>0</v>
      </c>
      <c r="F49" s="111">
        <v>0</v>
      </c>
      <c r="G49" s="111">
        <v>0</v>
      </c>
      <c r="H49" s="111">
        <v>0</v>
      </c>
      <c r="I49" s="111">
        <v>0</v>
      </c>
    </row>
  </sheetData>
  <mergeCells count="11">
    <mergeCell ref="F17:I17"/>
    <mergeCell ref="F18:I18"/>
    <mergeCell ref="F19:I19"/>
    <mergeCell ref="F20:I20"/>
    <mergeCell ref="F22:I22"/>
    <mergeCell ref="N24:Q24"/>
    <mergeCell ref="N25:Q25"/>
    <mergeCell ref="R21:U21"/>
    <mergeCell ref="R22:U22"/>
    <mergeCell ref="A37:G37"/>
    <mergeCell ref="F21:I21"/>
  </mergeCells>
  <conditionalFormatting sqref="J2:AK15 Z34:AL34 Z25:AM33 K28:Y34">
    <cfRule type="expression" dxfId="9" priority="43">
      <formula>J2&lt;&gt;""</formula>
    </cfRule>
  </conditionalFormatting>
  <conditionalFormatting sqref="K36:Y37">
    <cfRule type="expression" dxfId="8" priority="7">
      <formula>K36&lt;&gt;""</formula>
    </cfRule>
  </conditionalFormatting>
  <conditionalFormatting sqref="K35:Y35">
    <cfRule type="expression" dxfId="7" priority="2">
      <formula>K35&lt;&gt;""</formula>
    </cfRule>
  </conditionalFormatting>
  <pageMargins left="0.7" right="0.7" top="0.75" bottom="0.75" header="0.3" footer="0.3"/>
  <pageSetup paperSize="9" orientation="portrait" horizontalDpi="4294967293" vertic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6225D3F7-692D-467D-8616-E3DBBE50271D}">
            <xm:f>Caminocrítico!$O$16=J$16</xm:f>
            <x14:dxf>
              <border>
                <right style="dotted">
                  <color rgb="FFC00000"/>
                </right>
                <vertical/>
                <horizontal/>
              </border>
            </x14:dxf>
          </x14:cfRule>
          <xm:sqref>J2:AK15</xm:sqref>
        </x14:conditionalFormatting>
        <x14:conditionalFormatting xmlns:xm="http://schemas.microsoft.com/office/excel/2006/main">
          <x14:cfRule type="expression" priority="26" id="{A30D406B-4F42-47D8-816C-277ED9D573FA}">
            <xm:f>Caminocrítico!$O$16=J$16</xm:f>
            <x14:dxf>
              <border>
                <right style="dotted">
                  <color rgb="FFFF0000"/>
                </right>
                <vertical/>
                <horizontal/>
              </border>
            </x14:dxf>
          </x14:cfRule>
          <xm:sqref>J17:AL20 J21:R22 V21:AL22</xm:sqref>
        </x14:conditionalFormatting>
        <x14:conditionalFormatting xmlns:xm="http://schemas.microsoft.com/office/excel/2006/main">
          <x14:cfRule type="expression" priority="6" id="{8FBD6B78-B8F2-4E11-A33D-2C205F8FDE56}">
            <xm:f>Caminocrítico!$O$16=J$16</xm:f>
            <x14:dxf>
              <border>
                <right style="dotted">
                  <color rgb="FFC00000"/>
                </right>
                <vertical/>
                <horizontal/>
              </border>
            </x14:dxf>
          </x14:cfRule>
          <xm:sqref>K36:Y37 Z25:AM33 K28:Y34 Z34:AL34</xm:sqref>
        </x14:conditionalFormatting>
        <x14:conditionalFormatting xmlns:xm="http://schemas.microsoft.com/office/excel/2006/main">
          <x14:cfRule type="expression" priority="5" id="{2F804881-CF39-4858-8E2D-74C5FB3CA291}">
            <xm:f>Caminocrítico!$O$16=J$16</xm:f>
            <x14:dxf>
              <border>
                <right style="dotted">
                  <color rgb="FFFF0000"/>
                </right>
                <vertical/>
                <horizontal/>
              </border>
            </x14:dxf>
          </x14:cfRule>
          <xm:sqref>J39:Q39</xm:sqref>
        </x14:conditionalFormatting>
        <x14:conditionalFormatting xmlns:xm="http://schemas.microsoft.com/office/excel/2006/main">
          <x14:cfRule type="expression" priority="3" id="{A296410A-9868-429F-9948-A5CB4495A135}">
            <xm:f>Caminocrítico!$O$16=J$16</xm:f>
            <x14:dxf>
              <border>
                <right style="dotted">
                  <color rgb="FFFF0000"/>
                </right>
                <vertical/>
                <horizontal/>
              </border>
            </x14:dxf>
          </x14:cfRule>
          <xm:sqref>J45:V45</xm:sqref>
        </x14:conditionalFormatting>
        <x14:conditionalFormatting xmlns:xm="http://schemas.microsoft.com/office/excel/2006/main">
          <x14:cfRule type="expression" priority="4" id="{BCDD0BD8-4E4A-4485-B032-2C52BE646E20}">
            <xm:f>Caminocrítico!$O$16=J$16</xm:f>
            <x14:dxf>
              <border>
                <right style="dotted">
                  <color rgb="FFFF0000"/>
                </right>
                <vertical/>
                <horizontal/>
              </border>
            </x14:dxf>
          </x14:cfRule>
          <xm:sqref>J44:V44</xm:sqref>
        </x14:conditionalFormatting>
        <x14:conditionalFormatting xmlns:xm="http://schemas.microsoft.com/office/excel/2006/main">
          <x14:cfRule type="expression" priority="1" id="{422E19FF-FB6B-4F94-931C-2184F679B53D}">
            <xm:f>Caminocrítico!$O$16=J$16</xm:f>
            <x14:dxf>
              <border>
                <right style="dotted">
                  <color rgb="FFC00000"/>
                </right>
                <vertical/>
                <horizontal/>
              </border>
            </x14:dxf>
          </x14:cfRule>
          <xm:sqref>K35:Y35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C11C8-0750-48C9-A724-99146AD569E9}">
  <dimension ref="A1:J3"/>
  <sheetViews>
    <sheetView tabSelected="1" workbookViewId="0">
      <selection sqref="A1:B1"/>
    </sheetView>
  </sheetViews>
  <sheetFormatPr baseColWidth="10" defaultRowHeight="14.4"/>
  <sheetData>
    <row r="1" spans="1:10">
      <c r="A1" s="141" t="s">
        <v>24</v>
      </c>
      <c r="B1" s="141"/>
      <c r="C1">
        <v>1200</v>
      </c>
      <c r="D1">
        <v>2400</v>
      </c>
      <c r="E1">
        <v>4200</v>
      </c>
      <c r="F1">
        <v>6000</v>
      </c>
      <c r="G1">
        <v>7800</v>
      </c>
      <c r="H1">
        <v>9600</v>
      </c>
      <c r="I1">
        <v>10800</v>
      </c>
      <c r="J1">
        <v>12000</v>
      </c>
    </row>
    <row r="2" spans="1:10">
      <c r="A2" s="141" t="s">
        <v>25</v>
      </c>
      <c r="B2" s="141"/>
      <c r="C2">
        <v>1780</v>
      </c>
      <c r="D2">
        <v>2694.2857142857142</v>
      </c>
      <c r="E2">
        <v>3608.5714285714284</v>
      </c>
      <c r="F2">
        <v>5062.8571428571449</v>
      </c>
      <c r="G2">
        <v>6517.1428571428587</v>
      </c>
      <c r="H2">
        <v>10111.428571428571</v>
      </c>
      <c r="I2">
        <v>13705.714285714286</v>
      </c>
      <c r="J2">
        <v>15440</v>
      </c>
    </row>
    <row r="3" spans="1:10">
      <c r="A3" s="141" t="s">
        <v>26</v>
      </c>
      <c r="B3" s="141"/>
      <c r="C3">
        <v>1600</v>
      </c>
      <c r="D3">
        <v>2514.2857142857142</v>
      </c>
      <c r="E3">
        <v>3428.5714285714284</v>
      </c>
      <c r="F3">
        <v>4542.8571428571449</v>
      </c>
      <c r="G3">
        <v>5657.1428571428587</v>
      </c>
      <c r="H3">
        <v>7471.4285714285706</v>
      </c>
      <c r="I3">
        <v>9285.7142857142862</v>
      </c>
      <c r="J3">
        <v>10200</v>
      </c>
    </row>
  </sheetData>
  <mergeCells count="3">
    <mergeCell ref="A1:B1"/>
    <mergeCell ref="A2:B2"/>
    <mergeCell ref="A3:B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51"/>
  <sheetViews>
    <sheetView topLeftCell="A10" zoomScale="55" zoomScaleNormal="55" workbookViewId="0">
      <selection activeCell="B40" sqref="B40"/>
    </sheetView>
  </sheetViews>
  <sheetFormatPr baseColWidth="10" defaultRowHeight="14.4"/>
  <cols>
    <col min="1" max="1" width="9" customWidth="1"/>
    <col min="2" max="2" width="15.88671875" customWidth="1"/>
    <col min="3" max="32" width="4.6640625" customWidth="1"/>
  </cols>
  <sheetData>
    <row r="1" spans="1:32" ht="13.95" customHeight="1" thickBot="1">
      <c r="A1" s="5" t="s">
        <v>9</v>
      </c>
      <c r="B1" s="39">
        <f>Enunciado!C3</f>
        <v>53884051</v>
      </c>
    </row>
    <row r="2" spans="1:32" ht="13.95" customHeight="1" thickBot="1">
      <c r="J2" s="1"/>
      <c r="K2" s="9"/>
      <c r="L2" s="9"/>
      <c r="M2" s="1"/>
      <c r="N2" s="1"/>
      <c r="O2" s="1"/>
      <c r="P2" s="1"/>
      <c r="Q2" s="20"/>
      <c r="R2" s="20"/>
      <c r="S2" s="20"/>
      <c r="T2" s="20"/>
      <c r="U2" s="1"/>
      <c r="V2" s="1"/>
      <c r="W2" s="20"/>
      <c r="X2" s="1"/>
      <c r="Y2" s="1"/>
      <c r="Z2" s="20"/>
      <c r="AA2" s="1"/>
    </row>
    <row r="3" spans="1:32" ht="13.95" customHeight="1" thickTop="1" thickBot="1">
      <c r="A3" s="18" t="s">
        <v>13</v>
      </c>
      <c r="B3" s="6" t="s">
        <v>16</v>
      </c>
      <c r="C3" s="1"/>
      <c r="D3" s="1"/>
      <c r="E3" s="1"/>
      <c r="F3" s="1"/>
      <c r="G3" s="1"/>
      <c r="H3" s="1"/>
      <c r="I3" s="1"/>
      <c r="J3" s="1"/>
      <c r="K3" s="148" t="s">
        <v>6</v>
      </c>
      <c r="L3" s="149"/>
      <c r="M3" s="150">
        <f>B6</f>
        <v>1</v>
      </c>
      <c r="N3" s="151"/>
      <c r="O3" s="1"/>
      <c r="P3" s="1"/>
      <c r="Q3" s="28" t="s">
        <v>3</v>
      </c>
      <c r="R3" s="29"/>
      <c r="S3" s="30">
        <f>B8</f>
        <v>2</v>
      </c>
      <c r="T3" s="31"/>
      <c r="U3" s="1"/>
      <c r="V3" s="1"/>
      <c r="W3" s="152" t="s">
        <v>2</v>
      </c>
      <c r="X3" s="153"/>
      <c r="Y3" s="154">
        <f>B11</f>
        <v>3</v>
      </c>
      <c r="Z3" s="155"/>
      <c r="AA3" s="1"/>
      <c r="AB3" s="1"/>
      <c r="AC3" s="1"/>
      <c r="AD3" s="1"/>
      <c r="AE3" s="1"/>
      <c r="AF3" s="1"/>
    </row>
    <row r="4" spans="1:32" ht="13.95" customHeight="1" thickBot="1">
      <c r="A4" s="17" t="s">
        <v>0</v>
      </c>
      <c r="B4" s="6">
        <f>Enunciado!C19</f>
        <v>2</v>
      </c>
      <c r="C4" s="1"/>
      <c r="D4" s="1"/>
      <c r="E4" s="1"/>
      <c r="F4" s="1"/>
      <c r="G4" s="1"/>
      <c r="H4" s="1"/>
      <c r="I4" s="1"/>
      <c r="J4" s="1"/>
      <c r="K4" s="11">
        <f>H6</f>
        <v>2</v>
      </c>
      <c r="L4" s="9"/>
      <c r="M4" s="12"/>
      <c r="N4" s="26">
        <f>K4+M3</f>
        <v>3</v>
      </c>
      <c r="O4" s="1"/>
      <c r="P4" s="1"/>
      <c r="Q4" s="25">
        <f>N4</f>
        <v>3</v>
      </c>
      <c r="R4" s="20"/>
      <c r="S4" s="12"/>
      <c r="T4" s="26">
        <f>Q4+S3</f>
        <v>5</v>
      </c>
      <c r="U4" s="1"/>
      <c r="V4" s="1"/>
      <c r="W4" s="25">
        <f>T4</f>
        <v>5</v>
      </c>
      <c r="X4" s="20"/>
      <c r="Y4" s="12"/>
      <c r="Z4" s="26">
        <f>W4+Y3</f>
        <v>8</v>
      </c>
      <c r="AA4" s="1"/>
      <c r="AB4" s="1"/>
      <c r="AC4" s="1"/>
      <c r="AD4" s="1"/>
      <c r="AE4" s="1"/>
      <c r="AF4" s="1"/>
    </row>
    <row r="5" spans="1:32" ht="13.95" customHeight="1" thickTop="1" thickBot="1">
      <c r="A5" s="18" t="s">
        <v>10</v>
      </c>
      <c r="B5" s="6">
        <f>Enunciado!C20</f>
        <v>2</v>
      </c>
      <c r="C5" s="1"/>
      <c r="D5" s="1"/>
      <c r="E5" s="152" t="s">
        <v>0</v>
      </c>
      <c r="F5" s="153"/>
      <c r="G5" s="154">
        <f>B4</f>
        <v>2</v>
      </c>
      <c r="H5" s="155"/>
      <c r="I5" s="9"/>
      <c r="J5" s="1"/>
      <c r="K5" s="23">
        <f>N5-M3</f>
        <v>4</v>
      </c>
      <c r="L5" s="3"/>
      <c r="M5" s="2"/>
      <c r="N5" s="13">
        <f>MIN(Q5,Q11)</f>
        <v>5</v>
      </c>
      <c r="O5" s="1"/>
      <c r="P5" s="1"/>
      <c r="Q5" s="23">
        <f>T5-S3</f>
        <v>6</v>
      </c>
      <c r="R5" s="3"/>
      <c r="S5" s="2"/>
      <c r="T5" s="26">
        <f>W5</f>
        <v>8</v>
      </c>
      <c r="U5" s="1"/>
      <c r="V5" s="1"/>
      <c r="W5" s="23">
        <f>Z5-Y3</f>
        <v>8</v>
      </c>
      <c r="X5" s="3"/>
      <c r="Y5" s="2"/>
      <c r="Z5" s="26">
        <f>W11</f>
        <v>11</v>
      </c>
      <c r="AA5" s="1"/>
      <c r="AB5" s="1"/>
      <c r="AC5" s="1"/>
      <c r="AD5" s="1"/>
      <c r="AE5" s="1"/>
      <c r="AF5" s="1"/>
    </row>
    <row r="6" spans="1:32" ht="13.95" customHeight="1" thickBot="1">
      <c r="A6" s="18" t="s">
        <v>6</v>
      </c>
      <c r="B6" s="6">
        <f>Enunciado!C21</f>
        <v>1</v>
      </c>
      <c r="C6" s="1"/>
      <c r="D6" s="1"/>
      <c r="E6" s="25">
        <v>0</v>
      </c>
      <c r="F6" s="20"/>
      <c r="G6" s="12"/>
      <c r="H6" s="26">
        <f>E6+G5</f>
        <v>2</v>
      </c>
      <c r="I6" s="1"/>
      <c r="J6" s="1"/>
      <c r="K6" s="142">
        <f>N5-K4</f>
        <v>3</v>
      </c>
      <c r="L6" s="143"/>
      <c r="M6" s="144">
        <f>K6-M3</f>
        <v>2</v>
      </c>
      <c r="N6" s="145"/>
      <c r="O6" s="9"/>
      <c r="P6" s="20"/>
      <c r="Q6" s="142">
        <f>T5-Q4</f>
        <v>5</v>
      </c>
      <c r="R6" s="143"/>
      <c r="S6" s="144">
        <f>Q6-S3</f>
        <v>3</v>
      </c>
      <c r="T6" s="145"/>
      <c r="U6" s="9"/>
      <c r="V6" s="1"/>
      <c r="W6" s="142">
        <f>Z5-W4</f>
        <v>6</v>
      </c>
      <c r="X6" s="143"/>
      <c r="Y6" s="144">
        <f>W6-Y3</f>
        <v>3</v>
      </c>
      <c r="Z6" s="145"/>
      <c r="AA6" s="1"/>
      <c r="AB6" s="1"/>
      <c r="AC6" s="1"/>
      <c r="AD6" s="1"/>
      <c r="AE6" s="1"/>
      <c r="AF6" s="1"/>
    </row>
    <row r="7" spans="1:32" ht="13.95" customHeight="1" thickBot="1">
      <c r="A7" s="18" t="s">
        <v>11</v>
      </c>
      <c r="B7" s="6">
        <f>Enunciado!C22</f>
        <v>1</v>
      </c>
      <c r="C7" s="1"/>
      <c r="D7" s="1"/>
      <c r="E7" s="23">
        <f>H7-G5</f>
        <v>2</v>
      </c>
      <c r="F7" s="3"/>
      <c r="G7" s="2"/>
      <c r="H7" s="26">
        <f>MIN(K11,K5)</f>
        <v>4</v>
      </c>
      <c r="I7" s="1"/>
      <c r="J7" s="1"/>
      <c r="K7" s="9"/>
      <c r="L7" s="9"/>
      <c r="M7" s="9"/>
      <c r="N7" s="9"/>
      <c r="O7" s="9"/>
      <c r="P7" s="9"/>
      <c r="Q7" s="9"/>
      <c r="R7" s="9"/>
      <c r="S7" s="9"/>
      <c r="T7" s="1"/>
      <c r="U7" s="1"/>
      <c r="V7" s="9"/>
      <c r="W7" s="9"/>
      <c r="X7" s="1"/>
      <c r="Y7" s="1"/>
      <c r="Z7" s="9"/>
      <c r="AA7" s="1"/>
      <c r="AB7" s="1"/>
      <c r="AC7" s="1"/>
      <c r="AD7" s="1"/>
      <c r="AE7" s="1"/>
      <c r="AF7" s="1"/>
    </row>
    <row r="8" spans="1:32" ht="13.95" customHeight="1" thickBot="1">
      <c r="A8" s="18" t="s">
        <v>3</v>
      </c>
      <c r="B8" s="6">
        <f>Enunciado!C23</f>
        <v>2</v>
      </c>
      <c r="C8" s="1"/>
      <c r="D8" s="1"/>
      <c r="E8" s="142">
        <f>H7-E6</f>
        <v>4</v>
      </c>
      <c r="F8" s="143"/>
      <c r="G8" s="144">
        <f>E8-G5</f>
        <v>2</v>
      </c>
      <c r="H8" s="145"/>
      <c r="I8" s="9"/>
      <c r="J8" s="1"/>
      <c r="K8" s="1"/>
      <c r="L8" s="1"/>
      <c r="M8" s="1"/>
      <c r="N8" s="1"/>
      <c r="O8" s="1"/>
      <c r="P8" s="9"/>
      <c r="Q8" s="20"/>
      <c r="R8" s="20"/>
      <c r="S8" s="20"/>
      <c r="T8" s="20"/>
      <c r="U8" s="1"/>
      <c r="V8" s="9"/>
      <c r="W8" s="20"/>
      <c r="X8" s="1"/>
      <c r="Y8" s="1"/>
      <c r="Z8" s="20"/>
      <c r="AA8" s="1"/>
      <c r="AB8" s="1"/>
      <c r="AC8" s="1"/>
      <c r="AD8" s="1"/>
      <c r="AE8" s="1"/>
      <c r="AF8" s="1"/>
    </row>
    <row r="9" spans="1:32" ht="13.95" customHeight="1" thickTop="1" thickBot="1">
      <c r="A9" s="18" t="s">
        <v>1</v>
      </c>
      <c r="B9" s="6">
        <f>Enunciado!C24</f>
        <v>3</v>
      </c>
      <c r="C9" s="1"/>
      <c r="D9" s="1"/>
      <c r="E9" s="9"/>
      <c r="F9" s="9"/>
      <c r="G9" s="1"/>
      <c r="H9" s="1"/>
      <c r="I9" s="1"/>
      <c r="J9" s="20"/>
      <c r="K9" s="152" t="s">
        <v>11</v>
      </c>
      <c r="L9" s="153"/>
      <c r="M9" s="154">
        <f>B7</f>
        <v>1</v>
      </c>
      <c r="N9" s="155"/>
      <c r="O9" s="9"/>
      <c r="P9" s="1"/>
      <c r="Q9" s="28" t="s">
        <v>1</v>
      </c>
      <c r="R9" s="29"/>
      <c r="S9" s="32">
        <f>B9</f>
        <v>3</v>
      </c>
      <c r="T9" s="33"/>
      <c r="U9" s="1"/>
      <c r="V9" s="8"/>
      <c r="W9" s="152" t="s">
        <v>5</v>
      </c>
      <c r="X9" s="153"/>
      <c r="Y9" s="156">
        <f>B13</f>
        <v>2</v>
      </c>
      <c r="Z9" s="157"/>
      <c r="AA9" s="1"/>
      <c r="AB9" s="1"/>
      <c r="AC9" s="1"/>
      <c r="AD9" s="1"/>
      <c r="AE9" s="1"/>
      <c r="AF9" s="1"/>
    </row>
    <row r="10" spans="1:32" ht="13.95" customHeight="1" thickBot="1">
      <c r="A10" s="18" t="s">
        <v>12</v>
      </c>
      <c r="B10" s="6">
        <f>Enunciado!C25</f>
        <v>6</v>
      </c>
      <c r="H10" s="1"/>
      <c r="I10" s="1"/>
      <c r="J10" s="1"/>
      <c r="K10" s="25">
        <f>H6</f>
        <v>2</v>
      </c>
      <c r="L10" s="20"/>
      <c r="M10" s="12"/>
      <c r="N10" s="26">
        <f>K10+M9</f>
        <v>3</v>
      </c>
      <c r="O10" s="1"/>
      <c r="P10" s="1"/>
      <c r="Q10" s="25">
        <f>MAX(N10,N4)</f>
        <v>3</v>
      </c>
      <c r="R10" s="20"/>
      <c r="S10" s="12"/>
      <c r="T10" s="26">
        <f>Q10+S9</f>
        <v>6</v>
      </c>
      <c r="U10" s="9"/>
      <c r="V10" s="8"/>
      <c r="W10" s="11">
        <f>MAX(U16,Z4)</f>
        <v>11</v>
      </c>
      <c r="X10" s="9"/>
      <c r="Y10" s="12"/>
      <c r="Z10" s="26">
        <f>W10+Y9</f>
        <v>13</v>
      </c>
      <c r="AA10" s="1"/>
      <c r="AB10" s="1"/>
      <c r="AC10" s="1"/>
      <c r="AD10" s="1"/>
      <c r="AE10" s="1"/>
      <c r="AF10" s="1"/>
    </row>
    <row r="11" spans="1:32" ht="13.95" customHeight="1" thickTop="1" thickBot="1">
      <c r="A11" s="18" t="s">
        <v>2</v>
      </c>
      <c r="B11" s="6">
        <f>Enunciado!C26</f>
        <v>3</v>
      </c>
      <c r="H11" s="1"/>
      <c r="I11" s="1"/>
      <c r="J11" s="1"/>
      <c r="K11" s="23">
        <f>N11-M9</f>
        <v>4</v>
      </c>
      <c r="L11" s="3"/>
      <c r="M11" s="2"/>
      <c r="N11" s="26">
        <f>Q11</f>
        <v>5</v>
      </c>
      <c r="O11" s="1"/>
      <c r="P11" s="1"/>
      <c r="Q11" s="23">
        <f>T11-S9</f>
        <v>5</v>
      </c>
      <c r="R11" s="3"/>
      <c r="S11" s="2"/>
      <c r="T11" s="26">
        <f>R17</f>
        <v>8</v>
      </c>
      <c r="U11" s="9"/>
      <c r="V11" s="8"/>
      <c r="W11" s="23">
        <f>Z11-Y9</f>
        <v>11</v>
      </c>
      <c r="X11" s="3"/>
      <c r="Y11" s="2"/>
      <c r="Z11" s="13">
        <f>MIN(X18,AC13)</f>
        <v>13</v>
      </c>
      <c r="AA11" s="1"/>
      <c r="AB11" s="20"/>
      <c r="AC11" s="152" t="s">
        <v>8</v>
      </c>
      <c r="AD11" s="153"/>
      <c r="AE11" s="154">
        <f>B15</f>
        <v>3</v>
      </c>
      <c r="AF11" s="155"/>
    </row>
    <row r="12" spans="1:32" ht="13.95" customHeight="1" thickBot="1">
      <c r="A12" s="18" t="s">
        <v>7</v>
      </c>
      <c r="B12" s="6">
        <f>Enunciado!C27</f>
        <v>3</v>
      </c>
      <c r="H12" s="1"/>
      <c r="I12" s="1"/>
      <c r="J12" s="20"/>
      <c r="K12" s="142">
        <f>N11-K10</f>
        <v>3</v>
      </c>
      <c r="L12" s="143"/>
      <c r="M12" s="144">
        <f>K12-M9</f>
        <v>2</v>
      </c>
      <c r="N12" s="145"/>
      <c r="O12" s="9"/>
      <c r="P12" s="1"/>
      <c r="Q12" s="142">
        <f>T11-Q10</f>
        <v>5</v>
      </c>
      <c r="R12" s="143"/>
      <c r="S12" s="144">
        <f>Q12-S9</f>
        <v>2</v>
      </c>
      <c r="T12" s="145"/>
      <c r="U12" s="9"/>
      <c r="V12" s="8"/>
      <c r="W12" s="142">
        <f>Z11-W10</f>
        <v>2</v>
      </c>
      <c r="X12" s="143"/>
      <c r="Y12" s="144">
        <f>W12-Y9</f>
        <v>0</v>
      </c>
      <c r="Z12" s="145"/>
      <c r="AA12" s="1"/>
      <c r="AB12" s="1"/>
      <c r="AC12" s="25">
        <f>Z10</f>
        <v>13</v>
      </c>
      <c r="AD12" s="20"/>
      <c r="AE12" s="12"/>
      <c r="AF12" s="26">
        <f>AC12+AE11</f>
        <v>16</v>
      </c>
    </row>
    <row r="13" spans="1:32" ht="13.95" customHeight="1" thickTop="1" thickBot="1">
      <c r="A13" s="18" t="s">
        <v>5</v>
      </c>
      <c r="B13" s="6">
        <f>Enunciado!C28</f>
        <v>2</v>
      </c>
      <c r="H13" s="1"/>
      <c r="I13" s="1"/>
      <c r="J13" s="1"/>
      <c r="K13" s="9"/>
      <c r="L13" s="9"/>
      <c r="M13" s="1"/>
      <c r="N13" s="1"/>
      <c r="O13" s="1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1"/>
      <c r="AB13" s="1"/>
      <c r="AC13" s="23">
        <f>AF13-AE11</f>
        <v>13</v>
      </c>
      <c r="AD13" s="3"/>
      <c r="AE13" s="2"/>
      <c r="AF13" s="26">
        <f>AC21</f>
        <v>16</v>
      </c>
    </row>
    <row r="14" spans="1:32" ht="13.95" customHeight="1" thickBot="1">
      <c r="A14" s="18" t="s">
        <v>4</v>
      </c>
      <c r="B14" s="6">
        <f>Enunciado!C29</f>
        <v>1</v>
      </c>
      <c r="H14" s="1"/>
      <c r="K14" s="1"/>
      <c r="L14" s="10"/>
      <c r="M14" s="10"/>
      <c r="N14" s="10"/>
      <c r="O14" s="10"/>
      <c r="P14" s="9"/>
      <c r="Q14" s="9"/>
      <c r="R14" s="10"/>
      <c r="S14" s="10"/>
      <c r="T14" s="10"/>
      <c r="U14" s="10"/>
      <c r="V14" s="1"/>
      <c r="AB14" s="20"/>
      <c r="AC14" s="142">
        <f>AF13-AC12</f>
        <v>3</v>
      </c>
      <c r="AD14" s="143"/>
      <c r="AE14" s="144">
        <f>AC14-AE11</f>
        <v>0</v>
      </c>
      <c r="AF14" s="145"/>
    </row>
    <row r="15" spans="1:32" ht="13.95" customHeight="1" thickTop="1" thickBot="1">
      <c r="A15" s="18" t="s">
        <v>8</v>
      </c>
      <c r="B15" s="6">
        <f>Enunciado!C30</f>
        <v>3</v>
      </c>
      <c r="H15" s="1"/>
      <c r="K15" s="1"/>
      <c r="L15" s="36" t="s">
        <v>12</v>
      </c>
      <c r="M15" s="29"/>
      <c r="N15" s="30">
        <f>B10</f>
        <v>6</v>
      </c>
      <c r="O15" s="37"/>
      <c r="P15" s="1"/>
      <c r="Q15" s="8"/>
      <c r="R15" s="28" t="s">
        <v>7</v>
      </c>
      <c r="S15" s="29"/>
      <c r="T15" s="30">
        <f>B12</f>
        <v>3</v>
      </c>
      <c r="U15" s="37"/>
      <c r="V15" s="1"/>
      <c r="W15" s="1"/>
      <c r="X15" s="1"/>
      <c r="Y15" s="1"/>
      <c r="Z15" s="1"/>
      <c r="AA15" s="20"/>
      <c r="AB15" s="1"/>
      <c r="AC15" s="1"/>
      <c r="AD15" s="1"/>
      <c r="AE15" s="1"/>
      <c r="AF15" s="1"/>
    </row>
    <row r="16" spans="1:32" ht="13.95" customHeight="1" thickTop="1" thickBot="1">
      <c r="A16" s="18" t="s">
        <v>14</v>
      </c>
      <c r="B16" s="6">
        <f>Enunciado!C31</f>
        <v>3</v>
      </c>
      <c r="C16" s="1"/>
      <c r="D16" s="1"/>
      <c r="E16" s="1"/>
      <c r="F16" s="9"/>
      <c r="G16" s="9"/>
      <c r="H16" s="1"/>
      <c r="K16" s="1"/>
      <c r="L16" s="11">
        <f>G18</f>
        <v>2</v>
      </c>
      <c r="M16" s="9"/>
      <c r="N16" s="12"/>
      <c r="O16" s="26">
        <f>L16+N15</f>
        <v>8</v>
      </c>
      <c r="P16" s="1"/>
      <c r="Q16" s="1"/>
      <c r="R16" s="11">
        <f>MAX(T10,O16)</f>
        <v>8</v>
      </c>
      <c r="S16" s="9"/>
      <c r="T16" s="12"/>
      <c r="U16" s="26">
        <f>R16+T15</f>
        <v>11</v>
      </c>
      <c r="V16" s="1"/>
      <c r="X16" s="34" t="s">
        <v>4</v>
      </c>
      <c r="Y16" s="35"/>
      <c r="Z16" s="146">
        <f>B14</f>
        <v>1</v>
      </c>
      <c r="AA16" s="147"/>
      <c r="AB16" s="1"/>
      <c r="AC16" s="1"/>
      <c r="AD16" s="1"/>
      <c r="AE16" s="1"/>
      <c r="AF16" s="1"/>
    </row>
    <row r="17" spans="1:33" ht="13.95" customHeight="1" thickTop="1" thickBot="1">
      <c r="A17" s="19" t="s">
        <v>15</v>
      </c>
      <c r="B17" s="6">
        <f>Enunciado!C32</f>
        <v>2</v>
      </c>
      <c r="C17" s="1"/>
      <c r="D17" s="148" t="s">
        <v>10</v>
      </c>
      <c r="E17" s="149"/>
      <c r="F17" s="150">
        <f>B5</f>
        <v>2</v>
      </c>
      <c r="G17" s="151"/>
      <c r="H17" s="1"/>
      <c r="K17" s="1"/>
      <c r="L17" s="23">
        <f>O17-N15</f>
        <v>2</v>
      </c>
      <c r="M17" s="3"/>
      <c r="N17" s="2"/>
      <c r="O17" s="13">
        <f>R17</f>
        <v>8</v>
      </c>
      <c r="P17" s="9"/>
      <c r="Q17" s="1"/>
      <c r="R17" s="23">
        <f>U17-T15</f>
        <v>8</v>
      </c>
      <c r="S17" s="3"/>
      <c r="T17" s="2"/>
      <c r="U17" s="13">
        <f>W11</f>
        <v>11</v>
      </c>
      <c r="V17" s="9"/>
      <c r="X17" s="23">
        <f>Z10</f>
        <v>13</v>
      </c>
      <c r="Y17" s="20"/>
      <c r="Z17" s="12"/>
      <c r="AA17" s="26">
        <f>X17+Z16</f>
        <v>14</v>
      </c>
      <c r="AB17" s="1"/>
      <c r="AC17" s="1"/>
      <c r="AD17" s="1"/>
      <c r="AE17" s="1"/>
      <c r="AF17" s="1"/>
    </row>
    <row r="18" spans="1:33" ht="13.95" customHeight="1" thickBot="1">
      <c r="A18" s="18"/>
      <c r="B18" s="6"/>
      <c r="C18" s="1"/>
      <c r="D18" s="14">
        <v>0</v>
      </c>
      <c r="E18" s="9"/>
      <c r="F18" s="12"/>
      <c r="G18" s="26">
        <f>D18+F17</f>
        <v>2</v>
      </c>
      <c r="H18" s="1"/>
      <c r="K18" s="8"/>
      <c r="L18" s="142">
        <f>O17-L16</f>
        <v>6</v>
      </c>
      <c r="M18" s="143"/>
      <c r="N18" s="144">
        <f>L18-N15</f>
        <v>0</v>
      </c>
      <c r="O18" s="145"/>
      <c r="Q18" s="8"/>
      <c r="R18" s="142">
        <f>U17-R16</f>
        <v>3</v>
      </c>
      <c r="S18" s="143"/>
      <c r="T18" s="144">
        <f>R18-T15</f>
        <v>0</v>
      </c>
      <c r="U18" s="145"/>
      <c r="V18" s="9"/>
      <c r="X18" s="23">
        <f>AA18-Z16</f>
        <v>14</v>
      </c>
      <c r="Y18" s="3"/>
      <c r="Z18" s="2"/>
      <c r="AA18" s="24">
        <f>MIN(X24,AC21)</f>
        <v>15</v>
      </c>
      <c r="AB18" s="1"/>
      <c r="AC18" s="1"/>
      <c r="AD18" s="1"/>
      <c r="AE18" s="1"/>
      <c r="AF18" s="20"/>
      <c r="AG18" s="1"/>
    </row>
    <row r="19" spans="1:33" ht="13.95" customHeight="1" thickTop="1" thickBot="1">
      <c r="A19" s="18"/>
      <c r="B19" s="6"/>
      <c r="C19" s="1"/>
      <c r="D19" s="23">
        <f>G19-F17</f>
        <v>0</v>
      </c>
      <c r="E19" s="3"/>
      <c r="F19" s="2"/>
      <c r="G19" s="13">
        <f>L17</f>
        <v>2</v>
      </c>
      <c r="H19" s="1"/>
      <c r="K19" s="21"/>
      <c r="L19" s="20"/>
      <c r="M19" s="20"/>
      <c r="N19" s="20"/>
      <c r="O19" s="20"/>
      <c r="Q19" s="9"/>
      <c r="R19" s="9"/>
      <c r="S19" s="9"/>
      <c r="T19" s="9"/>
      <c r="U19" s="9"/>
      <c r="X19" s="142">
        <f>AA18-X17</f>
        <v>2</v>
      </c>
      <c r="Y19" s="143"/>
      <c r="Z19" s="144">
        <f>X19-Z16</f>
        <v>1</v>
      </c>
      <c r="AA19" s="145"/>
      <c r="AC19" s="34" t="s">
        <v>15</v>
      </c>
      <c r="AD19" s="35"/>
      <c r="AE19" s="146">
        <f>B17</f>
        <v>2</v>
      </c>
      <c r="AF19" s="147"/>
      <c r="AG19" s="1"/>
    </row>
    <row r="20" spans="1:33" ht="13.95" customHeight="1" thickBot="1">
      <c r="A20" s="18"/>
      <c r="B20" s="6"/>
      <c r="C20" s="1"/>
      <c r="D20" s="142">
        <f>G19-D18</f>
        <v>2</v>
      </c>
      <c r="E20" s="143"/>
      <c r="F20" s="144">
        <f>D20-F17</f>
        <v>0</v>
      </c>
      <c r="G20" s="145"/>
      <c r="H20" s="1"/>
      <c r="X20" s="9"/>
      <c r="Y20" s="1"/>
      <c r="Z20" s="1"/>
      <c r="AA20" s="9"/>
      <c r="AC20" s="23">
        <f>MAX(AF12,AA17)</f>
        <v>16</v>
      </c>
      <c r="AD20" s="20"/>
      <c r="AE20" s="12"/>
      <c r="AF20" s="26">
        <f>AC20+AE19</f>
        <v>18</v>
      </c>
      <c r="AG20" s="1"/>
    </row>
    <row r="21" spans="1:33" ht="13.95" customHeight="1" thickTop="1" thickBot="1">
      <c r="A21" s="18"/>
      <c r="B21" s="6"/>
      <c r="C21" s="1"/>
      <c r="D21" s="1"/>
      <c r="E21" s="1"/>
      <c r="F21" s="9"/>
      <c r="G21" s="9"/>
      <c r="H21" s="1"/>
      <c r="J21" s="9"/>
      <c r="K21" s="9"/>
      <c r="L21" s="1"/>
      <c r="M21" s="1"/>
      <c r="W21" s="1"/>
      <c r="X21" s="1"/>
      <c r="Y21" s="1"/>
      <c r="Z21" s="1"/>
      <c r="AA21" s="20"/>
      <c r="AC21" s="23">
        <f>AF21-AE19</f>
        <v>16</v>
      </c>
      <c r="AD21" s="3"/>
      <c r="AE21" s="2"/>
      <c r="AF21" s="24">
        <f>MAX(AF20,AA23)</f>
        <v>18</v>
      </c>
      <c r="AG21" s="1"/>
    </row>
    <row r="22" spans="1:33" ht="13.95" customHeight="1" thickTop="1" thickBot="1">
      <c r="A22" s="18"/>
      <c r="B22" s="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X22" s="34" t="s">
        <v>14</v>
      </c>
      <c r="Y22" s="35"/>
      <c r="Z22" s="146">
        <f>B16</f>
        <v>3</v>
      </c>
      <c r="AA22" s="147"/>
      <c r="AC22" s="142">
        <f>AF21-AC20</f>
        <v>2</v>
      </c>
      <c r="AD22" s="143"/>
      <c r="AE22" s="144">
        <f>AC22-AE19</f>
        <v>0</v>
      </c>
      <c r="AF22" s="145"/>
      <c r="AG22" s="1"/>
    </row>
    <row r="23" spans="1:33" ht="13.95" customHeight="1" thickBot="1">
      <c r="A23" s="18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X23" s="23">
        <f>AA17</f>
        <v>14</v>
      </c>
      <c r="Y23" s="20"/>
      <c r="Z23" s="12"/>
      <c r="AA23" s="26">
        <f>X23+Z22</f>
        <v>17</v>
      </c>
      <c r="AC23" s="9"/>
      <c r="AD23" s="1"/>
      <c r="AE23" s="1"/>
      <c r="AF23" s="9"/>
      <c r="AG23" s="1"/>
    </row>
    <row r="24" spans="1:33" ht="13.95" customHeight="1" thickBot="1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9"/>
      <c r="X24" s="23">
        <f>AA24-Z22</f>
        <v>15</v>
      </c>
      <c r="Y24" s="3"/>
      <c r="Z24" s="2"/>
      <c r="AA24" s="24">
        <f>MAX(AA23,AF20)</f>
        <v>18</v>
      </c>
      <c r="AB24" s="1"/>
      <c r="AC24" s="1"/>
      <c r="AD24" s="1"/>
      <c r="AE24" s="1"/>
      <c r="AF24" s="1"/>
    </row>
    <row r="25" spans="1:33" ht="13.95" customHeight="1" thickBot="1">
      <c r="X25" s="142">
        <f>AA24-X23</f>
        <v>4</v>
      </c>
      <c r="Y25" s="143"/>
      <c r="Z25" s="144">
        <f>X25-Z22</f>
        <v>1</v>
      </c>
      <c r="AA25" s="145"/>
      <c r="AB25" s="1"/>
    </row>
    <row r="26" spans="1:33" ht="13.95" customHeight="1" thickTop="1">
      <c r="X26" s="9"/>
      <c r="Y26" s="1"/>
      <c r="Z26" s="1"/>
      <c r="AA26" s="9"/>
      <c r="AB26" s="1"/>
    </row>
    <row r="27" spans="1:33" ht="13.95" customHeight="1" thickBot="1"/>
    <row r="28" spans="1:33" ht="13.95" customHeight="1" thickBot="1">
      <c r="A28" s="5" t="s">
        <v>9</v>
      </c>
      <c r="B28" s="39">
        <f>Enunciado!C3</f>
        <v>53884051</v>
      </c>
    </row>
    <row r="29" spans="1:33" ht="13.95" customHeight="1" thickBot="1">
      <c r="J29" s="1"/>
      <c r="K29" s="9"/>
      <c r="L29" s="9"/>
      <c r="M29" s="1"/>
      <c r="N29" s="1"/>
      <c r="O29" s="1"/>
      <c r="P29" s="1"/>
      <c r="Q29" s="20"/>
      <c r="R29" s="20"/>
      <c r="S29" s="20"/>
      <c r="T29" s="20"/>
      <c r="U29" s="1"/>
      <c r="V29" s="1"/>
      <c r="W29" s="20"/>
      <c r="X29" s="1"/>
      <c r="Y29" s="1"/>
      <c r="Z29" s="20"/>
      <c r="AA29" s="1"/>
    </row>
    <row r="30" spans="1:33" ht="13.95" customHeight="1" thickTop="1" thickBot="1">
      <c r="A30" s="18" t="s">
        <v>13</v>
      </c>
      <c r="B30" s="6" t="s">
        <v>16</v>
      </c>
      <c r="C30" s="1"/>
      <c r="D30" s="1"/>
      <c r="E30" s="1"/>
      <c r="F30" s="1"/>
      <c r="G30" s="1"/>
      <c r="H30" s="1"/>
      <c r="I30" s="1"/>
      <c r="J30" s="1"/>
      <c r="K30" s="148" t="s">
        <v>6</v>
      </c>
      <c r="L30" s="149"/>
      <c r="M30" s="150">
        <f>B33</f>
        <v>2</v>
      </c>
      <c r="N30" s="151"/>
      <c r="O30" s="1"/>
      <c r="P30" s="1"/>
      <c r="Q30" s="56" t="s">
        <v>3</v>
      </c>
      <c r="R30" s="57"/>
      <c r="S30" s="58">
        <f>B35</f>
        <v>3</v>
      </c>
      <c r="T30" s="59"/>
      <c r="U30" s="1"/>
      <c r="V30" s="1"/>
      <c r="W30" s="152" t="s">
        <v>2</v>
      </c>
      <c r="X30" s="153"/>
      <c r="Y30" s="154">
        <f>B38</f>
        <v>3</v>
      </c>
      <c r="Z30" s="155"/>
      <c r="AA30" s="1"/>
      <c r="AB30" s="1"/>
      <c r="AC30" s="1"/>
      <c r="AD30" s="1"/>
      <c r="AE30" s="1"/>
      <c r="AF30" s="1"/>
    </row>
    <row r="31" spans="1:33" ht="13.95" customHeight="1" thickBot="1">
      <c r="A31" s="17" t="s">
        <v>0</v>
      </c>
      <c r="B31" s="6">
        <f>Enunciado!C19+Enunciado!D19</f>
        <v>3</v>
      </c>
      <c r="C31" s="1"/>
      <c r="D31" s="1"/>
      <c r="E31" s="1"/>
      <c r="F31" s="1"/>
      <c r="G31" s="1"/>
      <c r="H31" s="1"/>
      <c r="I31" s="1"/>
      <c r="J31" s="1"/>
      <c r="K31" s="11">
        <f>H33</f>
        <v>3</v>
      </c>
      <c r="L31" s="9"/>
      <c r="M31" s="12"/>
      <c r="N31" s="26">
        <f>K31+M30</f>
        <v>5</v>
      </c>
      <c r="O31" s="1"/>
      <c r="P31" s="1"/>
      <c r="Q31" s="25">
        <f>N31</f>
        <v>5</v>
      </c>
      <c r="R31" s="20"/>
      <c r="S31" s="12"/>
      <c r="T31" s="26">
        <f>Q31+S30</f>
        <v>8</v>
      </c>
      <c r="U31" s="1"/>
      <c r="V31" s="1"/>
      <c r="W31" s="25">
        <f>T31</f>
        <v>8</v>
      </c>
      <c r="X31" s="20"/>
      <c r="Y31" s="12"/>
      <c r="Z31" s="26">
        <f>W31+Y30</f>
        <v>11</v>
      </c>
      <c r="AA31" s="1"/>
      <c r="AB31" s="1"/>
      <c r="AC31" s="1"/>
      <c r="AD31" s="1"/>
      <c r="AE31" s="1"/>
      <c r="AF31" s="1"/>
    </row>
    <row r="32" spans="1:33" ht="13.95" customHeight="1" thickTop="1" thickBot="1">
      <c r="A32" s="18" t="s">
        <v>10</v>
      </c>
      <c r="B32" s="6">
        <f>Enunciado!C20+Enunciado!D20</f>
        <v>1</v>
      </c>
      <c r="C32" s="1"/>
      <c r="D32" s="1"/>
      <c r="E32" s="152" t="s">
        <v>0</v>
      </c>
      <c r="F32" s="153"/>
      <c r="G32" s="154">
        <f>B31</f>
        <v>3</v>
      </c>
      <c r="H32" s="155"/>
      <c r="I32" s="9"/>
      <c r="J32" s="1"/>
      <c r="K32" s="23">
        <f>N32-M30</f>
        <v>3</v>
      </c>
      <c r="L32" s="3"/>
      <c r="M32" s="2"/>
      <c r="N32" s="13">
        <f>MIN(Q32,Q38)</f>
        <v>5</v>
      </c>
      <c r="O32" s="1"/>
      <c r="P32" s="1"/>
      <c r="Q32" s="23">
        <f>T32-S30</f>
        <v>5</v>
      </c>
      <c r="R32" s="3"/>
      <c r="S32" s="2"/>
      <c r="T32" s="26">
        <f>W32</f>
        <v>8</v>
      </c>
      <c r="U32" s="1"/>
      <c r="V32" s="1"/>
      <c r="W32" s="23">
        <f>Z32-Y30</f>
        <v>8</v>
      </c>
      <c r="X32" s="3"/>
      <c r="Y32" s="2"/>
      <c r="Z32" s="26">
        <f>W38</f>
        <v>11</v>
      </c>
      <c r="AA32" s="1"/>
      <c r="AB32" s="1"/>
      <c r="AC32" s="1"/>
      <c r="AD32" s="1"/>
      <c r="AE32" s="1"/>
      <c r="AF32" s="1"/>
    </row>
    <row r="33" spans="1:33" ht="13.95" customHeight="1" thickBot="1">
      <c r="A33" s="18" t="s">
        <v>6</v>
      </c>
      <c r="B33" s="6">
        <f>Enunciado!C21+Enunciado!D21</f>
        <v>2</v>
      </c>
      <c r="C33" s="1"/>
      <c r="D33" s="1"/>
      <c r="E33" s="25">
        <v>0</v>
      </c>
      <c r="F33" s="20"/>
      <c r="G33" s="12"/>
      <c r="H33" s="26">
        <f>E33+G32</f>
        <v>3</v>
      </c>
      <c r="I33" s="1"/>
      <c r="J33" s="1"/>
      <c r="K33" s="142">
        <f>N32-K31</f>
        <v>2</v>
      </c>
      <c r="L33" s="143"/>
      <c r="M33" s="144">
        <f>K33-M30</f>
        <v>0</v>
      </c>
      <c r="N33" s="145"/>
      <c r="O33" s="9"/>
      <c r="P33" s="20"/>
      <c r="Q33" s="142">
        <f>T32-Q31</f>
        <v>3</v>
      </c>
      <c r="R33" s="143"/>
      <c r="S33" s="144">
        <f>Q33-S30</f>
        <v>0</v>
      </c>
      <c r="T33" s="145"/>
      <c r="U33" s="9"/>
      <c r="V33" s="1"/>
      <c r="W33" s="142">
        <f>Z32-W31</f>
        <v>3</v>
      </c>
      <c r="X33" s="143"/>
      <c r="Y33" s="144">
        <f>W33-Y30</f>
        <v>0</v>
      </c>
      <c r="Z33" s="145"/>
      <c r="AA33" s="1"/>
      <c r="AB33" s="1"/>
      <c r="AC33" s="1"/>
      <c r="AD33" s="1"/>
      <c r="AE33" s="1"/>
      <c r="AF33" s="1"/>
    </row>
    <row r="34" spans="1:33" ht="13.95" customHeight="1" thickBot="1">
      <c r="A34" s="18" t="s">
        <v>11</v>
      </c>
      <c r="B34" s="6">
        <f>Enunciado!C22+Enunciado!D22</f>
        <v>2</v>
      </c>
      <c r="C34" s="1"/>
      <c r="D34" s="1"/>
      <c r="E34" s="23">
        <f>H34-G32</f>
        <v>0</v>
      </c>
      <c r="F34" s="3"/>
      <c r="G34" s="2"/>
      <c r="H34" s="26">
        <f>MIN(K38,K32)</f>
        <v>3</v>
      </c>
      <c r="I34" s="1"/>
      <c r="J34" s="1"/>
      <c r="K34" s="9"/>
      <c r="L34" s="9"/>
      <c r="M34" s="9"/>
      <c r="N34" s="9"/>
      <c r="O34" s="9"/>
      <c r="P34" s="9"/>
      <c r="Q34" s="9"/>
      <c r="R34" s="9"/>
      <c r="S34" s="9"/>
      <c r="T34" s="1"/>
      <c r="U34" s="1"/>
      <c r="V34" s="9"/>
      <c r="W34" s="9"/>
      <c r="X34" s="1"/>
      <c r="Y34" s="1"/>
      <c r="Z34" s="9"/>
      <c r="AA34" s="1"/>
      <c r="AB34" s="1"/>
      <c r="AC34" s="1"/>
      <c r="AD34" s="1"/>
      <c r="AE34" s="1"/>
      <c r="AF34" s="1"/>
    </row>
    <row r="35" spans="1:33" ht="13.95" customHeight="1" thickBot="1">
      <c r="A35" s="18" t="s">
        <v>3</v>
      </c>
      <c r="B35" s="6">
        <f>Enunciado!C23+Enunciado!D23</f>
        <v>3</v>
      </c>
      <c r="C35" s="1"/>
      <c r="D35" s="1"/>
      <c r="E35" s="142">
        <f>H34-E33</f>
        <v>3</v>
      </c>
      <c r="F35" s="143"/>
      <c r="G35" s="144">
        <f>E35-G32</f>
        <v>0</v>
      </c>
      <c r="H35" s="145"/>
      <c r="I35" s="9"/>
      <c r="J35" s="1"/>
      <c r="K35" s="1"/>
      <c r="L35" s="1"/>
      <c r="M35" s="1"/>
      <c r="N35" s="1"/>
      <c r="O35" s="1"/>
      <c r="P35" s="9"/>
      <c r="Q35" s="20"/>
      <c r="R35" s="20"/>
      <c r="S35" s="20"/>
      <c r="T35" s="20"/>
      <c r="U35" s="1"/>
      <c r="V35" s="9"/>
      <c r="W35" s="20"/>
      <c r="X35" s="1"/>
      <c r="Y35" s="1"/>
      <c r="Z35" s="20"/>
      <c r="AA35" s="1"/>
      <c r="AB35" s="1"/>
      <c r="AC35" s="1"/>
      <c r="AD35" s="1"/>
      <c r="AE35" s="1"/>
      <c r="AF35" s="1"/>
    </row>
    <row r="36" spans="1:33" ht="13.95" customHeight="1" thickTop="1" thickBot="1">
      <c r="A36" s="18" t="s">
        <v>1</v>
      </c>
      <c r="B36" s="6">
        <f>Enunciado!C24+Enunciado!D24</f>
        <v>2</v>
      </c>
      <c r="C36" s="1"/>
      <c r="D36" s="1"/>
      <c r="E36" s="9"/>
      <c r="F36" s="9"/>
      <c r="G36" s="1"/>
      <c r="H36" s="1"/>
      <c r="I36" s="1"/>
      <c r="J36" s="20"/>
      <c r="K36" s="152" t="s">
        <v>11</v>
      </c>
      <c r="L36" s="153"/>
      <c r="M36" s="154">
        <f>B34</f>
        <v>2</v>
      </c>
      <c r="N36" s="155"/>
      <c r="O36" s="9"/>
      <c r="P36" s="1"/>
      <c r="Q36" s="56" t="s">
        <v>1</v>
      </c>
      <c r="R36" s="57"/>
      <c r="S36" s="32">
        <f>B36</f>
        <v>2</v>
      </c>
      <c r="T36" s="33"/>
      <c r="U36" s="1"/>
      <c r="V36" s="8"/>
      <c r="W36" s="152" t="s">
        <v>5</v>
      </c>
      <c r="X36" s="153"/>
      <c r="Y36" s="156">
        <f>B40</f>
        <v>2</v>
      </c>
      <c r="Z36" s="157"/>
      <c r="AA36" s="1"/>
      <c r="AB36" s="1"/>
      <c r="AC36" s="1"/>
      <c r="AD36" s="1"/>
      <c r="AE36" s="1"/>
      <c r="AF36" s="1"/>
    </row>
    <row r="37" spans="1:33" ht="13.95" customHeight="1" thickBot="1">
      <c r="A37" s="18" t="s">
        <v>12</v>
      </c>
      <c r="B37" s="6">
        <f>Enunciado!C25+Enunciado!D25</f>
        <v>7</v>
      </c>
      <c r="H37" s="1"/>
      <c r="I37" s="1"/>
      <c r="J37" s="1"/>
      <c r="K37" s="25">
        <f>H33</f>
        <v>3</v>
      </c>
      <c r="L37" s="20"/>
      <c r="M37" s="12"/>
      <c r="N37" s="26">
        <f>K37+M36</f>
        <v>5</v>
      </c>
      <c r="O37" s="1"/>
      <c r="P37" s="1"/>
      <c r="Q37" s="25">
        <f>MAX(N37,N31)</f>
        <v>5</v>
      </c>
      <c r="R37" s="20"/>
      <c r="S37" s="12"/>
      <c r="T37" s="26">
        <f>Q37+S36</f>
        <v>7</v>
      </c>
      <c r="U37" s="9"/>
      <c r="V37" s="8"/>
      <c r="W37" s="11">
        <f>MAX(U43,Z31)</f>
        <v>11</v>
      </c>
      <c r="X37" s="9"/>
      <c r="Y37" s="12"/>
      <c r="Z37" s="26">
        <f>W37+Y36</f>
        <v>13</v>
      </c>
      <c r="AA37" s="1"/>
      <c r="AB37" s="1"/>
      <c r="AC37" s="1"/>
      <c r="AD37" s="1"/>
      <c r="AE37" s="1"/>
      <c r="AF37" s="1"/>
    </row>
    <row r="38" spans="1:33" ht="13.95" customHeight="1" thickTop="1" thickBot="1">
      <c r="A38" s="18" t="s">
        <v>2</v>
      </c>
      <c r="B38" s="6">
        <f>Enunciado!C26+Enunciado!D26</f>
        <v>3</v>
      </c>
      <c r="H38" s="1"/>
      <c r="I38" s="1"/>
      <c r="J38" s="1"/>
      <c r="K38" s="23">
        <f>N38-M36</f>
        <v>4</v>
      </c>
      <c r="L38" s="3"/>
      <c r="M38" s="2"/>
      <c r="N38" s="26">
        <f>Q38</f>
        <v>6</v>
      </c>
      <c r="O38" s="1"/>
      <c r="P38" s="1"/>
      <c r="Q38" s="23">
        <f>T38-S36</f>
        <v>6</v>
      </c>
      <c r="R38" s="3"/>
      <c r="S38" s="2"/>
      <c r="T38" s="26">
        <f>R44</f>
        <v>8</v>
      </c>
      <c r="U38" s="9"/>
      <c r="V38" s="8"/>
      <c r="W38" s="23">
        <f>Z38-Y36</f>
        <v>11</v>
      </c>
      <c r="X38" s="3"/>
      <c r="Y38" s="2"/>
      <c r="Z38" s="13">
        <f>MIN(X45,AC40)</f>
        <v>13</v>
      </c>
      <c r="AA38" s="1"/>
      <c r="AB38" s="20"/>
      <c r="AC38" s="152" t="s">
        <v>8</v>
      </c>
      <c r="AD38" s="153"/>
      <c r="AE38" s="154">
        <f>B42</f>
        <v>3</v>
      </c>
      <c r="AF38" s="155"/>
    </row>
    <row r="39" spans="1:33" ht="13.95" customHeight="1" thickBot="1">
      <c r="A39" s="18" t="s">
        <v>7</v>
      </c>
      <c r="B39" s="6">
        <f>Enunciado!C27+Enunciado!D27</f>
        <v>3</v>
      </c>
      <c r="H39" s="1"/>
      <c r="I39" s="1"/>
      <c r="J39" s="20"/>
      <c r="K39" s="142">
        <f>N38-K37</f>
        <v>3</v>
      </c>
      <c r="L39" s="143"/>
      <c r="M39" s="144">
        <f>K39-M36</f>
        <v>1</v>
      </c>
      <c r="N39" s="145"/>
      <c r="O39" s="9"/>
      <c r="P39" s="1"/>
      <c r="Q39" s="142">
        <f>T38-Q37</f>
        <v>3</v>
      </c>
      <c r="R39" s="143"/>
      <c r="S39" s="144">
        <f>Q39-S36</f>
        <v>1</v>
      </c>
      <c r="T39" s="145"/>
      <c r="U39" s="9"/>
      <c r="V39" s="8"/>
      <c r="W39" s="142">
        <f>Z38-W37</f>
        <v>2</v>
      </c>
      <c r="X39" s="143"/>
      <c r="Y39" s="144">
        <f>W39-Y36</f>
        <v>0</v>
      </c>
      <c r="Z39" s="145"/>
      <c r="AA39" s="1"/>
      <c r="AB39" s="1"/>
      <c r="AC39" s="25">
        <f>Z37</f>
        <v>13</v>
      </c>
      <c r="AD39" s="20"/>
      <c r="AE39" s="12"/>
      <c r="AF39" s="26">
        <f>AC39+AE38</f>
        <v>16</v>
      </c>
    </row>
    <row r="40" spans="1:33" ht="13.95" customHeight="1" thickTop="1" thickBot="1">
      <c r="A40" s="18" t="s">
        <v>5</v>
      </c>
      <c r="B40" s="6">
        <f>Enunciado!C28+Enunciado!D28</f>
        <v>2</v>
      </c>
      <c r="H40" s="1"/>
      <c r="I40" s="1"/>
      <c r="J40" s="1"/>
      <c r="K40" s="9"/>
      <c r="L40" s="9"/>
      <c r="M40" s="1"/>
      <c r="N40" s="1"/>
      <c r="O40" s="1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"/>
      <c r="AB40" s="1"/>
      <c r="AC40" s="23">
        <f>AF40-AE38</f>
        <v>13</v>
      </c>
      <c r="AD40" s="3"/>
      <c r="AE40" s="2"/>
      <c r="AF40" s="26">
        <f>AC48</f>
        <v>16</v>
      </c>
    </row>
    <row r="41" spans="1:33" ht="13.95" customHeight="1" thickBot="1">
      <c r="A41" s="18" t="s">
        <v>4</v>
      </c>
      <c r="B41" s="6">
        <f>Enunciado!C29+Enunciado!D29</f>
        <v>1</v>
      </c>
      <c r="H41" s="1"/>
      <c r="K41" s="1"/>
      <c r="L41" s="10"/>
      <c r="M41" s="10"/>
      <c r="N41" s="10"/>
      <c r="O41" s="10"/>
      <c r="P41" s="9"/>
      <c r="Q41" s="9"/>
      <c r="R41" s="10"/>
      <c r="S41" s="10"/>
      <c r="T41" s="10"/>
      <c r="U41" s="10"/>
      <c r="V41" s="1"/>
      <c r="AB41" s="20"/>
      <c r="AC41" s="142">
        <f>AF40-AC39</f>
        <v>3</v>
      </c>
      <c r="AD41" s="143"/>
      <c r="AE41" s="144">
        <f>AC41-AE38</f>
        <v>0</v>
      </c>
      <c r="AF41" s="145"/>
    </row>
    <row r="42" spans="1:33" ht="13.95" customHeight="1" thickTop="1" thickBot="1">
      <c r="A42" s="18" t="s">
        <v>8</v>
      </c>
      <c r="B42" s="6">
        <f>Enunciado!C30+Enunciado!D30</f>
        <v>3</v>
      </c>
      <c r="H42" s="1"/>
      <c r="K42" s="1"/>
      <c r="L42" s="36" t="s">
        <v>12</v>
      </c>
      <c r="M42" s="57"/>
      <c r="N42" s="58">
        <f>B37</f>
        <v>7</v>
      </c>
      <c r="O42" s="37"/>
      <c r="P42" s="1"/>
      <c r="Q42" s="8"/>
      <c r="R42" s="56" t="s">
        <v>7</v>
      </c>
      <c r="S42" s="57"/>
      <c r="T42" s="58">
        <f>B39</f>
        <v>3</v>
      </c>
      <c r="U42" s="37"/>
      <c r="V42" s="1"/>
      <c r="W42" s="1"/>
      <c r="X42" s="1"/>
      <c r="Y42" s="1"/>
      <c r="Z42" s="1"/>
      <c r="AA42" s="20"/>
      <c r="AB42" s="1"/>
      <c r="AC42" s="1"/>
      <c r="AD42" s="1"/>
      <c r="AE42" s="1"/>
      <c r="AF42" s="1"/>
    </row>
    <row r="43" spans="1:33" ht="13.95" customHeight="1" thickTop="1" thickBot="1">
      <c r="A43" s="18" t="s">
        <v>14</v>
      </c>
      <c r="B43" s="6">
        <f>Enunciado!C31+Enunciado!D31</f>
        <v>3</v>
      </c>
      <c r="C43" s="1"/>
      <c r="D43" s="1"/>
      <c r="E43" s="1"/>
      <c r="F43" s="9"/>
      <c r="G43" s="9"/>
      <c r="H43" s="1"/>
      <c r="K43" s="1"/>
      <c r="L43" s="11">
        <f>G45</f>
        <v>1</v>
      </c>
      <c r="M43" s="9"/>
      <c r="N43" s="12"/>
      <c r="O43" s="26">
        <f>L43+N42</f>
        <v>8</v>
      </c>
      <c r="P43" s="1"/>
      <c r="Q43" s="1"/>
      <c r="R43" s="11">
        <f>MAX(T37,O43)</f>
        <v>8</v>
      </c>
      <c r="S43" s="9"/>
      <c r="T43" s="12"/>
      <c r="U43" s="26">
        <f>R43+T42</f>
        <v>11</v>
      </c>
      <c r="V43" s="1"/>
      <c r="X43" s="34" t="s">
        <v>4</v>
      </c>
      <c r="Y43" s="35"/>
      <c r="Z43" s="146">
        <f>B41</f>
        <v>1</v>
      </c>
      <c r="AA43" s="147"/>
      <c r="AB43" s="1"/>
      <c r="AC43" s="1"/>
      <c r="AD43" s="1"/>
      <c r="AE43" s="1"/>
      <c r="AF43" s="1"/>
    </row>
    <row r="44" spans="1:33" ht="13.95" customHeight="1" thickTop="1" thickBot="1">
      <c r="A44" s="19" t="s">
        <v>15</v>
      </c>
      <c r="B44" s="6">
        <f>Enunciado!C32+Enunciado!D32</f>
        <v>2</v>
      </c>
      <c r="C44" s="1"/>
      <c r="D44" s="148" t="s">
        <v>10</v>
      </c>
      <c r="E44" s="149"/>
      <c r="F44" s="150">
        <f>B32</f>
        <v>1</v>
      </c>
      <c r="G44" s="151"/>
      <c r="H44" s="1"/>
      <c r="K44" s="1"/>
      <c r="L44" s="23">
        <f>O44-N42</f>
        <v>1</v>
      </c>
      <c r="M44" s="3"/>
      <c r="N44" s="2"/>
      <c r="O44" s="13">
        <f>R44</f>
        <v>8</v>
      </c>
      <c r="P44" s="9"/>
      <c r="Q44" s="1"/>
      <c r="R44" s="23">
        <f>U44-T42</f>
        <v>8</v>
      </c>
      <c r="S44" s="3"/>
      <c r="T44" s="2"/>
      <c r="U44" s="13">
        <f>W38</f>
        <v>11</v>
      </c>
      <c r="V44" s="9"/>
      <c r="X44" s="23">
        <f>Z37</f>
        <v>13</v>
      </c>
      <c r="Y44" s="20"/>
      <c r="Z44" s="12"/>
      <c r="AA44" s="26">
        <f>X44+Z43</f>
        <v>14</v>
      </c>
      <c r="AB44" s="1"/>
      <c r="AC44" s="1"/>
      <c r="AD44" s="1"/>
      <c r="AE44" s="1"/>
      <c r="AF44" s="1"/>
    </row>
    <row r="45" spans="1:33" ht="13.95" customHeight="1" thickBot="1">
      <c r="A45" s="18"/>
      <c r="B45" s="6"/>
      <c r="C45" s="1"/>
      <c r="D45" s="14">
        <v>0</v>
      </c>
      <c r="E45" s="9"/>
      <c r="F45" s="12"/>
      <c r="G45" s="26">
        <f>D45+F44</f>
        <v>1</v>
      </c>
      <c r="H45" s="1"/>
      <c r="K45" s="8"/>
      <c r="L45" s="142">
        <f>O44-L43</f>
        <v>7</v>
      </c>
      <c r="M45" s="143"/>
      <c r="N45" s="144">
        <f>L45-N42</f>
        <v>0</v>
      </c>
      <c r="O45" s="145"/>
      <c r="Q45" s="8"/>
      <c r="R45" s="142">
        <f>U44-R43</f>
        <v>3</v>
      </c>
      <c r="S45" s="143"/>
      <c r="T45" s="144">
        <f>R45-T42</f>
        <v>0</v>
      </c>
      <c r="U45" s="145"/>
      <c r="V45" s="9"/>
      <c r="X45" s="23">
        <f>AA45-Z43</f>
        <v>14</v>
      </c>
      <c r="Y45" s="3"/>
      <c r="Z45" s="2"/>
      <c r="AA45" s="24">
        <f>MIN(X51,AC48)</f>
        <v>15</v>
      </c>
      <c r="AB45" s="1"/>
      <c r="AC45" s="1"/>
      <c r="AD45" s="1"/>
      <c r="AE45" s="1"/>
      <c r="AF45" s="20"/>
      <c r="AG45" s="1"/>
    </row>
    <row r="46" spans="1:33" ht="13.95" customHeight="1" thickTop="1" thickBot="1">
      <c r="A46" s="18"/>
      <c r="B46" s="6"/>
      <c r="C46" s="1"/>
      <c r="D46" s="23">
        <f>G46-F44</f>
        <v>0</v>
      </c>
      <c r="E46" s="3"/>
      <c r="F46" s="2"/>
      <c r="G46" s="13">
        <f>L44</f>
        <v>1</v>
      </c>
      <c r="H46" s="1"/>
      <c r="K46" s="21"/>
      <c r="L46" s="20"/>
      <c r="M46" s="20"/>
      <c r="N46" s="20"/>
      <c r="O46" s="20"/>
      <c r="Q46" s="9"/>
      <c r="R46" s="9"/>
      <c r="S46" s="9"/>
      <c r="T46" s="9"/>
      <c r="U46" s="9"/>
      <c r="X46" s="142">
        <f>AA45-X44</f>
        <v>2</v>
      </c>
      <c r="Y46" s="143"/>
      <c r="Z46" s="144">
        <f>X46-Z43</f>
        <v>1</v>
      </c>
      <c r="AA46" s="145"/>
      <c r="AC46" s="34" t="s">
        <v>15</v>
      </c>
      <c r="AD46" s="35"/>
      <c r="AE46" s="146">
        <f>B44</f>
        <v>2</v>
      </c>
      <c r="AF46" s="147"/>
      <c r="AG46" s="1"/>
    </row>
    <row r="47" spans="1:33" ht="13.95" customHeight="1" thickBot="1">
      <c r="A47" s="18"/>
      <c r="B47" s="6"/>
      <c r="C47" s="1"/>
      <c r="D47" s="142">
        <f>G46-D45</f>
        <v>1</v>
      </c>
      <c r="E47" s="143"/>
      <c r="F47" s="144">
        <f>D47-F44</f>
        <v>0</v>
      </c>
      <c r="G47" s="145"/>
      <c r="H47" s="1"/>
      <c r="X47" s="9"/>
      <c r="Y47" s="1"/>
      <c r="Z47" s="1"/>
      <c r="AA47" s="9"/>
      <c r="AC47" s="23">
        <f>MAX(AF39,AA44)</f>
        <v>16</v>
      </c>
      <c r="AD47" s="20"/>
      <c r="AE47" s="12"/>
      <c r="AF47" s="26">
        <f>AC47+AE46</f>
        <v>18</v>
      </c>
      <c r="AG47" s="1"/>
    </row>
    <row r="48" spans="1:33" ht="13.95" customHeight="1" thickTop="1" thickBot="1">
      <c r="A48" s="18"/>
      <c r="B48" s="6"/>
      <c r="C48" s="1"/>
      <c r="D48" s="1"/>
      <c r="E48" s="1"/>
      <c r="F48" s="9"/>
      <c r="G48" s="9"/>
      <c r="H48" s="1"/>
      <c r="J48" s="9"/>
      <c r="K48" s="9"/>
      <c r="L48" s="1"/>
      <c r="M48" s="1"/>
      <c r="W48" s="1"/>
      <c r="X48" s="1"/>
      <c r="Y48" s="1"/>
      <c r="Z48" s="1"/>
      <c r="AA48" s="20"/>
      <c r="AC48" s="23">
        <f>AF48-AE46</f>
        <v>16</v>
      </c>
      <c r="AD48" s="3"/>
      <c r="AE48" s="2"/>
      <c r="AF48" s="24">
        <f>MAX(AF47,AA50)</f>
        <v>18</v>
      </c>
      <c r="AG48" s="1"/>
    </row>
    <row r="49" spans="1:33" ht="13.95" customHeight="1" thickTop="1" thickBot="1">
      <c r="A49" s="18"/>
      <c r="B49" s="6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X49" s="34" t="s">
        <v>14</v>
      </c>
      <c r="Y49" s="35"/>
      <c r="Z49" s="146">
        <f>B43</f>
        <v>3</v>
      </c>
      <c r="AA49" s="147"/>
      <c r="AC49" s="142">
        <f>AF48-AC47</f>
        <v>2</v>
      </c>
      <c r="AD49" s="143"/>
      <c r="AE49" s="144">
        <f>AC49-AE46</f>
        <v>0</v>
      </c>
      <c r="AF49" s="145"/>
      <c r="AG49" s="1"/>
    </row>
    <row r="50" spans="1:33" ht="13.95" customHeight="1" thickBot="1">
      <c r="A50" s="18"/>
      <c r="B50" s="6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X50" s="23">
        <f>AA44</f>
        <v>14</v>
      </c>
      <c r="Y50" s="20"/>
      <c r="Z50" s="12"/>
      <c r="AA50" s="26">
        <f>X50+Z49</f>
        <v>17</v>
      </c>
      <c r="AC50" s="9"/>
      <c r="AD50" s="1"/>
      <c r="AE50" s="1"/>
      <c r="AF50" s="9"/>
      <c r="AG50" s="1"/>
    </row>
    <row r="51" spans="1:33" ht="13.95" customHeight="1" thickBot="1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9"/>
      <c r="X51" s="23">
        <f>AA51-Z49</f>
        <v>15</v>
      </c>
      <c r="Y51" s="3"/>
      <c r="Z51" s="2"/>
      <c r="AA51" s="24">
        <f>MAX(AA50,AF47)</f>
        <v>18</v>
      </c>
      <c r="AB51" s="1"/>
      <c r="AC51" s="1"/>
      <c r="AD51" s="1"/>
      <c r="AE51" s="1"/>
      <c r="AF51" s="1"/>
    </row>
    <row r="52" spans="1:33" ht="13.95" customHeight="1" thickBot="1">
      <c r="X52" s="142">
        <f>AA51-X50</f>
        <v>4</v>
      </c>
      <c r="Y52" s="143"/>
      <c r="Z52" s="144">
        <f>X52-Z49</f>
        <v>1</v>
      </c>
      <c r="AA52" s="145"/>
      <c r="AB52" s="1"/>
    </row>
    <row r="53" spans="1:33" ht="13.95" customHeight="1" thickTop="1">
      <c r="X53" s="9"/>
      <c r="Y53" s="1"/>
      <c r="Z53" s="1"/>
      <c r="AA53" s="9"/>
      <c r="AB53" s="1"/>
    </row>
    <row r="54" spans="1:33" ht="13.95" customHeight="1"/>
    <row r="55" spans="1:33" ht="13.95" customHeight="1"/>
    <row r="56" spans="1:33" ht="13.95" customHeight="1"/>
    <row r="57" spans="1:33" ht="13.95" customHeight="1"/>
    <row r="58" spans="1:33" ht="13.95" customHeight="1"/>
    <row r="59" spans="1:33" ht="13.95" customHeight="1"/>
    <row r="60" spans="1:33" ht="13.95" customHeight="1"/>
    <row r="61" spans="1:33" ht="13.95" customHeight="1"/>
    <row r="62" spans="1:33" ht="13.95" customHeight="1"/>
    <row r="63" spans="1:33" ht="13.95" customHeight="1"/>
    <row r="64" spans="1:33" ht="13.95" customHeight="1"/>
    <row r="65" ht="13.95" customHeight="1"/>
    <row r="66" ht="13.95" customHeight="1"/>
    <row r="67" ht="13.95" customHeight="1"/>
    <row r="68" ht="13.95" customHeight="1"/>
    <row r="69" ht="13.95" customHeight="1"/>
    <row r="70" ht="13.95" customHeight="1"/>
    <row r="71" ht="13.95" customHeight="1"/>
    <row r="72" ht="13.95" customHeight="1"/>
    <row r="73" ht="13.95" customHeight="1"/>
    <row r="74" ht="13.95" customHeight="1"/>
    <row r="75" ht="13.95" customHeight="1"/>
    <row r="76" ht="13.95" customHeight="1"/>
    <row r="77" ht="13.95" customHeight="1"/>
    <row r="78" ht="13.95" customHeight="1"/>
    <row r="79" ht="13.95" customHeight="1"/>
    <row r="80" ht="13.95" customHeight="1"/>
    <row r="81" ht="13.95" customHeight="1"/>
    <row r="82" ht="13.95" customHeight="1"/>
    <row r="83" ht="13.95" customHeight="1"/>
    <row r="84" ht="13.95" customHeight="1"/>
    <row r="85" ht="13.95" customHeight="1"/>
    <row r="86" ht="13.95" customHeight="1"/>
    <row r="87" ht="13.95" customHeight="1"/>
    <row r="88" ht="13.95" customHeight="1"/>
    <row r="89" ht="13.95" customHeight="1"/>
    <row r="90" ht="13.95" customHeight="1"/>
    <row r="91" ht="13.95" customHeight="1"/>
    <row r="92" ht="13.95" customHeight="1"/>
    <row r="93" ht="13.95" customHeight="1"/>
    <row r="94" ht="13.95" customHeight="1"/>
    <row r="95" ht="13.95" customHeight="1"/>
    <row r="96" ht="13.95" customHeight="1"/>
    <row r="97" ht="13.95" customHeight="1"/>
    <row r="98" ht="13.95" customHeight="1"/>
    <row r="99" ht="13.95" customHeight="1"/>
    <row r="100" ht="13.95" customHeight="1"/>
    <row r="101" ht="13.95" customHeight="1"/>
    <row r="102" ht="13.95" customHeight="1"/>
    <row r="103" ht="13.95" customHeight="1"/>
    <row r="104" ht="13.95" customHeight="1"/>
    <row r="105" ht="13.95" customHeight="1"/>
    <row r="106" ht="13.95" customHeight="1"/>
    <row r="107" ht="13.95" customHeight="1"/>
    <row r="108" ht="13.95" customHeight="1"/>
    <row r="109" ht="13.95" customHeight="1"/>
    <row r="110" ht="13.95" customHeight="1"/>
    <row r="111" ht="13.95" customHeight="1"/>
    <row r="112" ht="13.95" customHeight="1"/>
    <row r="113" ht="13.95" customHeight="1"/>
    <row r="114" ht="13.95" customHeight="1"/>
    <row r="115" ht="13.95" customHeight="1"/>
    <row r="116" ht="13.95" customHeight="1"/>
    <row r="117" ht="13.95" customHeight="1"/>
    <row r="118" ht="13.95" customHeight="1"/>
    <row r="119" ht="13.95" customHeight="1"/>
    <row r="120" ht="13.95" customHeight="1"/>
    <row r="121" ht="13.95" customHeight="1"/>
    <row r="122" ht="13.95" customHeight="1"/>
    <row r="123" ht="13.95" customHeight="1"/>
    <row r="124" ht="13.95" customHeight="1"/>
    <row r="125" ht="13.95" customHeight="1"/>
    <row r="126" ht="13.95" customHeight="1"/>
    <row r="127" ht="13.95" customHeight="1"/>
    <row r="128" ht="13.95" customHeight="1"/>
    <row r="129" ht="13.95" customHeight="1"/>
    <row r="130" ht="13.95" customHeight="1"/>
    <row r="131" ht="13.95" customHeight="1"/>
    <row r="132" ht="13.95" customHeight="1"/>
    <row r="133" ht="13.95" customHeight="1"/>
    <row r="134" ht="13.95" customHeight="1"/>
    <row r="135" ht="13.95" customHeight="1"/>
    <row r="136" ht="13.95" customHeight="1"/>
    <row r="137" ht="13.95" customHeight="1"/>
    <row r="138" ht="13.95" customHeight="1"/>
    <row r="139" ht="13.95" customHeight="1"/>
    <row r="140" ht="13.95" customHeight="1"/>
    <row r="141" ht="13.95" customHeight="1"/>
    <row r="142" ht="13.95" customHeight="1"/>
    <row r="143" ht="13.95" customHeight="1"/>
    <row r="144" ht="13.95" customHeight="1"/>
    <row r="145" ht="13.95" customHeight="1"/>
    <row r="146" ht="13.95" customHeight="1"/>
    <row r="147" ht="13.95" customHeight="1"/>
    <row r="148" ht="13.95" customHeight="1"/>
    <row r="149" ht="13.95" customHeight="1"/>
    <row r="150" ht="13.95" customHeight="1"/>
    <row r="151" ht="13.95" customHeight="1"/>
  </sheetData>
  <mergeCells count="90">
    <mergeCell ref="W12:X12"/>
    <mergeCell ref="Y12:Z12"/>
    <mergeCell ref="T18:U18"/>
    <mergeCell ref="Z16:AA16"/>
    <mergeCell ref="D20:E20"/>
    <mergeCell ref="F20:G20"/>
    <mergeCell ref="AC14:AD14"/>
    <mergeCell ref="AE14:AF14"/>
    <mergeCell ref="AE19:AF19"/>
    <mergeCell ref="L18:M18"/>
    <mergeCell ref="R18:S18"/>
    <mergeCell ref="N18:O18"/>
    <mergeCell ref="X19:Y19"/>
    <mergeCell ref="Z19:AA19"/>
    <mergeCell ref="AC11:AD11"/>
    <mergeCell ref="AE11:AF11"/>
    <mergeCell ref="K12:L12"/>
    <mergeCell ref="M12:N12"/>
    <mergeCell ref="W3:X3"/>
    <mergeCell ref="Y3:Z3"/>
    <mergeCell ref="Q12:R12"/>
    <mergeCell ref="S12:T12"/>
    <mergeCell ref="W6:X6"/>
    <mergeCell ref="Y6:Z6"/>
    <mergeCell ref="Y9:Z9"/>
    <mergeCell ref="K3:L3"/>
    <mergeCell ref="M3:N3"/>
    <mergeCell ref="K6:L6"/>
    <mergeCell ref="M6:N6"/>
    <mergeCell ref="W9:X9"/>
    <mergeCell ref="M9:N9"/>
    <mergeCell ref="Q6:R6"/>
    <mergeCell ref="S6:T6"/>
    <mergeCell ref="D17:E17"/>
    <mergeCell ref="F17:G17"/>
    <mergeCell ref="E5:F5"/>
    <mergeCell ref="G5:H5"/>
    <mergeCell ref="E8:F8"/>
    <mergeCell ref="G8:H8"/>
    <mergeCell ref="K9:L9"/>
    <mergeCell ref="Z22:AA22"/>
    <mergeCell ref="X25:Y25"/>
    <mergeCell ref="Z25:AA25"/>
    <mergeCell ref="AE22:AF22"/>
    <mergeCell ref="AC22:AD22"/>
    <mergeCell ref="K30:L30"/>
    <mergeCell ref="M30:N30"/>
    <mergeCell ref="W30:X30"/>
    <mergeCell ref="Y30:Z30"/>
    <mergeCell ref="E32:F32"/>
    <mergeCell ref="G32:H32"/>
    <mergeCell ref="Y33:Z33"/>
    <mergeCell ref="E35:F35"/>
    <mergeCell ref="G35:H35"/>
    <mergeCell ref="K36:L36"/>
    <mergeCell ref="M36:N36"/>
    <mergeCell ref="W36:X36"/>
    <mergeCell ref="Y36:Z36"/>
    <mergeCell ref="K33:L33"/>
    <mergeCell ref="M33:N33"/>
    <mergeCell ref="Q33:R33"/>
    <mergeCell ref="S33:T33"/>
    <mergeCell ref="W33:X33"/>
    <mergeCell ref="AC38:AD38"/>
    <mergeCell ref="AE38:AF38"/>
    <mergeCell ref="K39:L39"/>
    <mergeCell ref="M39:N39"/>
    <mergeCell ref="Q39:R39"/>
    <mergeCell ref="S39:T39"/>
    <mergeCell ref="W39:X39"/>
    <mergeCell ref="Y39:Z39"/>
    <mergeCell ref="AC41:AD41"/>
    <mergeCell ref="AE41:AF41"/>
    <mergeCell ref="Z43:AA43"/>
    <mergeCell ref="D44:E44"/>
    <mergeCell ref="F44:G44"/>
    <mergeCell ref="L45:M45"/>
    <mergeCell ref="N45:O45"/>
    <mergeCell ref="R45:S45"/>
    <mergeCell ref="T45:U45"/>
    <mergeCell ref="X46:Y46"/>
    <mergeCell ref="X52:Y52"/>
    <mergeCell ref="Z52:AA52"/>
    <mergeCell ref="Z46:AA46"/>
    <mergeCell ref="AE46:AF46"/>
    <mergeCell ref="D47:E47"/>
    <mergeCell ref="F47:G47"/>
    <mergeCell ref="Z49:AA49"/>
    <mergeCell ref="AC49:AD49"/>
    <mergeCell ref="AE49:AF49"/>
  </mergeCells>
  <conditionalFormatting sqref="C10">
    <cfRule type="expression" priority="2">
      <formula>"Y($C$10="" "";Caminocrítico!$S$6=0)"</formula>
    </cfRule>
  </conditionalFormatting>
  <conditionalFormatting sqref="C37">
    <cfRule type="expression" priority="1">
      <formula>"Y($C$10="" "";Caminocrítico!$S$6=0)"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Enunciado</vt:lpstr>
      <vt:lpstr>Planificación</vt:lpstr>
      <vt:lpstr>Gráfica</vt:lpstr>
      <vt:lpstr>Caminocrítico</vt:lpstr>
    </vt:vector>
  </TitlesOfParts>
  <Company>UPV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anconpei</dc:creator>
  <cp:lastModifiedBy>David</cp:lastModifiedBy>
  <dcterms:created xsi:type="dcterms:W3CDTF">2014-02-26T09:32:07Z</dcterms:created>
  <dcterms:modified xsi:type="dcterms:W3CDTF">2021-06-04T16:30:15Z</dcterms:modified>
</cp:coreProperties>
</file>