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40FFED4E-851D-4AD2-AC46-014AF3EBAD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nunciado" sheetId="1" r:id="rId1"/>
    <sheet name="Matriz Probabilidad-Impacto" sheetId="2" r:id="rId2"/>
    <sheet name="EMV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J10" i="2"/>
  <c r="K10" i="2"/>
  <c r="L10" i="2"/>
  <c r="I9" i="2"/>
  <c r="J9" i="2"/>
  <c r="K9" i="2"/>
  <c r="L9" i="2"/>
  <c r="I8" i="2"/>
  <c r="J8" i="2"/>
  <c r="K8" i="2"/>
  <c r="L8" i="2"/>
  <c r="H7" i="2"/>
  <c r="H8" i="2"/>
  <c r="H9" i="2"/>
  <c r="H10" i="2"/>
  <c r="H6" i="2"/>
  <c r="K7" i="2"/>
  <c r="L7" i="2"/>
  <c r="J7" i="2"/>
  <c r="I7" i="2"/>
  <c r="I6" i="2"/>
  <c r="J6" i="2"/>
  <c r="K6" i="2"/>
  <c r="L6" i="2"/>
  <c r="H31" i="3"/>
  <c r="F10" i="3"/>
  <c r="F6" i="3"/>
  <c r="F17" i="3"/>
  <c r="F21" i="3"/>
  <c r="F19" i="3" l="1"/>
  <c r="I16" i="3"/>
  <c r="F12" i="3"/>
  <c r="F8" i="3"/>
  <c r="E15" i="1"/>
  <c r="E11" i="1"/>
  <c r="E9" i="1"/>
  <c r="E8" i="1"/>
  <c r="E7" i="1"/>
  <c r="E12" i="1"/>
  <c r="E10" i="1"/>
  <c r="E14" i="1"/>
  <c r="E13" i="1"/>
  <c r="D15" i="1"/>
  <c r="D14" i="1"/>
  <c r="D13" i="1"/>
  <c r="D12" i="1"/>
  <c r="D11" i="1"/>
  <c r="D10" i="1"/>
  <c r="D9" i="1"/>
  <c r="D8" i="1"/>
  <c r="D7" i="1"/>
  <c r="I4" i="3"/>
  <c r="I24" i="3" l="1"/>
  <c r="I22" i="3"/>
  <c r="I20" i="3"/>
  <c r="I18" i="3"/>
  <c r="I14" i="3"/>
  <c r="I12" i="3"/>
  <c r="I10" i="3"/>
  <c r="I8" i="3"/>
  <c r="I6" i="3"/>
  <c r="F23" i="3"/>
</calcChain>
</file>

<file path=xl/sharedStrings.xml><?xml version="1.0" encoding="utf-8"?>
<sst xmlns="http://schemas.openxmlformats.org/spreadsheetml/2006/main" count="112" uniqueCount="84">
  <si>
    <t>Inserta tu DNI en esta celda (sin letra):</t>
  </si>
  <si>
    <t>DNI</t>
  </si>
  <si>
    <t>Riesgo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</si>
  <si>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</si>
  <si>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</si>
  <si>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</si>
  <si>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</si>
  <si>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</si>
  <si>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</si>
  <si>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</si>
  <si>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</si>
  <si>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</si>
  <si>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Muy bajo</t>
  </si>
  <si>
    <t>Medio</t>
  </si>
  <si>
    <t>Bajo</t>
  </si>
  <si>
    <t xml:space="preserve">Alto </t>
  </si>
  <si>
    <t>Muy alto</t>
  </si>
  <si>
    <t>incremento &lt; 10%</t>
  </si>
  <si>
    <t>incremento &lt; 20%</t>
  </si>
  <si>
    <t>Probabilidad ocurrencia</t>
  </si>
  <si>
    <t>Matriz Probabilidad-Impacto</t>
  </si>
  <si>
    <t>Muy baja</t>
  </si>
  <si>
    <t>baja</t>
  </si>
  <si>
    <t>Media</t>
  </si>
  <si>
    <t>Alta</t>
  </si>
  <si>
    <t>Muy Alta</t>
  </si>
  <si>
    <t>Probabilidad\Impacto</t>
  </si>
  <si>
    <t>Baja</t>
  </si>
  <si>
    <t>Muy alta</t>
  </si>
  <si>
    <t>Opción 2 : Producir un Producto nuevo de forma rápida</t>
  </si>
  <si>
    <t>Opción 1 : Producir un Producto nuevo con un desarrollo completo</t>
  </si>
  <si>
    <t>Opción 3 : Consolidar los productos existentes mejorándolos</t>
  </si>
  <si>
    <t>Opción 4 : Consolidad los productos existentes mediante publicidad</t>
  </si>
  <si>
    <t>Dependiento de la calidad de el nuevo producto generado o de la calidad de la consolidación del producto tendremos diferentes beneficios.</t>
  </si>
  <si>
    <t>Nuevo Producto</t>
  </si>
  <si>
    <t>o Consolidar</t>
  </si>
  <si>
    <t>Nuevo producto</t>
  </si>
  <si>
    <t>Consolidar</t>
  </si>
  <si>
    <t>Desarrollo completo</t>
  </si>
  <si>
    <t>Desarrollo rápido</t>
  </si>
  <si>
    <t>Mejorar productos</t>
  </si>
  <si>
    <t>Aumentar publicidad</t>
  </si>
  <si>
    <t>Buena</t>
  </si>
  <si>
    <t>Calidad</t>
  </si>
  <si>
    <t>Opciones</t>
  </si>
  <si>
    <t xml:space="preserve">Coste = </t>
  </si>
  <si>
    <t>Prob. (%)</t>
  </si>
  <si>
    <t>Beneficio Neto</t>
  </si>
  <si>
    <t>Beneficio en ventas =</t>
  </si>
  <si>
    <t xml:space="preserve">  C) Completa los beneficios netos que se optienen de cada opción (Beneficio neto = Beneficio ventas - coste) en la hoja "EMV".</t>
  </si>
  <si>
    <t>(3 puntos)</t>
  </si>
  <si>
    <t>(2 puntos)</t>
  </si>
  <si>
    <t>En la hoja "EMV" aparece el gráfico donde se representan las diferentes opciones con sus costes, probabilidades y beneficios esperados:</t>
  </si>
  <si>
    <t>Muy  baja</t>
  </si>
  <si>
    <t>Escalas numéricas y cualitativas</t>
  </si>
  <si>
    <t>Prob. Ocurrencia</t>
  </si>
  <si>
    <t>0 - 5%</t>
  </si>
  <si>
    <t>15-24%</t>
  </si>
  <si>
    <t>6-14%</t>
  </si>
  <si>
    <t>25-39%</t>
  </si>
  <si>
    <t>40-100%</t>
  </si>
  <si>
    <t>Incremento en el coste</t>
  </si>
  <si>
    <t>Indice de impacto</t>
  </si>
  <si>
    <t>Indice de probabilidad</t>
  </si>
  <si>
    <t>incremento &lt; 5%</t>
  </si>
  <si>
    <t>Nodo posibilidad</t>
  </si>
  <si>
    <t>Nodo decisión</t>
  </si>
  <si>
    <t>En un proyecto X se han identificado 9 riesgos.</t>
  </si>
  <si>
    <t>Un primer análisis de los mismos nos lleva a evaluar la probabilidad de ocurrencia y el impacto en el coste de los mismos (Véase la tabla de arriba).</t>
  </si>
  <si>
    <t>Una empresa quiere utilizar el método de "análisis del valor monetario esperado (EMV)" para decidir entre las siguientes opciones:</t>
  </si>
  <si>
    <t xml:space="preserve">  D) Determinar cual de las opciones es más ventajosa utilizando la técnica EMV.</t>
  </si>
  <si>
    <t>Contesta los siguientes apartados enla hoja "Matriz Probabilidad-impacto":</t>
  </si>
  <si>
    <t>Contesta los siguientes apartados en la hoja "EMV":</t>
  </si>
  <si>
    <t xml:space="preserve">  A) Completa la matriz de probabilidad-impacto (sobre el coste) que aparace en la hoja "Matriz Probabilidad-impacto".</t>
  </si>
  <si>
    <t xml:space="preserve">  B) Realiza una priorización de los requisitos de mayor a menor prioridad en base al coste.</t>
  </si>
  <si>
    <t>incremento &lt; 30%</t>
  </si>
  <si>
    <t>incremento &gt;= 30%</t>
  </si>
  <si>
    <t>R3, R4</t>
  </si>
  <si>
    <t>R6, R8</t>
  </si>
  <si>
    <t>R1, R9</t>
  </si>
  <si>
    <r>
      <t xml:space="preserve">Por tanto, la opción más ventajosa es </t>
    </r>
    <r>
      <rPr>
        <b/>
        <sz val="11"/>
        <color rgb="FF0070C0"/>
        <rFont val="Calibri"/>
        <family val="2"/>
        <scheme val="minor"/>
      </rPr>
      <t>producir un producto nuevo con un desarrollo completo</t>
    </r>
    <r>
      <rPr>
        <sz val="11"/>
        <color rgb="FF0070C0"/>
        <rFont val="Calibri"/>
        <family val="2"/>
        <scheme val="minor"/>
      </rPr>
      <t>, con un beneficio neto de:</t>
    </r>
  </si>
  <si>
    <t>La opción más ventajosa es producir un producto nuevo con un desarrollo completo.</t>
  </si>
  <si>
    <t>Priorización: R5, R2, R7, R3, R4, R1, R9, R6, R8</t>
  </si>
  <si>
    <r>
      <t xml:space="preserve">  B) Realiza una priorización de los requisitos de mayor a menor prioridad en base al coste:  </t>
    </r>
    <r>
      <rPr>
        <b/>
        <sz val="14"/>
        <color rgb="FF0070C0"/>
        <rFont val="Calibri"/>
        <family val="2"/>
        <scheme val="minor"/>
      </rPr>
      <t>R5, R2, R7, R3, R4, R1, R9, R6, R8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</si>
</sst>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Arial"/>
      <family val="2"/>
    </font>
    <font>
      <sz val="11"/>
      <color rgb="FFC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rgb="FF231F20"/>
      <name val="Arial"/>
      <family val="2"/>
    </font>
    <font>
      <b/>
      <sz val="14"/>
      <color theme="9" tint="-0.499984740745262"/>
      <name val="Calibri"/>
      <family val="2"/>
      <scheme val="minor"/>
    </font>
    <font>
      <sz val="11"/>
      <color theme="4" tint="-0.499984740745262"/>
      <name val="Arial"/>
      <family val="2"/>
    </font>
    <font>
      <b/>
      <u/>
      <sz val="14"/>
      <color theme="9" tint="-0.499984740745262"/>
      <name val="Calibri"/>
      <family val="2"/>
      <scheme val="minor"/>
    </font>
    <font>
      <b/>
      <sz val="12"/>
      <color theme="8" tint="-0.499984740745262"/>
      <name val="Arial"/>
      <family val="2"/>
    </font>
    <font>
      <sz val="12"/>
      <color theme="4" tint="-0.499984740745262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4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19" fillId="2" borderId="0" applyNumberFormat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6" fillId="0" borderId="0" xfId="0" applyFont="1"/>
    <xf numFmtId="1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1" fillId="0" borderId="0" xfId="0" applyFont="1"/>
    <xf numFmtId="0" fontId="8" fillId="3" borderId="0" xfId="0" applyFont="1" applyFill="1"/>
    <xf numFmtId="0" fontId="0" fillId="3" borderId="0" xfId="0" applyFill="1"/>
    <xf numFmtId="0" fontId="23" fillId="0" borderId="0" xfId="0" applyFont="1"/>
    <xf numFmtId="0" fontId="2" fillId="4" borderId="1" xfId="0" applyFont="1" applyFill="1" applyBorder="1" applyAlignment="1">
      <alignment horizontal="center"/>
    </xf>
    <xf numFmtId="0" fontId="20" fillId="4" borderId="5" xfId="0" applyFont="1" applyFill="1" applyBorder="1"/>
    <xf numFmtId="0" fontId="24" fillId="0" borderId="0" xfId="0" applyFont="1" applyAlignment="1">
      <alignment horizontal="left"/>
    </xf>
    <xf numFmtId="0" fontId="0" fillId="5" borderId="0" xfId="0" applyFill="1"/>
    <xf numFmtId="0" fontId="25" fillId="5" borderId="0" xfId="0" applyFont="1" applyFill="1"/>
    <xf numFmtId="0" fontId="26" fillId="5" borderId="0" xfId="0" applyFont="1" applyFill="1" applyBorder="1" applyAlignment="1">
      <alignment horizontal="center"/>
    </xf>
    <xf numFmtId="0" fontId="22" fillId="5" borderId="0" xfId="0" applyFont="1" applyFill="1"/>
    <xf numFmtId="0" fontId="2" fillId="5" borderId="0" xfId="0" applyFont="1" applyFill="1"/>
    <xf numFmtId="0" fontId="5" fillId="5" borderId="0" xfId="0" applyFont="1" applyFill="1" applyAlignment="1">
      <alignment horizontal="center"/>
    </xf>
    <xf numFmtId="0" fontId="5" fillId="5" borderId="2" xfId="0" applyFont="1" applyFill="1" applyBorder="1"/>
    <xf numFmtId="0" fontId="5" fillId="5" borderId="2" xfId="0" applyFont="1" applyFill="1" applyBorder="1" applyAlignment="1">
      <alignment horizontal="center"/>
    </xf>
    <xf numFmtId="0" fontId="0" fillId="5" borderId="2" xfId="0" applyFill="1" applyBorder="1"/>
    <xf numFmtId="0" fontId="4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165" fontId="7" fillId="6" borderId="2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165" fontId="6" fillId="6" borderId="2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6" borderId="0" xfId="0" applyFill="1"/>
    <xf numFmtId="0" fontId="11" fillId="6" borderId="0" xfId="0" applyFont="1" applyFill="1"/>
    <xf numFmtId="0" fontId="9" fillId="6" borderId="0" xfId="0" applyFont="1" applyFill="1"/>
    <xf numFmtId="0" fontId="1" fillId="6" borderId="0" xfId="0" applyFont="1" applyFill="1"/>
    <xf numFmtId="0" fontId="15" fillId="6" borderId="2" xfId="0" applyFont="1" applyFill="1" applyBorder="1"/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right"/>
    </xf>
    <xf numFmtId="0" fontId="0" fillId="6" borderId="2" xfId="0" applyFill="1" applyBorder="1"/>
    <xf numFmtId="164" fontId="13" fillId="0" borderId="0" xfId="0" applyNumberFormat="1" applyFont="1"/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3">
    <cellStyle name="Neutral 2" xfId="2" xr:uid="{9D9C93EE-7514-4B14-B7F0-142CA3895408}"/>
    <cellStyle name="Normal" xfId="0" builtinId="0"/>
    <cellStyle name="Normal 2" xfId="1" xr:uid="{9258D96C-71DB-41F3-9387-519F849DCA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106680</xdr:rowOff>
    </xdr:from>
    <xdr:to>
      <xdr:col>2</xdr:col>
      <xdr:colOff>777240</xdr:colOff>
      <xdr:row>13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BE5E8E0-2B64-480E-ADBA-402C6460F585}"/>
            </a:ext>
          </a:extLst>
        </xdr:cNvPr>
        <xdr:cNvCxnSpPr/>
      </xdr:nvCxnSpPr>
      <xdr:spPr>
        <a:xfrm flipV="1">
          <a:off x="1958340" y="1203960"/>
          <a:ext cx="777240" cy="8686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15</xdr:row>
      <xdr:rowOff>15240</xdr:rowOff>
    </xdr:from>
    <xdr:to>
      <xdr:col>2</xdr:col>
      <xdr:colOff>784860</xdr:colOff>
      <xdr:row>19</xdr:row>
      <xdr:rowOff>99060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42BFF48-9CE9-475E-AC81-1252E6E4A6CC}"/>
            </a:ext>
          </a:extLst>
        </xdr:cNvPr>
        <xdr:cNvCxnSpPr/>
      </xdr:nvCxnSpPr>
      <xdr:spPr>
        <a:xfrm>
          <a:off x="1965960" y="2087880"/>
          <a:ext cx="777240" cy="8763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</xdr:row>
      <xdr:rowOff>83820</xdr:rowOff>
    </xdr:from>
    <xdr:to>
      <xdr:col>5</xdr:col>
      <xdr:colOff>7620</xdr:colOff>
      <xdr:row>8</xdr:row>
      <xdr:rowOff>68580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8EAD449-1F12-41A8-A2B0-F9E115F9EDA1}"/>
            </a:ext>
          </a:extLst>
        </xdr:cNvPr>
        <xdr:cNvCxnSpPr/>
      </xdr:nvCxnSpPr>
      <xdr:spPr>
        <a:xfrm flipV="1">
          <a:off x="3886200" y="906780"/>
          <a:ext cx="800100" cy="4114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91440</xdr:rowOff>
    </xdr:from>
    <xdr:to>
      <xdr:col>5</xdr:col>
      <xdr:colOff>0</xdr:colOff>
      <xdr:row>10</xdr:row>
      <xdr:rowOff>114300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AD8DED2-0688-4EFC-A640-EF541DA32A75}"/>
            </a:ext>
          </a:extLst>
        </xdr:cNvPr>
        <xdr:cNvCxnSpPr/>
      </xdr:nvCxnSpPr>
      <xdr:spPr>
        <a:xfrm>
          <a:off x="3886200" y="1188720"/>
          <a:ext cx="792480" cy="419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17</xdr:row>
      <xdr:rowOff>114300</xdr:rowOff>
    </xdr:from>
    <xdr:to>
      <xdr:col>5</xdr:col>
      <xdr:colOff>15240</xdr:colOff>
      <xdr:row>19</xdr:row>
      <xdr:rowOff>68580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7D5A71ED-F9A4-4642-9B92-53021DC4E0AE}"/>
            </a:ext>
          </a:extLst>
        </xdr:cNvPr>
        <xdr:cNvCxnSpPr/>
      </xdr:nvCxnSpPr>
      <xdr:spPr>
        <a:xfrm flipV="1">
          <a:off x="3893820" y="2583180"/>
          <a:ext cx="800100" cy="3505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19</xdr:row>
      <xdr:rowOff>76200</xdr:rowOff>
    </xdr:from>
    <xdr:to>
      <xdr:col>5</xdr:col>
      <xdr:colOff>22860</xdr:colOff>
      <xdr:row>21</xdr:row>
      <xdr:rowOff>114300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4C96467B-A966-4242-A876-A6D8157D5BBF}"/>
            </a:ext>
          </a:extLst>
        </xdr:cNvPr>
        <xdr:cNvCxnSpPr/>
      </xdr:nvCxnSpPr>
      <xdr:spPr>
        <a:xfrm>
          <a:off x="3909060" y="2941320"/>
          <a:ext cx="792480" cy="419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3</xdr:row>
      <xdr:rowOff>137160</xdr:rowOff>
    </xdr:from>
    <xdr:to>
      <xdr:col>6</xdr:col>
      <xdr:colOff>784860</xdr:colOff>
      <xdr:row>6</xdr:row>
      <xdr:rowOff>83820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B652FA68-A4D6-45C5-AF61-478A783401F8}"/>
            </a:ext>
          </a:extLst>
        </xdr:cNvPr>
        <xdr:cNvCxnSpPr/>
      </xdr:nvCxnSpPr>
      <xdr:spPr>
        <a:xfrm flipV="1">
          <a:off x="6096000" y="335280"/>
          <a:ext cx="792480" cy="5410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1394460</xdr:colOff>
      <xdr:row>5</xdr:row>
      <xdr:rowOff>83820</xdr:rowOff>
    </xdr:from>
    <xdr:to>
      <xdr:col>7</xdr:col>
      <xdr:colOff>0</xdr:colOff>
      <xdr:row>6</xdr:row>
      <xdr:rowOff>106680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BECE533-E2F3-493E-BE08-6BDA4C38F9F6}"/>
            </a:ext>
          </a:extLst>
        </xdr:cNvPr>
        <xdr:cNvCxnSpPr/>
      </xdr:nvCxnSpPr>
      <xdr:spPr>
        <a:xfrm flipV="1">
          <a:off x="6073140" y="678180"/>
          <a:ext cx="822960" cy="2209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6</xdr:row>
      <xdr:rowOff>99060</xdr:rowOff>
    </xdr:from>
    <xdr:to>
      <xdr:col>7</xdr:col>
      <xdr:colOff>7620</xdr:colOff>
      <xdr:row>7</xdr:row>
      <xdr:rowOff>91440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2BAA8EE-6AE5-4A8D-A50D-B85054D271B9}"/>
            </a:ext>
          </a:extLst>
        </xdr:cNvPr>
        <xdr:cNvCxnSpPr/>
      </xdr:nvCxnSpPr>
      <xdr:spPr>
        <a:xfrm>
          <a:off x="6118860" y="891540"/>
          <a:ext cx="78486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1417320</xdr:colOff>
      <xdr:row>9</xdr:row>
      <xdr:rowOff>68580</xdr:rowOff>
    </xdr:from>
    <xdr:to>
      <xdr:col>7</xdr:col>
      <xdr:colOff>22860</xdr:colOff>
      <xdr:row>10</xdr:row>
      <xdr:rowOff>91440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14C39260-CD67-4854-BCEE-40C8374D034F}"/>
            </a:ext>
          </a:extLst>
        </xdr:cNvPr>
        <xdr:cNvCxnSpPr/>
      </xdr:nvCxnSpPr>
      <xdr:spPr>
        <a:xfrm flipV="1">
          <a:off x="6096000" y="1455420"/>
          <a:ext cx="822960" cy="2209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106680</xdr:rowOff>
    </xdr:from>
    <xdr:to>
      <xdr:col>7</xdr:col>
      <xdr:colOff>0</xdr:colOff>
      <xdr:row>11</xdr:row>
      <xdr:rowOff>114300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CA996746-BF27-4C9B-896E-22E4918B66AF}"/>
            </a:ext>
          </a:extLst>
        </xdr:cNvPr>
        <xdr:cNvCxnSpPr/>
      </xdr:nvCxnSpPr>
      <xdr:spPr>
        <a:xfrm>
          <a:off x="6103620" y="1691640"/>
          <a:ext cx="792480" cy="2057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10</xdr:row>
      <xdr:rowOff>106680</xdr:rowOff>
    </xdr:from>
    <xdr:to>
      <xdr:col>7</xdr:col>
      <xdr:colOff>7620</xdr:colOff>
      <xdr:row>13</xdr:row>
      <xdr:rowOff>83820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D6F0A25F-B243-44AE-AE23-561049FA2BFA}"/>
            </a:ext>
          </a:extLst>
        </xdr:cNvPr>
        <xdr:cNvCxnSpPr/>
      </xdr:nvCxnSpPr>
      <xdr:spPr>
        <a:xfrm>
          <a:off x="6111240" y="1691640"/>
          <a:ext cx="792480" cy="571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10</xdr:row>
      <xdr:rowOff>106680</xdr:rowOff>
    </xdr:from>
    <xdr:to>
      <xdr:col>7</xdr:col>
      <xdr:colOff>7620</xdr:colOff>
      <xdr:row>11</xdr:row>
      <xdr:rowOff>114300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5AE736BE-2597-4A31-99D7-EF41A272514F}"/>
            </a:ext>
          </a:extLst>
        </xdr:cNvPr>
        <xdr:cNvCxnSpPr/>
      </xdr:nvCxnSpPr>
      <xdr:spPr>
        <a:xfrm>
          <a:off x="6111240" y="1691640"/>
          <a:ext cx="792480" cy="20574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15362</xdr:colOff>
      <xdr:row>16</xdr:row>
      <xdr:rowOff>15364</xdr:rowOff>
    </xdr:from>
    <xdr:to>
      <xdr:col>7</xdr:col>
      <xdr:colOff>46089</xdr:colOff>
      <xdr:row>17</xdr:row>
      <xdr:rowOff>130585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FEE27B7A-57E5-4339-BB03-A73795C929FC}"/>
            </a:ext>
          </a:extLst>
        </xdr:cNvPr>
        <xdr:cNvCxnSpPr/>
      </xdr:nvCxnSpPr>
      <xdr:spPr>
        <a:xfrm flipV="1">
          <a:off x="6283427" y="2926634"/>
          <a:ext cx="791190" cy="31493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1374980</xdr:colOff>
      <xdr:row>17</xdr:row>
      <xdr:rowOff>138266</xdr:rowOff>
    </xdr:from>
    <xdr:to>
      <xdr:col>7</xdr:col>
      <xdr:colOff>15363</xdr:colOff>
      <xdr:row>18</xdr:row>
      <xdr:rowOff>15363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CA6FF7D3-CABE-48CF-ABC0-E66FAAC72886}"/>
            </a:ext>
          </a:extLst>
        </xdr:cNvPr>
        <xdr:cNvCxnSpPr/>
      </xdr:nvCxnSpPr>
      <xdr:spPr>
        <a:xfrm>
          <a:off x="6260383" y="3249254"/>
          <a:ext cx="783508" cy="7681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1379220</xdr:colOff>
      <xdr:row>17</xdr:row>
      <xdr:rowOff>121920</xdr:rowOff>
    </xdr:from>
    <xdr:to>
      <xdr:col>7</xdr:col>
      <xdr:colOff>0</xdr:colOff>
      <xdr:row>19</xdr:row>
      <xdr:rowOff>23044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8CB0FBBF-0229-494F-BB1B-52C4F91E387D}"/>
            </a:ext>
          </a:extLst>
        </xdr:cNvPr>
        <xdr:cNvCxnSpPr/>
      </xdr:nvCxnSpPr>
      <xdr:spPr>
        <a:xfrm>
          <a:off x="6264623" y="3232908"/>
          <a:ext cx="763905" cy="33896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15362</xdr:colOff>
      <xdr:row>21</xdr:row>
      <xdr:rowOff>145948</xdr:rowOff>
    </xdr:from>
    <xdr:to>
      <xdr:col>6</xdr:col>
      <xdr:colOff>752782</xdr:colOff>
      <xdr:row>22</xdr:row>
      <xdr:rowOff>23044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62905A8-274A-4014-88B3-0EC7F957AE64}"/>
            </a:ext>
          </a:extLst>
        </xdr:cNvPr>
        <xdr:cNvCxnSpPr/>
      </xdr:nvCxnSpPr>
      <xdr:spPr>
        <a:xfrm flipV="1">
          <a:off x="6283427" y="4094214"/>
          <a:ext cx="737420" cy="7681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15362</xdr:colOff>
      <xdr:row>22</xdr:row>
      <xdr:rowOff>30726</xdr:rowOff>
    </xdr:from>
    <xdr:to>
      <xdr:col>7</xdr:col>
      <xdr:colOff>0</xdr:colOff>
      <xdr:row>24</xdr:row>
      <xdr:rowOff>7681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5B94D324-34B5-4F8C-8795-7677B14FA390}"/>
            </a:ext>
          </a:extLst>
        </xdr:cNvPr>
        <xdr:cNvCxnSpPr/>
      </xdr:nvCxnSpPr>
      <xdr:spPr>
        <a:xfrm>
          <a:off x="6283427" y="4178710"/>
          <a:ext cx="745101" cy="41479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opLeftCell="A4" zoomScaleNormal="100" workbookViewId="0">
      <selection activeCell="I19" sqref="I19"/>
    </sheetView>
  </sheetViews>
  <sheetFormatPr baseColWidth="10" defaultColWidth="8.88671875" defaultRowHeight="14.4" x14ac:dyDescent="0.3"/>
  <cols>
    <col min="3" max="3" width="12.5546875" customWidth="1"/>
    <col min="4" max="4" width="21.6640625" customWidth="1"/>
    <col min="5" max="5" width="25" customWidth="1"/>
    <col min="6" max="6" width="12.109375" customWidth="1"/>
    <col min="7" max="7" width="25" customWidth="1"/>
    <col min="8" max="8" width="15.6640625" customWidth="1"/>
    <col min="9" max="9" width="16.88671875" customWidth="1"/>
    <col min="10" max="10" width="17.109375" customWidth="1"/>
    <col min="11" max="11" width="18.33203125" customWidth="1"/>
    <col min="12" max="13" width="18.44140625" customWidth="1"/>
  </cols>
  <sheetData>
    <row r="1" spans="1:12" ht="15.6" x14ac:dyDescent="0.3">
      <c r="B1" s="8"/>
      <c r="C1" s="8"/>
      <c r="D1" s="8"/>
    </row>
    <row r="2" spans="1:12" ht="16.2" thickBot="1" x14ac:dyDescent="0.35">
      <c r="A2" s="1"/>
      <c r="B2" s="36" t="s">
        <v>0</v>
      </c>
      <c r="C2" s="28"/>
      <c r="D2" s="29"/>
      <c r="F2" s="2"/>
      <c r="G2" s="1"/>
      <c r="H2" s="1"/>
      <c r="I2" s="1"/>
      <c r="J2" s="1"/>
      <c r="K2" s="1"/>
    </row>
    <row r="3" spans="1:12" ht="15" thickBot="1" x14ac:dyDescent="0.35">
      <c r="A3" s="1"/>
      <c r="B3" s="34" t="s">
        <v>1</v>
      </c>
      <c r="C3" s="35">
        <v>53884051</v>
      </c>
      <c r="D3" s="4"/>
      <c r="E3" s="4"/>
      <c r="F3" s="1"/>
      <c r="G3" s="1"/>
      <c r="H3" s="1"/>
      <c r="I3" s="1"/>
      <c r="J3" s="1"/>
      <c r="K3" s="1"/>
    </row>
    <row r="4" spans="1:12" x14ac:dyDescent="0.3">
      <c r="A4" s="1"/>
      <c r="B4" s="4"/>
      <c r="C4" s="3"/>
      <c r="D4" s="4"/>
      <c r="E4" s="4"/>
      <c r="F4" s="1"/>
      <c r="G4" s="1"/>
      <c r="H4" s="1"/>
      <c r="I4" s="1"/>
      <c r="J4" s="1"/>
      <c r="K4" s="1"/>
    </row>
    <row r="5" spans="1:12" ht="17.399999999999999" x14ac:dyDescent="0.3">
      <c r="A5" s="1"/>
      <c r="B5" s="4"/>
      <c r="C5" s="6"/>
      <c r="D5" s="6"/>
      <c r="E5" s="6"/>
      <c r="F5" s="1"/>
      <c r="G5" s="37"/>
      <c r="H5" s="38"/>
      <c r="I5" s="39" t="s">
        <v>54</v>
      </c>
      <c r="J5" s="40"/>
      <c r="K5" s="41"/>
      <c r="L5" s="37"/>
    </row>
    <row r="6" spans="1:12" x14ac:dyDescent="0.3">
      <c r="A6" s="1"/>
      <c r="B6" s="6"/>
      <c r="C6" s="51" t="s">
        <v>2</v>
      </c>
      <c r="D6" s="51" t="s">
        <v>55</v>
      </c>
      <c r="E6" s="51" t="s">
        <v>61</v>
      </c>
      <c r="F6" s="1"/>
      <c r="G6" s="37"/>
      <c r="H6" s="37"/>
      <c r="I6" s="37"/>
      <c r="J6" s="41"/>
      <c r="K6" s="41"/>
      <c r="L6" s="37"/>
    </row>
    <row r="7" spans="1:12" ht="15.6" x14ac:dyDescent="0.3">
      <c r="A7" s="1"/>
      <c r="B7" s="5"/>
      <c r="C7" s="47" t="s">
        <v>3</v>
      </c>
      <c r="D7" s="48">
        <f>MID(Enunciado!C$3,1,1)*5/100</f>
        <v>0.25</v>
      </c>
      <c r="E7" s="48">
        <f>MID(C$3,8,1)*4/100</f>
        <v>0.04</v>
      </c>
      <c r="F7" s="1"/>
      <c r="G7" s="37"/>
      <c r="H7" s="42" t="s">
        <v>12</v>
      </c>
      <c r="I7" s="42" t="s">
        <v>14</v>
      </c>
      <c r="J7" s="42" t="s">
        <v>13</v>
      </c>
      <c r="K7" s="42" t="s">
        <v>15</v>
      </c>
      <c r="L7" s="42" t="s">
        <v>16</v>
      </c>
    </row>
    <row r="8" spans="1:12" ht="15.6" x14ac:dyDescent="0.3">
      <c r="A8" s="1"/>
      <c r="B8" s="5"/>
      <c r="C8" s="47" t="s">
        <v>4</v>
      </c>
      <c r="D8" s="48">
        <f>MID(C$3,2,1)*5/100</f>
        <v>0.15</v>
      </c>
      <c r="E8" s="48">
        <f>MID(C$3,7,1)*4/100</f>
        <v>0.2</v>
      </c>
      <c r="F8" s="1"/>
      <c r="G8" s="43" t="s">
        <v>62</v>
      </c>
      <c r="H8" s="44">
        <v>1</v>
      </c>
      <c r="I8" s="44">
        <v>2</v>
      </c>
      <c r="J8" s="44">
        <v>3</v>
      </c>
      <c r="K8" s="44">
        <v>4</v>
      </c>
      <c r="L8" s="44">
        <v>5</v>
      </c>
    </row>
    <row r="9" spans="1:12" ht="15.6" x14ac:dyDescent="0.3">
      <c r="A9" s="1"/>
      <c r="B9" s="5"/>
      <c r="C9" s="49" t="s">
        <v>5</v>
      </c>
      <c r="D9" s="50">
        <f>MID(C$3,3,1)*5/100</f>
        <v>0.4</v>
      </c>
      <c r="E9" s="50">
        <f>-MID(C$3,6,1)*4/100</f>
        <v>0</v>
      </c>
      <c r="F9" s="1"/>
      <c r="G9" s="43" t="s">
        <v>61</v>
      </c>
      <c r="H9" s="45" t="s">
        <v>64</v>
      </c>
      <c r="I9" s="45" t="s">
        <v>17</v>
      </c>
      <c r="J9" s="45" t="s">
        <v>18</v>
      </c>
      <c r="K9" s="45" t="s">
        <v>75</v>
      </c>
      <c r="L9" s="45" t="s">
        <v>76</v>
      </c>
    </row>
    <row r="10" spans="1:12" x14ac:dyDescent="0.3">
      <c r="A10" s="1"/>
      <c r="B10" s="5"/>
      <c r="C10" s="49" t="s">
        <v>6</v>
      </c>
      <c r="D10" s="50">
        <f>MID(C$3,4,1)*5/100</f>
        <v>0.4</v>
      </c>
      <c r="E10" s="50">
        <f>-MID(C$3,5,1)*3/100</f>
        <v>-0.12</v>
      </c>
      <c r="F10" s="1"/>
      <c r="G10" s="37"/>
      <c r="H10" s="37"/>
      <c r="I10" s="37"/>
      <c r="J10" s="41"/>
      <c r="K10" s="41"/>
      <c r="L10" s="37"/>
    </row>
    <row r="11" spans="1:12" ht="15.6" x14ac:dyDescent="0.3">
      <c r="A11" s="1"/>
      <c r="B11" s="5"/>
      <c r="C11" s="47" t="s">
        <v>7</v>
      </c>
      <c r="D11" s="48">
        <f>MID(C$3,5,1)*5/100</f>
        <v>0.2</v>
      </c>
      <c r="E11" s="48">
        <f>MID(C$3,4,1)*4/100</f>
        <v>0.32</v>
      </c>
      <c r="F11" s="1"/>
      <c r="G11" s="43" t="s">
        <v>63</v>
      </c>
      <c r="H11" s="44">
        <v>1</v>
      </c>
      <c r="I11" s="44">
        <v>2</v>
      </c>
      <c r="J11" s="44">
        <v>3</v>
      </c>
      <c r="K11" s="44">
        <v>4</v>
      </c>
      <c r="L11" s="44">
        <v>5</v>
      </c>
    </row>
    <row r="12" spans="1:12" ht="15.6" x14ac:dyDescent="0.3">
      <c r="A12" s="1"/>
      <c r="B12" s="5"/>
      <c r="C12" s="47" t="s">
        <v>8</v>
      </c>
      <c r="D12" s="48">
        <f>MID(C$3,6,1)*5/100</f>
        <v>0</v>
      </c>
      <c r="E12" s="48">
        <f>MID(C$3,3,1)*2/100</f>
        <v>0.16</v>
      </c>
      <c r="F12" s="1"/>
      <c r="G12" s="43" t="s">
        <v>19</v>
      </c>
      <c r="H12" s="46" t="s">
        <v>56</v>
      </c>
      <c r="I12" s="46" t="s">
        <v>58</v>
      </c>
      <c r="J12" s="46" t="s">
        <v>57</v>
      </c>
      <c r="K12" s="46" t="s">
        <v>59</v>
      </c>
      <c r="L12" s="46" t="s">
        <v>60</v>
      </c>
    </row>
    <row r="13" spans="1:12" x14ac:dyDescent="0.3">
      <c r="A13" s="1"/>
      <c r="B13" s="5"/>
      <c r="C13" s="47" t="s">
        <v>9</v>
      </c>
      <c r="D13" s="48">
        <f>MID(C$3,7,1)*5/100</f>
        <v>0.25</v>
      </c>
      <c r="E13" s="48">
        <f>MID(C$3,2,1)*3/100</f>
        <v>0.09</v>
      </c>
      <c r="F13" s="1"/>
      <c r="J13" s="1"/>
      <c r="K13" s="1"/>
    </row>
    <row r="14" spans="1:12" x14ac:dyDescent="0.3">
      <c r="A14" s="1"/>
      <c r="B14" s="5"/>
      <c r="C14" s="47" t="s">
        <v>10</v>
      </c>
      <c r="D14" s="48">
        <f>MID(C$3,8,1)*5/100</f>
        <v>0.05</v>
      </c>
      <c r="E14" s="48">
        <f>MID(C$3,1,1)*3/100</f>
        <v>0.15</v>
      </c>
      <c r="F14" s="1"/>
      <c r="J14" s="1"/>
      <c r="K14" s="1"/>
    </row>
    <row r="15" spans="1:12" x14ac:dyDescent="0.3">
      <c r="A15" s="1"/>
      <c r="B15" s="5"/>
      <c r="C15" s="47" t="s">
        <v>11</v>
      </c>
      <c r="D15" s="48">
        <f>MID(C$3,1,1)*5/100</f>
        <v>0.25</v>
      </c>
      <c r="E15" s="48">
        <f>MID(C$3,8,1)*4/100</f>
        <v>0.04</v>
      </c>
      <c r="F15" s="1"/>
      <c r="J15" s="1"/>
      <c r="K15" s="1"/>
    </row>
    <row r="17" spans="2:11" ht="18" x14ac:dyDescent="0.35">
      <c r="B17" s="31" t="s">
        <v>67</v>
      </c>
      <c r="C17" s="32"/>
      <c r="D17" s="32"/>
      <c r="E17" s="32"/>
    </row>
    <row r="18" spans="2:11" ht="18" x14ac:dyDescent="0.35">
      <c r="B18" s="11" t="s">
        <v>68</v>
      </c>
    </row>
    <row r="19" spans="2:11" ht="18" x14ac:dyDescent="0.35">
      <c r="B19" s="33" t="s">
        <v>71</v>
      </c>
    </row>
    <row r="20" spans="2:11" ht="18" x14ac:dyDescent="0.35">
      <c r="B20" s="10" t="s">
        <v>73</v>
      </c>
      <c r="K20" s="11" t="s">
        <v>50</v>
      </c>
    </row>
    <row r="21" spans="2:11" ht="18" x14ac:dyDescent="0.35">
      <c r="B21" s="61" t="s">
        <v>83</v>
      </c>
      <c r="C21" s="61"/>
      <c r="D21" s="61"/>
      <c r="E21" s="61"/>
      <c r="F21" s="61"/>
      <c r="G21" s="61"/>
      <c r="H21" s="61"/>
      <c r="I21" s="61"/>
      <c r="J21" s="61"/>
      <c r="K21" s="11" t="s">
        <v>51</v>
      </c>
    </row>
    <row r="22" spans="2:11" ht="18" x14ac:dyDescent="0.35">
      <c r="B22" s="10"/>
    </row>
    <row r="23" spans="2:11" ht="18" x14ac:dyDescent="0.35">
      <c r="B23" s="31" t="s">
        <v>69</v>
      </c>
      <c r="C23" s="32"/>
      <c r="D23" s="32"/>
      <c r="E23" s="32"/>
      <c r="F23" s="32"/>
      <c r="G23" s="32"/>
      <c r="H23" s="32"/>
      <c r="I23" s="32"/>
      <c r="J23" s="32"/>
    </row>
    <row r="24" spans="2:11" ht="18" x14ac:dyDescent="0.35">
      <c r="B24" s="10" t="s">
        <v>30</v>
      </c>
    </row>
    <row r="25" spans="2:11" ht="18" x14ac:dyDescent="0.35">
      <c r="B25" s="10" t="s">
        <v>29</v>
      </c>
    </row>
    <row r="26" spans="2:11" ht="18" x14ac:dyDescent="0.35">
      <c r="B26" s="10" t="s">
        <v>31</v>
      </c>
    </row>
    <row r="27" spans="2:11" ht="18" x14ac:dyDescent="0.35">
      <c r="B27" s="10" t="s">
        <v>32</v>
      </c>
    </row>
    <row r="28" spans="2:11" ht="18" x14ac:dyDescent="0.35">
      <c r="B28" s="10" t="s">
        <v>33</v>
      </c>
    </row>
    <row r="29" spans="2:11" ht="18" x14ac:dyDescent="0.35">
      <c r="B29" s="10" t="s">
        <v>52</v>
      </c>
    </row>
    <row r="30" spans="2:11" ht="18" x14ac:dyDescent="0.35">
      <c r="B30" s="33" t="s">
        <v>72</v>
      </c>
    </row>
    <row r="31" spans="2:11" ht="18" x14ac:dyDescent="0.35">
      <c r="B31" s="10" t="s">
        <v>49</v>
      </c>
      <c r="K31" s="11" t="s">
        <v>50</v>
      </c>
    </row>
    <row r="32" spans="2:11" ht="18" x14ac:dyDescent="0.35">
      <c r="B32" s="10" t="s">
        <v>70</v>
      </c>
      <c r="K32" s="11" t="s">
        <v>51</v>
      </c>
    </row>
    <row r="34" spans="2:7" x14ac:dyDescent="0.3">
      <c r="B34" s="62" t="s">
        <v>81</v>
      </c>
      <c r="C34" s="63"/>
      <c r="D34" s="63"/>
      <c r="E34" s="63"/>
      <c r="F34" s="63"/>
      <c r="G34" s="63"/>
    </row>
  </sheetData>
  <mergeCells count="2">
    <mergeCell ref="B21:J21"/>
    <mergeCell ref="B34:G3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selection activeCell="J10" sqref="J10"/>
    </sheetView>
  </sheetViews>
  <sheetFormatPr baseColWidth="10" defaultRowHeight="14.4" x14ac:dyDescent="0.3"/>
  <cols>
    <col min="1" max="1" width="22.88671875" customWidth="1"/>
    <col min="2" max="2" width="11.109375" customWidth="1"/>
    <col min="3" max="5" width="8.6640625" customWidth="1"/>
    <col min="6" max="6" width="10.44140625" customWidth="1"/>
  </cols>
  <sheetData>
    <row r="1" spans="1:12" ht="18" x14ac:dyDescent="0.35">
      <c r="A1" s="61" t="s">
        <v>73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3" spans="1:12" ht="18" x14ac:dyDescent="0.35">
      <c r="A3" s="52"/>
      <c r="B3" s="53" t="s">
        <v>20</v>
      </c>
      <c r="C3" s="54"/>
      <c r="D3" s="54"/>
      <c r="E3" s="52"/>
      <c r="F3" s="52"/>
    </row>
    <row r="4" spans="1:12" x14ac:dyDescent="0.3">
      <c r="A4" s="52"/>
      <c r="B4" s="55"/>
      <c r="C4" s="52"/>
      <c r="D4" s="52"/>
      <c r="E4" s="52"/>
      <c r="F4" s="52"/>
    </row>
    <row r="5" spans="1:12" ht="15.6" x14ac:dyDescent="0.3">
      <c r="A5" s="56" t="s">
        <v>26</v>
      </c>
      <c r="B5" s="57" t="s">
        <v>21</v>
      </c>
      <c r="C5" s="57" t="s">
        <v>22</v>
      </c>
      <c r="D5" s="57" t="s">
        <v>23</v>
      </c>
      <c r="E5" s="57" t="s">
        <v>24</v>
      </c>
      <c r="F5" s="57" t="s">
        <v>25</v>
      </c>
      <c r="H5">
        <v>1</v>
      </c>
      <c r="I5">
        <v>2</v>
      </c>
      <c r="J5">
        <v>3</v>
      </c>
      <c r="K5">
        <v>4</v>
      </c>
      <c r="L5">
        <v>5</v>
      </c>
    </row>
    <row r="6" spans="1:12" ht="30" customHeight="1" x14ac:dyDescent="0.3">
      <c r="A6" s="58" t="s">
        <v>28</v>
      </c>
      <c r="B6" s="59" t="s">
        <v>77</v>
      </c>
      <c r="C6" s="59"/>
      <c r="D6" s="59"/>
      <c r="E6" s="59"/>
      <c r="F6" s="59"/>
      <c r="G6">
        <v>5</v>
      </c>
      <c r="H6" s="70">
        <f>$G6*H$5</f>
        <v>5</v>
      </c>
      <c r="I6">
        <f t="shared" ref="I6:L6" si="0">$G6*I5</f>
        <v>10</v>
      </c>
      <c r="J6">
        <f t="shared" si="0"/>
        <v>15</v>
      </c>
      <c r="K6">
        <f t="shared" si="0"/>
        <v>20</v>
      </c>
      <c r="L6">
        <f t="shared" si="0"/>
        <v>25</v>
      </c>
    </row>
    <row r="7" spans="1:12" ht="30" customHeight="1" x14ac:dyDescent="0.3">
      <c r="A7" s="58" t="s">
        <v>24</v>
      </c>
      <c r="B7" s="59" t="s">
        <v>79</v>
      </c>
      <c r="C7" s="59" t="s">
        <v>9</v>
      </c>
      <c r="D7" s="59"/>
      <c r="E7" s="59"/>
      <c r="F7" s="59"/>
      <c r="G7">
        <v>4</v>
      </c>
      <c r="H7" s="69">
        <f t="shared" ref="H7:L10" si="1">$G7*H$5</f>
        <v>4</v>
      </c>
      <c r="I7" s="68">
        <f>$G7*I$5</f>
        <v>8</v>
      </c>
      <c r="J7">
        <f>$G7*J$5</f>
        <v>12</v>
      </c>
      <c r="K7">
        <f>$G7*K$5</f>
        <v>16</v>
      </c>
      <c r="L7">
        <f>$G7*L$5</f>
        <v>20</v>
      </c>
    </row>
    <row r="8" spans="1:12" ht="30" customHeight="1" x14ac:dyDescent="0.3">
      <c r="A8" s="58" t="s">
        <v>23</v>
      </c>
      <c r="B8" s="59"/>
      <c r="C8" s="59"/>
      <c r="D8" s="59"/>
      <c r="E8" s="59" t="s">
        <v>4</v>
      </c>
      <c r="F8" s="59" t="s">
        <v>7</v>
      </c>
      <c r="G8">
        <v>3</v>
      </c>
      <c r="H8">
        <f t="shared" si="1"/>
        <v>3</v>
      </c>
      <c r="I8">
        <f t="shared" si="1"/>
        <v>6</v>
      </c>
      <c r="J8">
        <f t="shared" si="1"/>
        <v>9</v>
      </c>
      <c r="K8" s="66">
        <f t="shared" si="1"/>
        <v>12</v>
      </c>
      <c r="L8" s="65">
        <f t="shared" si="1"/>
        <v>15</v>
      </c>
    </row>
    <row r="9" spans="1:12" ht="30" customHeight="1" x14ac:dyDescent="0.3">
      <c r="A9" s="58" t="s">
        <v>27</v>
      </c>
      <c r="B9" s="59"/>
      <c r="C9" s="59"/>
      <c r="D9" s="59"/>
      <c r="E9" s="59"/>
      <c r="F9" s="59"/>
      <c r="G9">
        <v>2</v>
      </c>
      <c r="H9">
        <f t="shared" si="1"/>
        <v>2</v>
      </c>
      <c r="I9">
        <f t="shared" si="1"/>
        <v>4</v>
      </c>
      <c r="J9">
        <f t="shared" si="1"/>
        <v>6</v>
      </c>
      <c r="K9">
        <f t="shared" si="1"/>
        <v>8</v>
      </c>
      <c r="L9">
        <f t="shared" si="1"/>
        <v>10</v>
      </c>
    </row>
    <row r="10" spans="1:12" ht="30" customHeight="1" x14ac:dyDescent="0.3">
      <c r="A10" s="58" t="s">
        <v>53</v>
      </c>
      <c r="B10" s="59"/>
      <c r="C10" s="59"/>
      <c r="D10" s="59" t="s">
        <v>78</v>
      </c>
      <c r="E10" s="59"/>
      <c r="F10" s="59"/>
      <c r="G10">
        <v>1</v>
      </c>
      <c r="H10">
        <f t="shared" si="1"/>
        <v>1</v>
      </c>
      <c r="I10">
        <f t="shared" si="1"/>
        <v>2</v>
      </c>
      <c r="J10" s="67">
        <f t="shared" si="1"/>
        <v>3</v>
      </c>
      <c r="K10">
        <f t="shared" si="1"/>
        <v>4</v>
      </c>
      <c r="L10">
        <f t="shared" si="1"/>
        <v>5</v>
      </c>
    </row>
    <row r="12" spans="1:12" ht="18" x14ac:dyDescent="0.35">
      <c r="A12" s="61" t="s">
        <v>74</v>
      </c>
      <c r="B12" s="61"/>
      <c r="C12" s="61"/>
      <c r="D12" s="61"/>
      <c r="E12" s="61"/>
      <c r="F12" s="61"/>
      <c r="G12" s="61"/>
      <c r="H12" s="61"/>
      <c r="I12" s="61"/>
    </row>
    <row r="14" spans="1:12" x14ac:dyDescent="0.3">
      <c r="A14" s="62" t="s">
        <v>82</v>
      </c>
      <c r="B14" s="64"/>
      <c r="C14" s="64"/>
      <c r="D14" s="64"/>
      <c r="E14" s="64"/>
      <c r="F14" s="64"/>
      <c r="G14" s="64"/>
      <c r="H14" s="64"/>
      <c r="I14" s="64"/>
    </row>
  </sheetData>
  <mergeCells count="3">
    <mergeCell ref="A12:I12"/>
    <mergeCell ref="A1:K1"/>
    <mergeCell ref="A14:I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A13" zoomScale="124" zoomScaleNormal="124" workbookViewId="0">
      <selection activeCell="F6" sqref="F6"/>
    </sheetView>
  </sheetViews>
  <sheetFormatPr baseColWidth="10" defaultRowHeight="14.4" x14ac:dyDescent="0.3"/>
  <cols>
    <col min="2" max="2" width="17" customWidth="1"/>
    <col min="4" max="4" width="16.5546875" customWidth="1"/>
    <col min="5" max="5" width="16.88671875" customWidth="1"/>
    <col min="6" max="6" width="20.6640625" customWidth="1"/>
    <col min="9" max="9" width="13.6640625" customWidth="1"/>
  </cols>
  <sheetData>
    <row r="1" spans="1:10" ht="18" x14ac:dyDescent="0.35">
      <c r="A1" s="61" t="s">
        <v>49</v>
      </c>
      <c r="B1" s="61"/>
      <c r="C1" s="61"/>
      <c r="D1" s="61"/>
      <c r="E1" s="61"/>
      <c r="F1" s="61"/>
      <c r="G1" s="61"/>
      <c r="H1" s="61"/>
      <c r="I1" s="61"/>
      <c r="J1" s="61"/>
    </row>
    <row r="3" spans="1:10" ht="18" x14ac:dyDescent="0.35">
      <c r="F3" s="18" t="s">
        <v>44</v>
      </c>
      <c r="G3" s="21" t="s">
        <v>46</v>
      </c>
      <c r="H3" s="19" t="s">
        <v>43</v>
      </c>
      <c r="I3" s="27" t="s">
        <v>48</v>
      </c>
    </row>
    <row r="4" spans="1:10" ht="15.6" x14ac:dyDescent="0.3">
      <c r="B4" s="12"/>
      <c r="G4" s="22"/>
      <c r="H4" s="13" t="s">
        <v>42</v>
      </c>
      <c r="I4" s="25">
        <f>(1000+MID(Enunciado!C$3,1,1))*1000</f>
        <v>1005000</v>
      </c>
      <c r="J4" s="12"/>
    </row>
    <row r="5" spans="1:10" ht="15.6" x14ac:dyDescent="0.3">
      <c r="B5" s="12"/>
      <c r="G5" s="23">
        <v>0.4</v>
      </c>
      <c r="H5" s="9"/>
      <c r="I5" s="12"/>
      <c r="J5" s="12"/>
    </row>
    <row r="6" spans="1:10" ht="15.6" x14ac:dyDescent="0.3">
      <c r="B6" s="12"/>
      <c r="C6" s="12"/>
      <c r="D6" s="12"/>
      <c r="E6" s="9" t="s">
        <v>47</v>
      </c>
      <c r="F6" s="26">
        <f>(G5*I4+G6*I6+G7*I8)-F8</f>
        <v>118800</v>
      </c>
      <c r="G6" s="23">
        <v>0.4</v>
      </c>
      <c r="H6" s="13" t="s">
        <v>23</v>
      </c>
      <c r="I6" s="25">
        <f>(50+MID(Enunciado!C$3,2,1))*1000</f>
        <v>53000</v>
      </c>
      <c r="J6" s="12"/>
    </row>
    <row r="7" spans="1:10" ht="15.6" x14ac:dyDescent="0.3">
      <c r="B7" s="12"/>
      <c r="C7" s="12"/>
      <c r="D7" s="12"/>
      <c r="E7" s="12"/>
      <c r="F7" s="13" t="s">
        <v>38</v>
      </c>
      <c r="G7" s="23">
        <v>0.2</v>
      </c>
      <c r="H7" s="9"/>
      <c r="I7" s="12"/>
      <c r="J7" s="12"/>
    </row>
    <row r="8" spans="1:10" ht="18" x14ac:dyDescent="0.35">
      <c r="B8" s="12"/>
      <c r="C8" s="12"/>
      <c r="D8" s="12"/>
      <c r="E8" s="18" t="s">
        <v>45</v>
      </c>
      <c r="F8" s="25">
        <f>(150+MID(Enunciado!C$3,1,1))*2000</f>
        <v>310000</v>
      </c>
      <c r="G8" s="22"/>
      <c r="H8" s="13" t="s">
        <v>27</v>
      </c>
      <c r="I8" s="25">
        <f>(20+MID(Enunciado!C$3,3,1))*1000</f>
        <v>28000</v>
      </c>
      <c r="J8" s="12"/>
    </row>
    <row r="9" spans="1:10" ht="15.6" x14ac:dyDescent="0.3">
      <c r="B9" s="12"/>
      <c r="C9" s="12"/>
      <c r="D9" s="13" t="s">
        <v>36</v>
      </c>
      <c r="E9" s="12"/>
      <c r="F9" s="9"/>
      <c r="G9" s="22"/>
      <c r="H9" s="9"/>
      <c r="I9" s="12"/>
      <c r="J9" s="12"/>
    </row>
    <row r="10" spans="1:10" ht="15.6" x14ac:dyDescent="0.3">
      <c r="C10" s="12"/>
      <c r="D10" s="9"/>
      <c r="E10" s="9" t="s">
        <v>47</v>
      </c>
      <c r="F10" s="26">
        <f>(G10*I10+G11*I12+G13*I14)-F12</f>
        <v>111900</v>
      </c>
      <c r="G10" s="23">
        <v>0.15</v>
      </c>
      <c r="H10" s="13" t="s">
        <v>42</v>
      </c>
      <c r="I10" s="25">
        <f>(995+MID(Enunciado!C$3,4,1))*1000</f>
        <v>1003000</v>
      </c>
      <c r="J10" s="12"/>
    </row>
    <row r="11" spans="1:10" ht="15.6" x14ac:dyDescent="0.3">
      <c r="C11" s="12"/>
      <c r="D11" s="9"/>
      <c r="E11" s="12"/>
      <c r="F11" s="13" t="s">
        <v>39</v>
      </c>
      <c r="G11" s="23">
        <v>0.2</v>
      </c>
      <c r="H11" s="9"/>
      <c r="I11" s="12"/>
      <c r="J11" s="12"/>
    </row>
    <row r="12" spans="1:10" ht="18" x14ac:dyDescent="0.35">
      <c r="E12" s="18" t="s">
        <v>45</v>
      </c>
      <c r="F12" s="25">
        <f>(80+MID(Enunciado!C$3,2,1))*700</f>
        <v>58100</v>
      </c>
      <c r="G12" s="20"/>
      <c r="H12" s="13" t="s">
        <v>23</v>
      </c>
      <c r="I12" s="25">
        <f>(45+MID(Enunciado!C$3,5,1))*1000</f>
        <v>49000</v>
      </c>
      <c r="J12" s="12"/>
    </row>
    <row r="13" spans="1:10" ht="15.6" x14ac:dyDescent="0.3">
      <c r="F13" s="8"/>
      <c r="G13" s="23">
        <v>0.65</v>
      </c>
      <c r="H13" s="9"/>
      <c r="I13" s="12"/>
      <c r="J13" s="12"/>
    </row>
    <row r="14" spans="1:10" ht="15.6" x14ac:dyDescent="0.3">
      <c r="B14" s="14" t="s">
        <v>34</v>
      </c>
      <c r="F14" s="8"/>
      <c r="G14" s="22"/>
      <c r="H14" s="13" t="s">
        <v>27</v>
      </c>
      <c r="I14" s="25">
        <f>(15+MID(Enunciado!C$3,6,1))*1000</f>
        <v>15000</v>
      </c>
      <c r="J14" s="12"/>
    </row>
    <row r="15" spans="1:10" ht="15.6" x14ac:dyDescent="0.3">
      <c r="B15" s="15" t="s">
        <v>35</v>
      </c>
      <c r="F15" s="8"/>
      <c r="G15" s="22"/>
      <c r="H15" s="17"/>
      <c r="I15" s="12"/>
      <c r="J15" s="12"/>
    </row>
    <row r="16" spans="1:10" ht="15.6" x14ac:dyDescent="0.3">
      <c r="C16" s="12"/>
      <c r="F16" s="8"/>
      <c r="G16" s="22"/>
      <c r="H16" s="13" t="s">
        <v>42</v>
      </c>
      <c r="I16" s="25">
        <f>(400+MID(Enunciado!C$3,7,1))*1200</f>
        <v>486000</v>
      </c>
      <c r="J16" s="12"/>
    </row>
    <row r="17" spans="1:10" ht="15.6" x14ac:dyDescent="0.3">
      <c r="B17" s="12"/>
      <c r="C17" s="12"/>
      <c r="D17" s="9"/>
      <c r="E17" s="9" t="s">
        <v>47</v>
      </c>
      <c r="F17" s="26">
        <f>(G17*I16+G18*I18+G19*I20)-F19</f>
        <v>108500</v>
      </c>
      <c r="G17" s="23">
        <v>0.3</v>
      </c>
      <c r="H17" s="9"/>
      <c r="I17" s="12"/>
      <c r="J17" s="12"/>
    </row>
    <row r="18" spans="1:10" ht="15.6" x14ac:dyDescent="0.3">
      <c r="B18" s="12"/>
      <c r="C18" s="12"/>
      <c r="D18" s="9"/>
      <c r="E18" s="12"/>
      <c r="F18" s="13" t="s">
        <v>40</v>
      </c>
      <c r="G18" s="23">
        <v>0.4</v>
      </c>
      <c r="H18" s="13" t="s">
        <v>23</v>
      </c>
      <c r="I18" s="25">
        <f>(20+MID(Enunciado!C$3,7,1))*1000</f>
        <v>25000</v>
      </c>
      <c r="J18" s="12"/>
    </row>
    <row r="19" spans="1:10" ht="18" x14ac:dyDescent="0.35">
      <c r="B19" s="12"/>
      <c r="C19" s="12"/>
      <c r="D19" s="9"/>
      <c r="E19" s="18" t="s">
        <v>45</v>
      </c>
      <c r="F19" s="25">
        <f>(30+MID(Enunciado!C$3,3,1))*1300</f>
        <v>49400</v>
      </c>
      <c r="G19" s="23">
        <v>0.3</v>
      </c>
      <c r="H19" s="9"/>
      <c r="I19" s="12"/>
      <c r="J19" s="12"/>
    </row>
    <row r="20" spans="1:10" ht="15.6" x14ac:dyDescent="0.3">
      <c r="B20" s="12"/>
      <c r="C20" s="12"/>
      <c r="D20" s="13" t="s">
        <v>37</v>
      </c>
      <c r="E20" s="12"/>
      <c r="F20" s="9"/>
      <c r="G20" s="22"/>
      <c r="H20" s="13" t="s">
        <v>27</v>
      </c>
      <c r="I20" s="25">
        <f>(6+MID(Enunciado!C$3,8,1))*1000</f>
        <v>7000</v>
      </c>
    </row>
    <row r="21" spans="1:10" ht="15.6" x14ac:dyDescent="0.3">
      <c r="B21" s="12"/>
      <c r="C21" s="12"/>
      <c r="D21" s="12"/>
      <c r="E21" s="9" t="s">
        <v>47</v>
      </c>
      <c r="F21" s="26">
        <f>(G22*I22+G23*I24)-F23</f>
        <v>7600</v>
      </c>
      <c r="G21" s="22"/>
      <c r="H21" s="9"/>
    </row>
    <row r="22" spans="1:10" ht="15.6" x14ac:dyDescent="0.3">
      <c r="B22" s="12"/>
      <c r="C22" s="12"/>
      <c r="D22" s="12"/>
      <c r="E22" s="12"/>
      <c r="F22" s="13" t="s">
        <v>41</v>
      </c>
      <c r="G22" s="23">
        <v>0.6</v>
      </c>
      <c r="H22" s="13" t="s">
        <v>42</v>
      </c>
      <c r="I22" s="25">
        <f>(40+MID(Enunciado!C$3,1,1))*1000</f>
        <v>45000</v>
      </c>
    </row>
    <row r="23" spans="1:10" ht="18" x14ac:dyDescent="0.35">
      <c r="B23" s="12"/>
      <c r="C23" s="12"/>
      <c r="D23" s="12"/>
      <c r="E23" s="18" t="s">
        <v>45</v>
      </c>
      <c r="F23" s="25">
        <f>(20+MID(Enunciado!C$3,2,1))*1000</f>
        <v>23000</v>
      </c>
      <c r="G23" s="23">
        <v>0.4</v>
      </c>
      <c r="H23" s="9"/>
    </row>
    <row r="24" spans="1:10" ht="15.6" x14ac:dyDescent="0.3">
      <c r="G24" s="24"/>
      <c r="H24" s="13" t="s">
        <v>27</v>
      </c>
      <c r="I24" s="25">
        <f>(6+MID(Enunciado!C$3,2,1))*1000</f>
        <v>9000</v>
      </c>
    </row>
    <row r="25" spans="1:10" x14ac:dyDescent="0.3">
      <c r="G25" s="24"/>
      <c r="H25" s="7"/>
    </row>
    <row r="26" spans="1:10" ht="18" x14ac:dyDescent="0.35">
      <c r="D26" s="30" t="s">
        <v>66</v>
      </c>
      <c r="F26" s="30" t="s">
        <v>66</v>
      </c>
      <c r="G26" s="16"/>
      <c r="H26" s="30" t="s">
        <v>65</v>
      </c>
    </row>
    <row r="29" spans="1:10" ht="18" x14ac:dyDescent="0.35">
      <c r="A29" s="61" t="s">
        <v>70</v>
      </c>
      <c r="B29" s="61"/>
      <c r="C29" s="61"/>
      <c r="D29" s="61"/>
      <c r="E29" s="61"/>
      <c r="F29" s="61"/>
    </row>
    <row r="31" spans="1:10" x14ac:dyDescent="0.3">
      <c r="A31" s="64" t="s">
        <v>80</v>
      </c>
      <c r="B31" s="64"/>
      <c r="C31" s="64"/>
      <c r="D31" s="64"/>
      <c r="E31" s="64"/>
      <c r="F31" s="64"/>
      <c r="G31" s="64"/>
      <c r="H31" s="60">
        <f>MAX(F6,F10,F17,F21)</f>
        <v>118800</v>
      </c>
    </row>
  </sheetData>
  <mergeCells count="3">
    <mergeCell ref="A1:J1"/>
    <mergeCell ref="A29:F29"/>
    <mergeCell ref="A31:G3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Matriz Probabilidad-Impacto</vt:lpstr>
      <vt:lpstr>EMV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2021-06-18T14:09:10Z</dcterms:modified>
</cp:coreProperties>
</file>