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foundationcoza-my.sharepoint.com/personal/nkagisangn_foundation_co_za/Documents/Documents/GitHub/TB-Stigma/Metadata/"/>
    </mc:Choice>
  </mc:AlternateContent>
  <xr:revisionPtr revIDLastSave="727" documentId="13_ncr:1_{4E8155F7-AC4F-4477-AE49-442A2AC0C24F}" xr6:coauthVersionLast="47" xr6:coauthVersionMax="47" xr10:uidLastSave="{65338F0F-66B8-4E9A-969D-5F20DF9AAAB3}"/>
  <bookViews>
    <workbookView xWindow="-24120" yWindow="1770" windowWidth="24240" windowHeight="13020" firstSheet="6" activeTab="9"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0" r:id="rId15"/>
    <pivotCache cacheId="1" r:id="rId16"/>
    <pivotCache cacheId="2" r:id="rId17"/>
    <pivotCache cacheId="3"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67" i="15" l="1"/>
  <c r="P67" i="15"/>
  <c r="D52" i="24"/>
  <c r="D40" i="24"/>
  <c r="D41" i="24"/>
  <c r="AD82" i="24"/>
  <c r="AC83" i="24"/>
  <c r="AC82" i="24"/>
  <c r="AD81" i="24"/>
  <c r="AD80" i="24"/>
  <c r="AD79" i="24"/>
  <c r="AC79" i="24"/>
  <c r="AC80" i="24"/>
  <c r="AC81" i="24"/>
  <c r="D40" i="25"/>
  <c r="D52" i="25"/>
  <c r="D52" i="26"/>
  <c r="D40" i="26"/>
  <c r="D41" i="26"/>
  <c r="C52" i="26"/>
  <c r="C40" i="26"/>
  <c r="C52" i="25"/>
  <c r="C40" i="25"/>
  <c r="C52" i="24"/>
  <c r="C40" i="24"/>
  <c r="AJ68" i="15"/>
  <c r="AG68" i="15"/>
  <c r="W68" i="15"/>
  <c r="T68" i="15"/>
  <c r="J68" i="15"/>
  <c r="I67" i="15"/>
  <c r="D68" i="15"/>
  <c r="G68" i="15"/>
  <c r="F67" i="15"/>
  <c r="C20" i="26"/>
  <c r="C20" i="24"/>
  <c r="C20" i="25"/>
  <c r="C8" i="25"/>
  <c r="N44" i="2"/>
  <c r="L44" i="2"/>
  <c r="M44" i="2" s="1"/>
  <c r="M42" i="2"/>
  <c r="M41" i="2"/>
  <c r="L25" i="2"/>
  <c r="L24" i="2"/>
  <c r="L23" i="2"/>
  <c r="L22" i="2"/>
  <c r="L21" i="2"/>
  <c r="L20" i="2"/>
  <c r="L19" i="2"/>
  <c r="L18" i="2"/>
  <c r="K13" i="2"/>
  <c r="L13" i="2" s="1"/>
  <c r="L12" i="2"/>
  <c r="L11" i="2"/>
  <c r="L10" i="2"/>
  <c r="L9" i="2"/>
  <c r="L8" i="2"/>
  <c r="L7" i="2"/>
  <c r="L6" i="2"/>
  <c r="L5" i="2"/>
  <c r="M34" i="2"/>
  <c r="M33" i="2"/>
  <c r="M32" i="2"/>
  <c r="M31" i="2"/>
  <c r="C60" i="26"/>
  <c r="C59" i="26"/>
  <c r="C58" i="26"/>
  <c r="C57" i="26"/>
  <c r="C56" i="26"/>
  <c r="C55" i="26"/>
  <c r="C54" i="26"/>
  <c r="C53" i="26"/>
  <c r="C51" i="26"/>
  <c r="C50" i="26"/>
  <c r="C49" i="26"/>
  <c r="C48" i="26"/>
  <c r="C47" i="26"/>
  <c r="C46" i="26"/>
  <c r="C45" i="26"/>
  <c r="C44" i="26"/>
  <c r="C43" i="26"/>
  <c r="C42" i="26"/>
  <c r="C41" i="26"/>
  <c r="C39" i="26"/>
  <c r="C37" i="26"/>
  <c r="C36" i="26"/>
  <c r="C35" i="26"/>
  <c r="C34" i="26"/>
  <c r="C33" i="26"/>
  <c r="C32" i="26"/>
  <c r="C31" i="26"/>
  <c r="C30" i="26"/>
  <c r="C29" i="26"/>
  <c r="C28" i="26"/>
  <c r="C27" i="26"/>
  <c r="C26" i="26"/>
  <c r="C25" i="26"/>
  <c r="C24" i="26"/>
  <c r="C23" i="26"/>
  <c r="C22" i="26"/>
  <c r="C19" i="26"/>
  <c r="C18" i="26"/>
  <c r="C17" i="26"/>
  <c r="C16" i="26"/>
  <c r="C15" i="26"/>
  <c r="C14" i="26"/>
  <c r="C13" i="26"/>
  <c r="C12" i="26"/>
  <c r="C11" i="26"/>
  <c r="C10" i="26"/>
  <c r="C9" i="26"/>
  <c r="D53" i="25"/>
  <c r="D41" i="25"/>
  <c r="D34" i="25"/>
  <c r="D29" i="25"/>
  <c r="D28" i="25"/>
  <c r="D26" i="25"/>
  <c r="D21" i="25"/>
  <c r="D15" i="25"/>
  <c r="D13" i="25"/>
  <c r="D11" i="25"/>
  <c r="D10" i="25"/>
  <c r="D9" i="25"/>
  <c r="D53" i="26"/>
  <c r="D34" i="26"/>
  <c r="D29" i="26"/>
  <c r="D28" i="26"/>
  <c r="D26" i="26"/>
  <c r="D21" i="26"/>
  <c r="D15" i="26"/>
  <c r="D13" i="26"/>
  <c r="D11" i="26"/>
  <c r="D10" i="26"/>
  <c r="D9" i="26"/>
  <c r="C61" i="26"/>
  <c r="C2" i="26"/>
  <c r="C55" i="25"/>
  <c r="C54" i="25"/>
  <c r="C53" i="25"/>
  <c r="C50" i="25"/>
  <c r="C49" i="25"/>
  <c r="C48" i="25"/>
  <c r="C47" i="25"/>
  <c r="C46" i="25"/>
  <c r="C45" i="25"/>
  <c r="C44" i="25"/>
  <c r="C43" i="25"/>
  <c r="C42" i="25"/>
  <c r="C41" i="25"/>
  <c r="C39" i="25"/>
  <c r="C37" i="25"/>
  <c r="C36" i="25"/>
  <c r="C35" i="25"/>
  <c r="C34" i="25"/>
  <c r="C33" i="25"/>
  <c r="C32" i="25"/>
  <c r="C31" i="25"/>
  <c r="C30" i="25"/>
  <c r="C29" i="25"/>
  <c r="C28" i="25"/>
  <c r="C27" i="25"/>
  <c r="C26" i="25"/>
  <c r="C25" i="25"/>
  <c r="C24" i="25"/>
  <c r="C23" i="25"/>
  <c r="C22" i="25"/>
  <c r="C21" i="25"/>
  <c r="C19" i="25"/>
  <c r="C18" i="25"/>
  <c r="C17" i="25"/>
  <c r="C13" i="25"/>
  <c r="C12" i="25"/>
  <c r="C11" i="25"/>
  <c r="V44" i="2"/>
  <c r="T44" i="2"/>
  <c r="U44" i="2" s="1"/>
  <c r="U42" i="2"/>
  <c r="C7" i="26" s="1"/>
  <c r="U41" i="2"/>
  <c r="C6" i="26" s="1"/>
  <c r="U34" i="2"/>
  <c r="U33" i="2"/>
  <c r="C8" i="26" s="1"/>
  <c r="U32" i="2"/>
  <c r="C5" i="26" s="1"/>
  <c r="U31" i="2"/>
  <c r="D8" i="26" s="1"/>
  <c r="T25" i="2"/>
  <c r="T24" i="2"/>
  <c r="T23" i="2"/>
  <c r="T22" i="2"/>
  <c r="T21" i="2"/>
  <c r="T20" i="2"/>
  <c r="T19" i="2"/>
  <c r="D6" i="26" s="1"/>
  <c r="T18" i="2"/>
  <c r="S13" i="2"/>
  <c r="T13" i="2" s="1"/>
  <c r="T12" i="2"/>
  <c r="T11" i="2"/>
  <c r="T10" i="2"/>
  <c r="T9" i="2"/>
  <c r="T8" i="2"/>
  <c r="T7" i="2"/>
  <c r="C4" i="26" s="1"/>
  <c r="T6" i="2"/>
  <c r="T5" i="2"/>
  <c r="C3" i="26" s="1"/>
  <c r="AM79" i="15"/>
  <c r="AJ78" i="15"/>
  <c r="AJ77" i="15"/>
  <c r="AG77" i="15"/>
  <c r="AD77" i="15"/>
  <c r="AJ76" i="15"/>
  <c r="AG76" i="15"/>
  <c r="AD76" i="15"/>
  <c r="AJ75" i="15"/>
  <c r="AG75" i="15"/>
  <c r="AD75" i="15"/>
  <c r="AJ74" i="15"/>
  <c r="AG74" i="15"/>
  <c r="AD74" i="15"/>
  <c r="AJ73" i="15"/>
  <c r="AG73" i="15"/>
  <c r="AD73" i="15"/>
  <c r="AJ72" i="15"/>
  <c r="AG72" i="15"/>
  <c r="AD72" i="15"/>
  <c r="AJ71" i="15"/>
  <c r="AG71" i="15"/>
  <c r="AD71" i="15"/>
  <c r="AJ70" i="15"/>
  <c r="AG70" i="15"/>
  <c r="AD70" i="15"/>
  <c r="AJ69" i="15"/>
  <c r="AG69" i="15"/>
  <c r="AD69" i="15"/>
  <c r="AD68" i="15"/>
  <c r="AI67" i="15"/>
  <c r="AJ67" i="15" s="1"/>
  <c r="AG67" i="15"/>
  <c r="AF67" i="15"/>
  <c r="AD67" i="15"/>
  <c r="AC67" i="15"/>
  <c r="AG65" i="15"/>
  <c r="AG64" i="15"/>
  <c r="AG63" i="15"/>
  <c r="AG62" i="15"/>
  <c r="AG61" i="15"/>
  <c r="AG60" i="15"/>
  <c r="AM59" i="15"/>
  <c r="AG59" i="15"/>
  <c r="AD53" i="15"/>
  <c r="AD52" i="15"/>
  <c r="Z79" i="15"/>
  <c r="W78" i="15"/>
  <c r="W77" i="15"/>
  <c r="T77" i="15"/>
  <c r="Q77" i="15"/>
  <c r="W76" i="15"/>
  <c r="T76" i="15"/>
  <c r="Q76" i="15"/>
  <c r="W75" i="15"/>
  <c r="T75" i="15"/>
  <c r="Q75" i="15"/>
  <c r="W74" i="15"/>
  <c r="T74" i="15"/>
  <c r="Q74" i="15"/>
  <c r="W73" i="15"/>
  <c r="T73" i="15"/>
  <c r="Q73" i="15"/>
  <c r="W72" i="15"/>
  <c r="T72" i="15"/>
  <c r="Q72" i="15"/>
  <c r="W71" i="15"/>
  <c r="T71" i="15"/>
  <c r="Q71" i="15"/>
  <c r="W70" i="15"/>
  <c r="T70" i="15"/>
  <c r="Q70" i="15"/>
  <c r="W69" i="15"/>
  <c r="T69" i="15"/>
  <c r="Q69" i="15"/>
  <c r="Q68" i="15"/>
  <c r="W67" i="15"/>
  <c r="C51" i="25" s="1"/>
  <c r="S67" i="15"/>
  <c r="T67" i="15" s="1"/>
  <c r="Q67" i="15"/>
  <c r="T65" i="15"/>
  <c r="T64" i="15"/>
  <c r="T63" i="15"/>
  <c r="T62" i="15"/>
  <c r="T61" i="15"/>
  <c r="T60" i="15"/>
  <c r="Z59" i="15"/>
  <c r="T59"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58" i="25"/>
  <c r="C2" i="24"/>
  <c r="C34" i="24"/>
  <c r="D3" i="26" l="1"/>
  <c r="C21" i="24"/>
  <c r="G61" i="15"/>
  <c r="G62" i="15"/>
  <c r="J73" i="15"/>
  <c r="G73" i="15"/>
  <c r="D73" i="15"/>
  <c r="J78" i="15"/>
  <c r="C46" i="24"/>
  <c r="C67" i="15"/>
  <c r="C58" i="24"/>
  <c r="D53" i="15"/>
  <c r="D52" i="15"/>
  <c r="D13" i="24"/>
  <c r="M59" i="15"/>
  <c r="M7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3" i="2"/>
  <c r="D13" i="2" l="1"/>
  <c r="C55" i="24"/>
  <c r="C24" i="24"/>
  <c r="C35" i="24"/>
  <c r="C47" i="24"/>
  <c r="C59" i="24"/>
  <c r="C59" i="25"/>
  <c r="C17" i="24"/>
  <c r="C18" i="24"/>
  <c r="C37" i="24"/>
  <c r="C49" i="24"/>
  <c r="C61" i="24"/>
  <c r="C61" i="25"/>
  <c r="C26" i="24"/>
  <c r="C33" i="24"/>
  <c r="C22" i="24"/>
  <c r="C23" i="24"/>
  <c r="C48" i="24"/>
  <c r="C45" i="24"/>
  <c r="C32" i="24"/>
  <c r="C36" i="24"/>
  <c r="D29" i="24"/>
  <c r="D53" i="24"/>
  <c r="D26" i="24"/>
  <c r="D67" i="15"/>
  <c r="C57" i="24"/>
  <c r="C57" i="25"/>
  <c r="D28" i="24"/>
  <c r="D10" i="24"/>
  <c r="C30" i="24"/>
  <c r="C42" i="24"/>
  <c r="C54" i="24"/>
  <c r="C25" i="24"/>
  <c r="G67" i="15"/>
  <c r="C39" i="24" s="1"/>
  <c r="C44" i="24"/>
  <c r="C60" i="24"/>
  <c r="C60" i="25"/>
  <c r="C19" i="24"/>
  <c r="C31" i="24"/>
  <c r="C43" i="24"/>
  <c r="C56" i="24"/>
  <c r="C56" i="25"/>
  <c r="J67" i="15"/>
  <c r="C51" i="24" s="1"/>
  <c r="C53" i="24"/>
  <c r="D21" i="24"/>
  <c r="C28" i="24"/>
  <c r="C29" i="24"/>
  <c r="C41" i="24"/>
  <c r="C50" i="24"/>
  <c r="C10" i="24"/>
  <c r="C9" i="24"/>
  <c r="D16" i="15"/>
  <c r="D8" i="15"/>
  <c r="C13" i="15"/>
  <c r="D15" i="15"/>
  <c r="D24" i="15"/>
  <c r="D23" i="15"/>
  <c r="D22" i="15"/>
  <c r="D21" i="15"/>
  <c r="D20" i="15"/>
  <c r="D19" i="15"/>
  <c r="E34" i="2"/>
  <c r="E33" i="2"/>
  <c r="C8" i="24" s="1"/>
  <c r="E32" i="2"/>
  <c r="C5" i="24" s="1"/>
  <c r="E31" i="2"/>
  <c r="D8" i="24" s="1"/>
  <c r="J6" i="23"/>
  <c r="K24" i="23"/>
  <c r="C27" i="24" l="1"/>
  <c r="D34" i="24"/>
  <c r="C11" i="24"/>
  <c r="D13" i="15"/>
  <c r="D9" i="24" s="1"/>
  <c r="J24" i="23"/>
  <c r="D6" i="22"/>
  <c r="D5" i="22"/>
  <c r="C3" i="25" s="1"/>
  <c r="D30" i="15"/>
  <c r="D20" i="22"/>
  <c r="D19" i="22"/>
  <c r="D6" i="25" s="1"/>
  <c r="F44" i="2"/>
  <c r="D19" i="2"/>
  <c r="D9" i="22"/>
  <c r="D7" i="22"/>
  <c r="C4" i="25" s="1"/>
  <c r="D8" i="22"/>
  <c r="D12" i="22"/>
  <c r="D11" i="22"/>
  <c r="D10" i="22"/>
  <c r="D18" i="2"/>
  <c r="J18" i="23" s="1"/>
  <c r="D12" i="2"/>
  <c r="N12" i="23" s="1"/>
  <c r="D11" i="2"/>
  <c r="N11" i="23" s="1"/>
  <c r="D10" i="2"/>
  <c r="N10" i="23" s="1"/>
  <c r="D6" i="2"/>
  <c r="N6" i="23" s="1"/>
  <c r="D5" i="2"/>
  <c r="D3" i="25" l="1"/>
  <c r="D15" i="24"/>
  <c r="C3" i="24"/>
  <c r="J13" i="23"/>
  <c r="D41" i="15"/>
  <c r="N29" i="23" s="1"/>
  <c r="D40" i="15"/>
  <c r="N28" i="23" s="1"/>
  <c r="D42" i="15"/>
  <c r="N30" i="23" s="1"/>
  <c r="D39" i="15"/>
  <c r="N27" i="23" s="1"/>
  <c r="D38" i="15"/>
  <c r="N26" i="23" s="1"/>
  <c r="D37" i="15"/>
  <c r="N25" i="23" s="1"/>
  <c r="E42" i="2"/>
  <c r="C7" i="24" s="1"/>
  <c r="E41" i="2"/>
  <c r="C6" i="24" s="1"/>
  <c r="N31" i="22"/>
  <c r="K31" i="22"/>
  <c r="E31" i="22"/>
  <c r="D25" i="22"/>
  <c r="D24" i="22"/>
  <c r="D23" i="22"/>
  <c r="D22" i="22"/>
  <c r="D21" i="22"/>
  <c r="D18" i="22"/>
  <c r="D22" i="2"/>
  <c r="D23" i="2"/>
  <c r="D24" i="2"/>
  <c r="D25" i="2"/>
  <c r="D21" i="2"/>
  <c r="D20" i="2"/>
  <c r="D6" i="24" s="1"/>
  <c r="D45" i="15"/>
  <c r="D46" i="15"/>
  <c r="D44" i="15"/>
  <c r="D43" i="15"/>
  <c r="D36" i="15"/>
  <c r="D35" i="15"/>
  <c r="D29" i="15"/>
  <c r="D28" i="15"/>
  <c r="D17" i="15"/>
  <c r="D10" i="15"/>
  <c r="D11" i="15"/>
  <c r="D9" i="15"/>
  <c r="D9" i="2"/>
  <c r="N9" i="23" s="1"/>
  <c r="D8" i="2"/>
  <c r="D7" i="2"/>
  <c r="C6" i="25" l="1"/>
  <c r="D8" i="25"/>
  <c r="E3" i="25"/>
  <c r="E3" i="26"/>
  <c r="C4" i="24"/>
  <c r="N7" i="23"/>
  <c r="E3" i="24"/>
  <c r="N8" i="23"/>
  <c r="D3" i="24"/>
  <c r="D11" i="24"/>
  <c r="C12" i="24"/>
  <c r="C14" i="24"/>
  <c r="C15" i="24"/>
  <c r="C13" i="24"/>
  <c r="K39" i="23"/>
  <c r="C16" i="24"/>
  <c r="N24" i="23"/>
  <c r="K33" i="23"/>
  <c r="I6" i="15"/>
  <c r="I5" i="15"/>
  <c r="D44" i="2" l="1"/>
  <c r="E44"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<sst xmlns="http://schemas.openxmlformats.org/spreadsheetml/2006/main" count="107254" uniqueCount="1003">
  <si>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</si>
  <si>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</si>
  <si>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</si>
  <si>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</si>
  <si>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</si>
  <si>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</si>
  <si>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</si>
  <si>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</si>
  <si>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</si>
  <si>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</si>
  <si>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</si>
  <si>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</si>
  <si>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</si>
  <si>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</si>
  <si>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</si>
  <si>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</si>
  <si>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</si>
  <si>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</si>
  <si>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</si>
  <si>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</si>
  <si>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</si>
  <si>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</si>
  <si>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</si>
  <si>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</si>
  <si>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</si>
  <si>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</si>
  <si>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</si>
  <si>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</si>
  <si>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</si>
  <si>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</si>
  <si>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</si>
  <si>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</si>
  <si>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</si>
  <si>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</si>
  <si>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</si>
  <si>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</si>
  <si>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</si>
  <si>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</si>
  <si>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</si>
  <si>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</si>
  <si>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</si>
  <si>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</si>
  <si>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</si>
  <si>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</si>
  <si>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</si>
  <si>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</si>
  <si>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</si>
  <si>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</si>
  <si>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</si>
  <si>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</si>
  <si>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</si>
  <si>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</si>
  <si>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</si>
  <si>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</si>
  <si>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</si>
  <si>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</si>
  <si>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</si>
  <si>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</si>
  <si>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</si>
  <si>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</si>
  <si>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</si>
  <si>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</si>
  <si>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</si>
  <si>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</si>
  <si>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</si>
  <si>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</si>
  <si>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</si>
  <si>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</si>
  <si>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</si>
  <si>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</si>
  <si>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</si>
  <si>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</si>
  <si>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</si>
  <si>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</si>
  <si>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</si>
  <si>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</si>
  <si>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</si>
  <si>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</si>
  <si>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</si>
  <si>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</si>
  <si>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</si>
  <si>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</si>
  <si>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</si>
  <si>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</si>
  <si>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</si>
  <si>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</si>
  <si>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</si>
  <si>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</si>
  <si>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</si>
  <si>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</si>
  <si>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</si>
  <si>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</si>
  <si>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</si>
  <si>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</si>
  <si>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</si>
  <si>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</si>
  <si>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</si>
  <si>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</si>
  <si>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</si>
  <si>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</si>
  <si>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</si>
  <si>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</si>
  <si>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</si>
  <si>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</si>
  <si>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</si>
  <si>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</si>
  <si>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</si>
  <si>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</si>
  <si>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</si>
  <si>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</si>
  <si>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</si>
  <si>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</si>
  <si>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</si>
  <si>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</si>
  <si>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</si>
  <si>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</si>
  <si>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</si>
  <si>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</si>
  <si>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</si>
  <si>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</si>
  <si>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</si>
  <si>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</si>
  <si>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</si>
  <si>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</si>
  <si>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</si>
  <si>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</si>
  <si>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</si>
  <si>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</si>
  <si>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</si>
  <si>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</si>
  <si>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</si>
  <si>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</si>
  <si>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</si>
  <si>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</si>
  <si>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</si>
  <si>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</si>
  <si>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</si>
  <si>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</si>
  <si>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</si>
  <si>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</si>
  <si>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</si>
  <si>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</si>
  <si>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</si>
  <si>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</si>
  <si>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</si>
  <si>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</si>
  <si>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</si>
  <si>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</si>
  <si>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</si>
  <si>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</si>
  <si>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</si>
  <si>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</si>
  <si>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</si>
  <si>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</si>
  <si>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</si>
  <si>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</si>
  <si>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</si>
  <si>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</si>
  <si>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</si>
  <si>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</si>
  <si>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</si>
  <si>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</si>
  <si>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</si>
  <si>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</si>
  <si>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</si>
  <si>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</si>
  <si>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</si>
  <si>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</si>
  <si>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</si>
  <si>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</si>
  <si>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</si>
  <si>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</si>
  <si>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</si>
  <si>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</si>
  <si>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</si>
  <si>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</si>
  <si>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</si>
  <si>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</si>
  <si>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</si>
  <si>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</si>
  <si>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</si>
  <si>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</si>
  <si>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</si>
  <si>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</si>
  <si>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</si>
  <si>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</si>
  <si>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</si>
  <si>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</si>
  <si>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</si>
  <si>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</si>
  <si>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</si>
  <si>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</si>
  <si>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</si>
  <si>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</si>
  <si>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</si>
  <si>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</si>
  <si>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</si>
  <si>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</si>
  <si>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</si>
  <si>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</si>
  <si>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</si>
  <si>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</si>
  <si>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</si>
  <si>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</si>
  <si>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</si>
  <si>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</si>
  <si>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</si>
  <si>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</si>
  <si>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</si>
  <si>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</si>
  <si>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</si>
  <si>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</si>
  <si>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</si>
  <si>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</si>
  <si>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</si>
  <si>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</si>
  <si>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</si>
  <si>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</si>
  <si>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</si>
  <si>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</si>
  <si>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</si>
  <si>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</si>
  <si>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</si>
  <si>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</si>
  <si>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</si>
  <si>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</si>
  <si>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</si>
  <si>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</si>
  <si>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</si>
  <si>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</si>
  <si>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</si>
  <si>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</si>
  <si>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</si>
  <si>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</si>
  <si>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</si>
  <si>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</si>
  <si>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</si>
  <si>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</si>
  <si>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</si>
  <si>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</si>
  <si>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</si>
  <si>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</si>
  <si>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</si>
  <si>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</si>
  <si>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</si>
  <si>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</si>
  <si>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</si>
  <si>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</si>
  <si>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</si>
  <si>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</si>
  <si>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</si>
  <si>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</si>
  <si>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</si>
  <si>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</si>
  <si>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</si>
  <si>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</si>
  <si>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</si>
  <si>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</si>
  <si>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</si>
  <si>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</si>
  <si>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</si>
  <si>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</si>
  <si>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</si>
  <si>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</si>
  <si>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</si>
  <si>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</si>
  <si>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</si>
  <si>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</si>
  <si>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</si>
  <si>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</si>
  <si>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</si>
  <si>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</si>
  <si>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</si>
  <si>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</si>
  <si>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</si>
  <si>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</si>
  <si>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</si>
  <si>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</si>
  <si>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</si>
  <si>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</si>
  <si>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</si>
  <si>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</si>
  <si>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</si>
  <si>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</si>
  <si>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</si>
  <si>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</si>
  <si>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</si>
  <si>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</si>
  <si>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</si>
  <si>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</si>
  <si>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</si>
  <si>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</si>
  <si>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</si>
  <si>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</si>
  <si>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</si>
  <si>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</si>
  <si>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</si>
  <si>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</si>
  <si>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</si>
  <si>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</si>
  <si>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</si>
  <si>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</si>
  <si>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</si>
  <si>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</si>
  <si>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</si>
  <si>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</si>
  <si>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</si>
  <si>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</si>
  <si>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</si>
  <si>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</si>
  <si>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</si>
  <si>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</si>
  <si>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</si>
  <si>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</si>
  <si>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</si>
  <si>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</si>
  <si>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</si>
  <si>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</si>
  <si>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</si>
  <si>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</si>
  <si>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</si>
  <si>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</si>
  <si>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</si>
  <si>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</si>
  <si>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</si>
  <si>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</si>
  <si>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</si>
  <si>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</si>
  <si>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</si>
  <si>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</si>
  <si>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</si>
  <si>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</si>
  <si>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</si>
  <si>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</si>
  <si>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</si>
  <si>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</si>
  <si>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</si>
  <si>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</si>
  <si>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</si>
  <si>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</si>
  <si>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</si>
  <si>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</si>
  <si>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</si>
  <si>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</si>
  <si>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</si>
  <si>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</si>
  <si>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</si>
  <si>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</si>
  <si>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</si>
  <si>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</si>
  <si>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</si>
  <si>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</si>
  <si>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</si>
  <si>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</si>
  <si>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</si>
  <si>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</si>
  <si>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</si>
  <si>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</si>
  <si>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</si>
  <si>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</si>
  <si>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</si>
  <si>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</si>
  <si>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</si>
  <si>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</si>
  <si>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</si>
  <si>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</si>
  <si>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</si>
  <si>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</si>
  <si>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</si>
  <si>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</si>
  <si>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</si>
  <si>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</si>
  <si>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</si>
  <si>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</si>
  <si>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</si>
  <si>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</si>
  <si>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</si>
  <si>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</si>
  <si>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</si>
  <si>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</si>
  <si>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</si>
  <si>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</si>
  <si>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</si>
  <si>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</si>
  <si>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</si>
  <si>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</si>
  <si>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</si>
  <si>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</si>
  <si>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</si>
  <si>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</si>
  <si>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</si>
  <si>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</si>
  <si>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</si>
  <si>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</si>
  <si>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</si>
  <si>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</si>
  <si>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</si>
  <si>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</si>
  <si>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</si>
  <si>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</si>
  <si>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</si>
  <si>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</si>
  <si>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</si>
  <si>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</si>
  <si>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</si>
  <si>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</si>
  <si>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</si>
  <si>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</si>
  <si>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</si>
  <si>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</si>
  <si>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</si>
  <si>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</si>
  <si>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</si>
  <si>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</si>
  <si>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</si>
  <si>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</si>
  <si>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</si>
  <si>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</si>
  <si>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</si>
  <si>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</si>
  <si>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</si>
  <si>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</si>
  <si>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</si>
  <si>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</si>
  <si>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</si>
  <si>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</si>
  <si>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</si>
  <si>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</si>
  <si>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</si>
  <si>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</si>
  <si>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</si>
  <si>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</si>
  <si>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</si>
  <si>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</si>
  <si>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</si>
  <si>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</si>
  <si>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</si>
  <si>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</si>
  <si>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</si>
  <si>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</si>
  <si>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</si>
  <si>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</si>
  <si>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</si>
  <si>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</si>
  <si>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</si>
  <si>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</si>
  <si>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</si>
  <si>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</si>
  <si>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</si>
  <si>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</si>
  <si>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</si>
  <si>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</si>
  <si>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</si>
  <si>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</si>
  <si>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</si>
  <si>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</si>
  <si>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</si>
  <si>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</si>
  <si>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</si>
  <si>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</si>
  <si>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</si>
  <si>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</si>
  <si>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</si>
  <si>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</si>
  <si>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</si>
  <si>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</si>
  <si>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</si>
  <si>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</si>
  <si>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</si>
  <si>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</si>
  <si>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</si>
  <si>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</si>
  <si>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</si>
  <si>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</si>
  <si>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</si>
  <si>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</si>
  <si>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</si>
  <si>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</si>
  <si>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</si>
  <si>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</si>
  <si>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</si>
  <si>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</si>
  <si>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</si>
  <si>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</si>
  <si>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</si>
  <si>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</si>
  <si>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</si>
  <si>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</si>
  <si>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</si>
  <si>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</si>
  <si>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</si>
  <si>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</si>
  <si>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</si>
  <si>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</si>
  <si>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</si>
  <si>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</si>
  <si>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</si>
  <si>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</si>
  <si>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</si>
  <si>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</si>
  <si>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</si>
  <si>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</si>
  <si>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</si>
  <si>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</si>
  <si>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</si>
  <si>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</si>
  <si>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</si>
  <si>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</si>
  <si>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</si>
  <si>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</si>
  <si>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</si>
  <si>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</si>
  <si>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</si>
  <si>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</si>
  <si>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</si>
  <si>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</si>
  <si>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</si>
  <si>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</si>
  <si>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</si>
  <si>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</si>
  <si>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</si>
  <si>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</si>
  <si>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</si>
  <si>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</si>
  <si>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</si>
  <si>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</si>
  <si>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</si>
  <si>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</si>
  <si>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</si>
  <si>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</si>
  <si>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</si>
  <si>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</si>
  <si>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</si>
  <si>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</si>
  <si>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</si>
  <si>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</si>
  <si>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</si>
  <si>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</si>
  <si>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</si>
  <si>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</si>
  <si>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</si>
  <si>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</si>
  <si>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</si>
  <si>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</si>
  <si>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</si>
  <si>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</si>
  <si>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</si>
  <si>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</si>
  <si>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</si>
  <si>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</si>
  <si>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</si>
  <si>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</si>
  <si>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</si>
  <si>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</si>
  <si>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</si>
  <si>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</si>
  <si>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</si>
  <si>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</si>
  <si>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</si>
  <si>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</si>
  <si>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</si>
  <si>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</si>
  <si>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</si>
  <si>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</si>
  <si>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</si>
  <si>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</si>
  <si>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</si>
  <si>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</si>
  <si>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</si>
  <si>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</si>
  <si>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</si>
  <si>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</si>
  <si>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</si>
  <si>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</si>
  <si>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</si>
  <si>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</si>
  <si>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</si>
  <si>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</si>
  <si>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</si>
  <si>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</si>
  <si>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</si>
  <si>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</si>
  <si>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</si>
  <si>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</si>
  <si>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</si>
  <si>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</si>
  <si>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</si>
  <si>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</si>
  <si>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</si>
  <si>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</si>
  <si>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</si>
  <si>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</si>
  <si>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</si>
  <si>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</si>
  <si>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</si>
  <si>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</si>
  <si>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</si>
  <si>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</si>
  <si>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</si>
  <si>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</si>
  <si>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</si>
  <si>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</si>
  <si>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</si>
  <si>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</si>
  <si>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</si>
  <si>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</si>
  <si>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</si>
  <si>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</si>
  <si>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</si>
  <si>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</si>
  <si>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</si>
  <si>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</si>
  <si>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</si>
  <si>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</si>
  <si>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</si>
  <si>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</si>
  <si>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</si>
  <si>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</si>
  <si>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</si>
  <si>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</si>
  <si>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</si>
  <si>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</si>
  <si>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</si>
  <si>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</si>
  <si>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</si>
  <si>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</si>
  <si>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</si>
  <si>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</si>
  <si>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</si>
  <si>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</si>
  <si>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</si>
  <si>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</si>
  <si>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</si>
  <si>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</si>
  <si>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</si>
  <si>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</si>
  <si>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</si>
  <si>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</si>
  <si>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</si>
  <si>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</si>
  <si>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</si>
  <si>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</si>
  <si>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</si>
  <si>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</si>
  <si>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</si>
  <si>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</si>
  <si>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</si>
  <si>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</si>
  <si>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</si>
  <si>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</si>
  <si>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</si>
  <si>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</si>
  <si>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</si>
  <si>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</si>
  <si>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</si>
  <si>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</si>
  <si>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</si>
  <si>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</si>
  <si>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</si>
  <si>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</si>
  <si>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</si>
  <si>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</si>
  <si>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</si>
  <si>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</si>
  <si>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</si>
  <si>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</si>
  <si>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</si>
  <si>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</si>
  <si>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</si>
  <si>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</si>
  <si>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</si>
  <si>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</si>
  <si>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</si>
  <si>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</si>
  <si>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</si>
  <si>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</si>
  <si>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</si>
  <si>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</si>
  <si>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</si>
  <si>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</si>
  <si>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</si>
  <si>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</si>
  <si>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</si>
  <si>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</si>
  <si>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</si>
  <si>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</si>
  <si>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</si>
  <si>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</si>
  <si>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</si>
  <si>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</si>
  <si>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</si>
  <si>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</si>
  <si>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</si>
  <si>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</si>
  <si>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</si>
  <si>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</si>
  <si>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</si>
  <si>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</si>
  <si>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</si>
  <si>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</si>
  <si>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</si>
  <si>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</si>
  <si>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</si>
  <si>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</si>
  <si>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</si>
  <si>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</si>
  <si>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</si>
  <si>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</si>
  <si>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</si>
  <si>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</si>
  <si>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</si>
  <si>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</si>
  <si>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</si>
  <si>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</si>
  <si>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</si>
  <si>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</si>
  <si>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</si>
  <si>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</si>
  <si>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</si>
  <si>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</si>
  <si>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</si>
  <si>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</si>
  <si>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</si>
  <si>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</si>
  <si>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</si>
  <si>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</si>
  <si>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</si>
  <si>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</si>
  <si>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</si>
  <si>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</si>
  <si>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</si>
  <si>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</si>
  <si>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</si>
  <si>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</si>
  <si>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</si>
  <si>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</si>
  <si>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</si>
  <si>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</si>
  <si>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</si>
  <si>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</si>
  <si>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</si>
  <si>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</si>
  <si>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</si>
  <si>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</si>
  <si>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</si>
  <si>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</si>
  <si>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</si>
  <si>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</si>
  <si>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</si>
  <si>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</si>
  <si>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</si>
  <si>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</si>
  <si>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</si>
  <si>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</si>
  <si>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</si>
  <si>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</si>
  <si>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</si>
  <si>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</si>
  <si>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</si>
  <si>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</si>
  <si>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</si>
  <si>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</si>
  <si>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</si>
  <si>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</si>
  <si>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</si>
  <si>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</si>
  <si>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</si>
  <si>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</si>
  <si>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</si>
  <si>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</si>
  <si>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</si>
  <si>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</si>
  <si>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</si>
  <si>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</si>
  <si>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1</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</si>
  <si>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</si>
  <si>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</si>
  <si>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</si>
  <si>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</si>
  <si>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</si>
  <si>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</si>
  <si>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</si>
  <si>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</si>
  <si>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</si>
  <si>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</si>
  <si>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</si>
  <si>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</si>
  <si>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</si>
  <si>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</si>
  <si>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</si>
  <si>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</si>
  <si>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</si>
  <si>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</si>
  <si>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</si>
  <si>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</si>
  <si>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</si>
  <si>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</si>
  <si>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</si>
  <si>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</si>
  <si>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</si>
  <si>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</si>
  <si>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</si>
  <si>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</si>
  <si>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</si>
  <si>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</si>
  <si>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</si>
  <si>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</si>
  <si>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</si>
  <si>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</si>
  <si>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</si>
  <si>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</si>
  <si>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</si>
  <si>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</si>
  <si>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</si>
  <si>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</si>
  <si>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</si>
  <si>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</si>
  <si>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</si>
  <si>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</si>
  <si>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</si>
  <si>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</si>
  <si>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</si>
  <si>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</si>
  <si>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</si>
  <si>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</si>
  <si>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</si>
  <si>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</si>
  <si>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</si>
  <si>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</si>
  <si>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</si>
  <si>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</si>
  <si>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</si>
  <si>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</si>
  <si>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</si>
  <si>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</si>
  <si>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</si>
  <si>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</si>
  <si>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</si>
  <si>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</si>
  <si>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</si>
  <si>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</si>
  <si>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</si>
  <si>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</si>
  <si>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</si>
  <si>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</si>
  <si>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</si>
  <si>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</si>
  <si>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</si>
  <si>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</si>
  <si>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</si>
  <si>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</si>
  <si>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</si>
  <si>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</si>
  <si>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</si>
  <si>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</si>
  <si>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</si>
  <si>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</si>
  <si>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</si>
  <si>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</si>
  <si>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</si>
  <si>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</si>
  <si>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</si>
  <si>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</si>
  <si>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</si>
  <si>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</si>
  <si>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</si>
  <si>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</si>
  <si>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</si>
  <si>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</si>
  <si>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</si>
  <si>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</si>
  <si>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</si>
  <si>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</si>
  <si>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</si>
  <si>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</si>
  <si>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</si>
  <si>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</si>
  <si>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</si>
  <si>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</si>
  <si>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</si>
  <si>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</si>
  <si>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</si>
  <si>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</si>
  <si>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</si>
  <si>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</si>
  <si>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</si>
  <si>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</si>
  <si>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</si>
  <si>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</si>
  <si>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</si>
  <si>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</si>
  <si>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</si>
  <si>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</si>
  <si>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</si>
  <si>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</si>
  <si>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</si>
  <si>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</si>
  <si>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</si>
  <si>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</si>
  <si>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</si>
  <si>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</si>
  <si>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</si>
  <si>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</si>
  <si>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</si>
  <si>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</si>
  <si>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</si>
  <si>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</si>
  <si>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</si>
  <si>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</si>
  <si>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</si>
  <si>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</si>
  <si>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</si>
  <si>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</si>
  <si>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</si>
  <si>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</si>
  <si>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</si>
  <si>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</si>
  <si>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</si>
  <si>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</si>
  <si>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</si>
  <si>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</si>
  <si>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</si>
  <si>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</si>
  <si>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</si>
  <si>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</si>
  <si>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</si>
  <si>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</si>
  <si>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</si>
  <si>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</si>
  <si>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</si>
  <si>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</si>
  <si>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</si>
  <si>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</si>
  <si>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</si>
  <si>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</si>
  <si>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</si>
  <si>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</si>
  <si>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</si>
  <si>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</si>
  <si>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</si>
  <si>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</si>
  <si>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</si>
  <si>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</si>
  <si>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</si>
  <si>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</si>
  <si>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</si>
  <si>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</si>
  <si>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</si>
  <si>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</si>
  <si>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</si>
  <si>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</si>
  <si>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</si>
  <si>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</si>
  <si>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</si>
  <si>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</si>
  <si>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</si>
  <si>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</si>
  <si>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</si>
  <si>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</si>
  <si>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</si>
  <si>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</si>
  <si>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</si>
  <si>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</si>
  <si>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</si>
  <si>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</si>
  <si>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</si>
  <si>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</si>
  <si>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</si>
  <si>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</si>
  <si>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</si>
  <si>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</si>
  <si>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</si>
  <si>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</si>
  <si>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</si>
  <si>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</si>
  <si>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</si>
  <si>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</si>
  <si>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</si>
  <si>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</si>
  <si>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</si>
  <si>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</si>
  <si>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</si>
  <si>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</si>
  <si>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</si>
  <si>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</si>
  <si>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</si>
  <si>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</si>
  <si>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</si>
  <si>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</si>
  <si>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</si>
  <si>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</si>
  <si>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</si>
  <si>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</si>
  <si>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</si>
  <si>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</si>
  <si>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</si>
  <si>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Returned</t>
  </si>
  <si>
    <t>SeroConverted</t>
  </si>
  <si>
    <t>Did not present</t>
  </si>
  <si>
    <t>After 30 days</t>
  </si>
  <si>
    <t>Within 30 days</t>
  </si>
  <si>
    <t>Do not remember</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</si>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</sst>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65">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0" fontId="2" fillId="8" borderId="0" xfId="0"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1" fontId="0" fillId="3" borderId="8"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3" fillId="3" borderId="0" xfId="0" applyFont="1" applyFill="1" applyAlignment="1">
      <alignment horizontal="left"/>
    </xf>
    <xf numFmtId="0" fontId="22" fillId="3" borderId="0" xfId="0" applyFont="1" applyFill="1" applyAlignment="1">
      <alignment horizontal="center"/>
    </xf>
    <xf numFmtId="0" fontId="22" fillId="0" borderId="0" xfId="0" applyFont="1" applyAlignment="1">
      <alignment horizontal="center"/>
    </xf>
    <xf numFmtId="0" fontId="22" fillId="3" borderId="0" xfId="0" applyFont="1" applyFill="1"/>
    <xf numFmtId="0" fontId="22" fillId="0" borderId="0" xfId="0" applyFont="1"/>
    <xf numFmtId="0" fontId="10" fillId="3" borderId="0" xfId="0" applyFont="1" applyFill="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2" fillId="8" borderId="10" xfId="0" applyFont="1" applyFill="1" applyBorder="1" applyAlignment="1">
      <alignment horizontal="center" vertical="center" wrapText="1"/>
    </xf>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4" xfId="0" applyFont="1" applyFill="1" applyBorder="1" applyAlignment="1">
      <alignment horizontal="center" vertical="center"/>
    </xf>
    <xf numFmtId="0" fontId="0" fillId="3" borderId="4" xfId="0" applyFill="1" applyBorder="1"/>
    <xf numFmtId="0" fontId="0" fillId="3" borderId="0" xfId="0" applyFill="1"/>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10" fillId="7" borderId="9" xfId="0" applyFont="1" applyFill="1" applyBorder="1" applyAlignment="1">
      <alignment horizontal="center"/>
    </xf>
    <xf numFmtId="0" fontId="10" fillId="7" borderId="11" xfId="0" applyFont="1" applyFill="1" applyBorder="1" applyAlignment="1">
      <alignment horizontal="center"/>
    </xf>
    <xf numFmtId="0" fontId="0" fillId="3" borderId="6" xfId="0" applyFill="1" applyBorder="1"/>
    <xf numFmtId="0" fontId="0" fillId="3" borderId="7" xfId="0" applyFill="1" applyBorder="1"/>
    <xf numFmtId="0" fontId="0" fillId="3" borderId="0" xfId="0" applyFill="1" applyAlignment="1">
      <alignment horizontal="center"/>
    </xf>
    <xf numFmtId="0" fontId="0" fillId="8"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0" fontId="2" fillId="8" borderId="10" xfId="0" applyFont="1" applyFill="1" applyBorder="1" applyAlignment="1">
      <alignment horizontal="center" vertical="center" wrapText="1"/>
    </xf>
    <xf numFmtId="0" fontId="2" fillId="8" borderId="0" xfId="0"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3" borderId="11" xfId="0" applyNumberFormat="1" applyFont="1" applyFill="1" applyBorder="1" applyAlignment="1">
      <alignment horizontal="center" vertical="center" wrapText="1"/>
    </xf>
    <xf numFmtId="164" fontId="2" fillId="3"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40</xdr:row>
      <xdr:rowOff>0</xdr:rowOff>
    </xdr:from>
    <xdr:to>
      <xdr:col>6</xdr:col>
      <xdr:colOff>0</xdr:colOff>
      <xdr:row>40</xdr:row>
      <xdr:rowOff>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229225" y="4162425"/>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305675" y="24155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7875" y="953210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0</xdr:row>
      <xdr:rowOff>131532</xdr:rowOff>
    </xdr:from>
    <xdr:to>
      <xdr:col>19</xdr:col>
      <xdr:colOff>352678</xdr:colOff>
      <xdr:row>22</xdr:row>
      <xdr:rowOff>103392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437438" y="135342"/>
          <a:ext cx="10633270" cy="3947595"/>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46</xdr:row>
      <xdr:rowOff>110620</xdr:rowOff>
    </xdr:from>
    <xdr:to>
      <xdr:col>12</xdr:col>
      <xdr:colOff>462805</xdr:colOff>
      <xdr:row>50</xdr:row>
      <xdr:rowOff>134870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388648" y="8435470"/>
          <a:ext cx="2524987" cy="74434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9582" y="7155194"/>
          <a:ext cx="8" cy="128027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388730" y="9954357"/>
          <a:ext cx="2524824" cy="717282"/>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9582" y="8681375"/>
          <a:ext cx="15079" cy="127298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7015" y="9318731"/>
          <a:ext cx="2035421" cy="42294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627552" y="7430729"/>
          <a:ext cx="3986805" cy="1135152"/>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74</xdr:row>
      <xdr:rowOff>68579</xdr:rowOff>
    </xdr:from>
    <xdr:to>
      <xdr:col>14</xdr:col>
      <xdr:colOff>495300</xdr:colOff>
      <xdr:row>76</xdr:row>
      <xdr:rowOff>5632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360169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392417</xdr:colOff>
      <xdr:row>30</xdr:row>
      <xdr:rowOff>77461</xdr:rowOff>
    </xdr:from>
    <xdr:to>
      <xdr:col>12</xdr:col>
      <xdr:colOff>448511</xdr:colOff>
      <xdr:row>42</xdr:row>
      <xdr:rowOff>63783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404847" y="5506711"/>
          <a:ext cx="2490684" cy="2154212"/>
          <a:chOff x="8402942" y="5506711"/>
          <a:chExt cx="2494494" cy="2158022"/>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flipH="1">
            <a:off x="9649589" y="5506711"/>
            <a:ext cx="601" cy="13886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587809" y="6284053"/>
          <a:ext cx="4042798" cy="327106"/>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6282" y="11292840"/>
          <a:ext cx="1709493" cy="43053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182880</xdr:colOff>
      <xdr:row>75</xdr:row>
      <xdr:rowOff>37106</xdr:rowOff>
    </xdr:from>
    <xdr:to>
      <xdr:col>12</xdr:col>
      <xdr:colOff>45067</xdr:colOff>
      <xdr:row>75</xdr:row>
      <xdr:rowOff>38100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375310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8380" y="11508105"/>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246563</xdr:colOff>
      <xdr:row>19</xdr:row>
      <xdr:rowOff>93090</xdr:rowOff>
    </xdr:from>
    <xdr:to>
      <xdr:col>16</xdr:col>
      <xdr:colOff>510540</xdr:colOff>
      <xdr:row>33</xdr:row>
      <xdr:rowOff>167690</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260898" y="3535425"/>
          <a:ext cx="5140777" cy="2608250"/>
          <a:chOff x="8257088" y="3531615"/>
          <a:chExt cx="5140777" cy="2608250"/>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2000" y="3674323"/>
            <a:ext cx="1663278" cy="1385481"/>
          </a:xfrm>
          <a:prstGeom prst="bentConnector3">
            <a:avLst>
              <a:gd name="adj1" fmla="val 56299"/>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59066" y="3742817"/>
            <a:ext cx="1443200" cy="146857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endCxn id="201" idx="0"/>
        </xdr:cNvCxnSpPr>
      </xdr:nvCxnSpPr>
      <xdr:spPr>
        <a:xfrm rot="5400000">
          <a:off x="8022872" y="870306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65</xdr:row>
      <xdr:rowOff>141275</xdr:rowOff>
    </xdr:from>
    <xdr:to>
      <xdr:col>7</xdr:col>
      <xdr:colOff>229263</xdr:colOff>
      <xdr:row>68</xdr:row>
      <xdr:rowOff>36691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436107" y="11902745"/>
          <a:ext cx="2498881" cy="44024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459891" y="11540795"/>
          <a:ext cx="2529726" cy="435841"/>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194" name="Straight Arrow Connector 118">
          <a:extLst>
            <a:ext uri="{FF2B5EF4-FFF2-40B4-BE49-F238E27FC236}">
              <a16:creationId xmlns:a16="http://schemas.microsoft.com/office/drawing/2014/main" id="{3F67CD34-406F-6466-19B5-F543354F345A}"/>
            </a:ext>
          </a:extLst>
        </xdr:cNvPr>
        <xdr:cNvCxnSpPr/>
      </xdr:nvCxnSpPr>
      <xdr:spPr>
        <a:xfrm rot="16200000" flipH="1">
          <a:off x="11543427" y="875945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7755" y="14118874"/>
          <a:ext cx="6249" cy="61846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81</xdr:row>
      <xdr:rowOff>105186</xdr:rowOff>
    </xdr:from>
    <xdr:to>
      <xdr:col>6</xdr:col>
      <xdr:colOff>1192374</xdr:colOff>
      <xdr:row>87</xdr:row>
      <xdr:rowOff>51581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4928" y="13678311"/>
          <a:ext cx="13371" cy="10322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8911" y="13471842"/>
          <a:ext cx="5651" cy="123227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9777" y="13484449"/>
          <a:ext cx="3029" cy="122810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046172" y="15438266"/>
          <a:ext cx="3249884" cy="866828"/>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6275" y="9836713"/>
          <a:ext cx="85057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1376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7329" y="9978282"/>
          <a:ext cx="84482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400567" y="12829120"/>
          <a:ext cx="1275558" cy="43865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640720" y="12829120"/>
          <a:ext cx="2168791" cy="43865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32216" y="12821465"/>
          <a:ext cx="2168790" cy="446313"/>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79</xdr:row>
      <xdr:rowOff>40851</xdr:rowOff>
    </xdr:from>
    <xdr:to>
      <xdr:col>7</xdr:col>
      <xdr:colOff>241620</xdr:colOff>
      <xdr:row>81</xdr:row>
      <xdr:rowOff>107091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429250" y="14337876"/>
          <a:ext cx="2521905" cy="426285"/>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427737" y="13985446"/>
          <a:ext cx="9777082" cy="90905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68</xdr:row>
      <xdr:rowOff>36691</xdr:rowOff>
    </xdr:from>
    <xdr:to>
      <xdr:col>6</xdr:col>
      <xdr:colOff>1191420</xdr:colOff>
      <xdr:row>79</xdr:row>
      <xdr:rowOff>40851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137525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9291" y="12547688"/>
          <a:ext cx="4668" cy="70637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4562" y="12547688"/>
          <a:ext cx="8911" cy="7062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4968" y="12547688"/>
          <a:ext cx="4809" cy="71329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433363" y="15461237"/>
          <a:ext cx="3264590" cy="843857"/>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088265" y="15429917"/>
          <a:ext cx="3255858" cy="875177"/>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494694" y="15440262"/>
          <a:ext cx="3263189" cy="864832"/>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5432"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7925" y="15147974"/>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7316" y="15043784"/>
          <a:ext cx="1872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8380" y="15147974"/>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3931" y="15038070"/>
          <a:ext cx="1872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5475" y="15149880"/>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4531" y="15009494"/>
          <a:ext cx="1872000" cy="2083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85</xdr:row>
      <xdr:rowOff>78105</xdr:rowOff>
    </xdr:from>
    <xdr:to>
      <xdr:col>6</xdr:col>
      <xdr:colOff>1694796</xdr:colOff>
      <xdr:row>85</xdr:row>
      <xdr:rowOff>96569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6075" y="15099030"/>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543550" y="4705350"/>
          <a:ext cx="4040258" cy="32710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74</xdr:row>
      <xdr:rowOff>61858</xdr:rowOff>
    </xdr:from>
    <xdr:to>
      <xdr:col>20</xdr:col>
      <xdr:colOff>590550</xdr:colOff>
      <xdr:row>75</xdr:row>
      <xdr:rowOff>178987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359497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75</xdr:row>
      <xdr:rowOff>28983</xdr:rowOff>
    </xdr:from>
    <xdr:to>
      <xdr:col>18</xdr:col>
      <xdr:colOff>117457</xdr:colOff>
      <xdr:row>75</xdr:row>
      <xdr:rowOff>38100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374498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74</xdr:row>
      <xdr:rowOff>39608</xdr:rowOff>
    </xdr:from>
    <xdr:to>
      <xdr:col>26</xdr:col>
      <xdr:colOff>320040</xdr:colOff>
      <xdr:row>75</xdr:row>
      <xdr:rowOff>163748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357272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75</xdr:row>
      <xdr:rowOff>10238</xdr:rowOff>
    </xdr:from>
    <xdr:to>
      <xdr:col>23</xdr:col>
      <xdr:colOff>469882</xdr:colOff>
      <xdr:row>75</xdr:row>
      <xdr:rowOff>15240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372623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382830" y="131532"/>
          <a:ext cx="2503303" cy="53465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16803" y="1651351"/>
          <a:ext cx="2520000" cy="510887"/>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868623" y="1651351"/>
          <a:ext cx="2514685" cy="501419"/>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16803" y="3612096"/>
          <a:ext cx="5355480" cy="56964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388648" y="8435470"/>
          <a:ext cx="2524987" cy="744340"/>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388730" y="9954357"/>
          <a:ext cx="2524824" cy="717282"/>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627552" y="7430729"/>
          <a:ext cx="3986805" cy="1135152"/>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408657" y="5504601"/>
          <a:ext cx="2484969" cy="215247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587809" y="6284053"/>
          <a:ext cx="4042798" cy="327106"/>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277626" y="4155686"/>
          <a:ext cx="5124044" cy="1987675"/>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436107" y="11540795"/>
          <a:ext cx="2498881" cy="44024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459891" y="11540795"/>
          <a:ext cx="2529726" cy="435841"/>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046172" y="15438266"/>
          <a:ext cx="3249884" cy="866828"/>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400567" y="12829120"/>
          <a:ext cx="1275558" cy="43865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640720" y="12829120"/>
          <a:ext cx="2168791" cy="43865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032216" y="12821465"/>
          <a:ext cx="2168790" cy="446313"/>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429250" y="13975926"/>
          <a:ext cx="2521905" cy="426285"/>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427737" y="13985446"/>
          <a:ext cx="9777082" cy="90905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433363" y="15461237"/>
          <a:ext cx="3264590" cy="843857"/>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088265" y="15429917"/>
          <a:ext cx="3255858" cy="875177"/>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494694" y="15440262"/>
          <a:ext cx="3263189" cy="864832"/>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625465" y="4831080"/>
          <a:ext cx="4040258" cy="32520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6998970" y="2955537"/>
          <a:ext cx="2513035" cy="51305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380925" y="131532"/>
          <a:ext cx="2505208" cy="528058"/>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11088" y="1638183"/>
          <a:ext cx="2505261" cy="502634"/>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866718" y="1638183"/>
          <a:ext cx="2514685" cy="485711"/>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861003" y="2955537"/>
          <a:ext cx="2514710" cy="518772"/>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388648" y="8435470"/>
          <a:ext cx="2524987" cy="74434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388730" y="9954357"/>
          <a:ext cx="2524824" cy="717282"/>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627552" y="7430729"/>
          <a:ext cx="3986805" cy="1135152"/>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408657" y="5504601"/>
          <a:ext cx="2484969" cy="215247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587809" y="6284053"/>
          <a:ext cx="4042798" cy="32710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256053" y="3468593"/>
          <a:ext cx="5141813" cy="2678611"/>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436107" y="11540795"/>
          <a:ext cx="2498881" cy="44024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459891" y="11540795"/>
          <a:ext cx="2529726" cy="435841"/>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046172" y="15438266"/>
          <a:ext cx="3249884" cy="866828"/>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400567" y="12829120"/>
          <a:ext cx="1275558" cy="43865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640720" y="12829120"/>
          <a:ext cx="2168791" cy="43865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32216" y="12821465"/>
          <a:ext cx="2168790" cy="446313"/>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429250" y="13975926"/>
          <a:ext cx="2521905" cy="426285"/>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427737" y="13985446"/>
          <a:ext cx="9777082" cy="90905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433363" y="15461237"/>
          <a:ext cx="3264590" cy="843857"/>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088265" y="15429917"/>
          <a:ext cx="3255858" cy="87517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494694" y="15440262"/>
          <a:ext cx="3263189" cy="864832"/>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543550" y="4705350"/>
          <a:ext cx="4040258" cy="32710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4" x14ac:dyDescent="0.3"/>
  <cols>
    <col min="1" max="1" width="13.109375" customWidth="1"/>
    <col min="2" max="2" width="15.6640625" customWidth="1"/>
    <col min="3" max="3" width="7.33203125" customWidth="1"/>
    <col min="4" max="4" width="11.33203125" bestFit="1" customWidth="1"/>
  </cols>
  <sheetData>
    <row r="3" spans="1:2" x14ac:dyDescent="0.3">
      <c r="A3" s="48" t="s">
        <v>618</v>
      </c>
      <c r="B3" t="s">
        <v>732</v>
      </c>
    </row>
    <row r="4" spans="1:2" x14ac:dyDescent="0.3">
      <c r="A4" s="49" t="s">
        <v>619</v>
      </c>
      <c r="B4">
        <v>10</v>
      </c>
    </row>
    <row r="5" spans="1:2" x14ac:dyDescent="0.3">
      <c r="A5" s="49" t="s">
        <v>630</v>
      </c>
      <c r="B5">
        <v>32</v>
      </c>
    </row>
    <row r="6" spans="1:2" x14ac:dyDescent="0.3">
      <c r="A6" s="49" t="s">
        <v>631</v>
      </c>
      <c r="B6">
        <v>31</v>
      </c>
    </row>
    <row r="7" spans="1:2" x14ac:dyDescent="0.3">
      <c r="A7" s="49" t="s">
        <v>632</v>
      </c>
      <c r="B7">
        <v>16</v>
      </c>
    </row>
    <row r="8" spans="1:2" x14ac:dyDescent="0.3">
      <c r="A8" s="49" t="s">
        <v>633</v>
      </c>
      <c r="B8">
        <v>15</v>
      </c>
    </row>
    <row r="9" spans="1:2" x14ac:dyDescent="0.3">
      <c r="A9" s="49" t="s">
        <v>634</v>
      </c>
      <c r="B9">
        <v>18</v>
      </c>
    </row>
    <row r="10" spans="1:2" x14ac:dyDescent="0.3">
      <c r="A10" s="49" t="s">
        <v>635</v>
      </c>
      <c r="B10">
        <v>15</v>
      </c>
    </row>
    <row r="11" spans="1:2" x14ac:dyDescent="0.3">
      <c r="A11" s="49" t="s">
        <v>636</v>
      </c>
      <c r="B11">
        <v>26</v>
      </c>
    </row>
    <row r="12" spans="1:2" x14ac:dyDescent="0.3">
      <c r="A12" s="49" t="s">
        <v>637</v>
      </c>
      <c r="B12">
        <v>39</v>
      </c>
    </row>
    <row r="13" spans="1:2" x14ac:dyDescent="0.3">
      <c r="A13" s="49" t="s">
        <v>638</v>
      </c>
      <c r="B13">
        <v>30</v>
      </c>
    </row>
    <row r="14" spans="1:2" x14ac:dyDescent="0.3">
      <c r="A14" s="49" t="s">
        <v>640</v>
      </c>
      <c r="B14">
        <v>39</v>
      </c>
    </row>
    <row r="15" spans="1:2" x14ac:dyDescent="0.3">
      <c r="A15" s="49" t="s">
        <v>641</v>
      </c>
      <c r="B15">
        <v>24</v>
      </c>
    </row>
    <row r="16" spans="1:2" x14ac:dyDescent="0.3">
      <c r="A16" s="49" t="s">
        <v>642</v>
      </c>
      <c r="B16">
        <v>24</v>
      </c>
    </row>
    <row r="17" spans="1:2" x14ac:dyDescent="0.3">
      <c r="A17" s="49" t="s">
        <v>643</v>
      </c>
      <c r="B17">
        <v>45</v>
      </c>
    </row>
    <row r="18" spans="1:2" x14ac:dyDescent="0.3">
      <c r="A18" s="49" t="s">
        <v>644</v>
      </c>
      <c r="B18">
        <v>47</v>
      </c>
    </row>
    <row r="19" spans="1:2" x14ac:dyDescent="0.3">
      <c r="A19" s="49" t="s">
        <v>645</v>
      </c>
      <c r="B19">
        <v>47</v>
      </c>
    </row>
    <row r="20" spans="1:2" x14ac:dyDescent="0.3">
      <c r="A20" s="49" t="s">
        <v>646</v>
      </c>
      <c r="B20">
        <v>39</v>
      </c>
    </row>
    <row r="21" spans="1:2" x14ac:dyDescent="0.3">
      <c r="A21" s="49" t="s">
        <v>647</v>
      </c>
      <c r="B21">
        <v>38</v>
      </c>
    </row>
    <row r="22" spans="1:2" x14ac:dyDescent="0.3">
      <c r="A22" s="49" t="s">
        <v>648</v>
      </c>
      <c r="B22">
        <v>41</v>
      </c>
    </row>
    <row r="23" spans="1:2" x14ac:dyDescent="0.3">
      <c r="A23" s="49" t="s">
        <v>717</v>
      </c>
      <c r="B23">
        <v>53</v>
      </c>
    </row>
    <row r="24" spans="1:2" x14ac:dyDescent="0.3">
      <c r="A24" s="49" t="s">
        <v>718</v>
      </c>
      <c r="B24">
        <v>29</v>
      </c>
    </row>
    <row r="25" spans="1:2" x14ac:dyDescent="0.3">
      <c r="A25" s="49" t="s">
        <v>719</v>
      </c>
      <c r="B25">
        <v>52</v>
      </c>
    </row>
    <row r="26" spans="1:2" x14ac:dyDescent="0.3">
      <c r="A26" s="49" t="s">
        <v>720</v>
      </c>
      <c r="B26">
        <v>59</v>
      </c>
    </row>
    <row r="27" spans="1:2" x14ac:dyDescent="0.3">
      <c r="A27" s="49" t="s">
        <v>721</v>
      </c>
      <c r="B27">
        <v>73</v>
      </c>
    </row>
    <row r="28" spans="1:2" x14ac:dyDescent="0.3">
      <c r="A28" s="49" t="s">
        <v>722</v>
      </c>
      <c r="B28">
        <v>61</v>
      </c>
    </row>
    <row r="29" spans="1:2" x14ac:dyDescent="0.3">
      <c r="A29" s="49" t="s">
        <v>723</v>
      </c>
      <c r="B29">
        <v>58</v>
      </c>
    </row>
    <row r="30" spans="1:2" x14ac:dyDescent="0.3">
      <c r="A30" s="49" t="s">
        <v>724</v>
      </c>
      <c r="B30">
        <v>33</v>
      </c>
    </row>
    <row r="31" spans="1:2" x14ac:dyDescent="0.3">
      <c r="A31" s="49" t="s">
        <v>725</v>
      </c>
      <c r="B31">
        <v>63</v>
      </c>
    </row>
    <row r="32" spans="1:2" x14ac:dyDescent="0.3">
      <c r="A32" s="49" t="s">
        <v>726</v>
      </c>
      <c r="B32">
        <v>62</v>
      </c>
    </row>
    <row r="33" spans="1:2" x14ac:dyDescent="0.3">
      <c r="A33" s="49" t="s">
        <v>727</v>
      </c>
      <c r="B33">
        <v>55</v>
      </c>
    </row>
    <row r="34" spans="1:2" x14ac:dyDescent="0.3">
      <c r="A34" s="49" t="s">
        <v>728</v>
      </c>
      <c r="B34">
        <v>38</v>
      </c>
    </row>
    <row r="35" spans="1:2" x14ac:dyDescent="0.3">
      <c r="A35" s="49" t="s">
        <v>729</v>
      </c>
      <c r="B35">
        <v>4</v>
      </c>
    </row>
    <row r="36" spans="1:2" x14ac:dyDescent="0.3">
      <c r="A36" s="49" t="s">
        <v>730</v>
      </c>
      <c r="B36">
        <v>65</v>
      </c>
    </row>
    <row r="37" spans="1:2" x14ac:dyDescent="0.3">
      <c r="A37" s="49" t="s">
        <v>731</v>
      </c>
      <c r="B37">
        <v>57</v>
      </c>
    </row>
    <row r="38" spans="1:2" x14ac:dyDescent="0.3">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4" x14ac:dyDescent="0.3"/>
  <cols>
    <col min="1" max="1" width="28.5546875" customWidth="1"/>
    <col min="2" max="2" width="61.44140625" customWidth="1"/>
  </cols>
  <sheetData>
    <row r="3" spans="1:4" x14ac:dyDescent="0.3">
      <c r="A3" s="48" t="s">
        <v>618</v>
      </c>
      <c r="B3" t="s">
        <v>621</v>
      </c>
    </row>
    <row r="4" spans="1:4" x14ac:dyDescent="0.3">
      <c r="A4" s="49" t="s">
        <v>365</v>
      </c>
      <c r="B4">
        <v>34</v>
      </c>
      <c r="D4">
        <f>34+10</f>
        <v>44</v>
      </c>
    </row>
    <row r="5" spans="1:4" x14ac:dyDescent="0.3">
      <c r="A5" s="49" t="s">
        <v>475</v>
      </c>
      <c r="B5">
        <v>17</v>
      </c>
      <c r="D5">
        <f>17+9</f>
        <v>26</v>
      </c>
    </row>
    <row r="6" spans="1:4" x14ac:dyDescent="0.3">
      <c r="A6" s="49" t="s">
        <v>469</v>
      </c>
      <c r="B6">
        <v>20</v>
      </c>
      <c r="D6">
        <f>20+7</f>
        <v>27</v>
      </c>
    </row>
    <row r="7" spans="1:4" x14ac:dyDescent="0.3">
      <c r="A7" s="49" t="s">
        <v>403</v>
      </c>
      <c r="B7">
        <v>112</v>
      </c>
      <c r="D7">
        <f>112+99</f>
        <v>211</v>
      </c>
    </row>
    <row r="8" spans="1:4" x14ac:dyDescent="0.3">
      <c r="A8" s="49" t="s">
        <v>619</v>
      </c>
    </row>
    <row r="9" spans="1:4" x14ac:dyDescent="0.3">
      <c r="A9" s="49" t="s">
        <v>620</v>
      </c>
      <c r="B9">
        <v>183</v>
      </c>
    </row>
    <row r="13" spans="1:4" x14ac:dyDescent="0.3">
      <c r="A13" s="48" t="s">
        <v>618</v>
      </c>
      <c r="B13" t="s">
        <v>622</v>
      </c>
    </row>
    <row r="14" spans="1:4" x14ac:dyDescent="0.3">
      <c r="A14" s="49" t="s">
        <v>388</v>
      </c>
      <c r="B14">
        <v>99</v>
      </c>
      <c r="D14" t="s">
        <v>403</v>
      </c>
    </row>
    <row r="15" spans="1:4" x14ac:dyDescent="0.3">
      <c r="A15" s="49" t="s">
        <v>447</v>
      </c>
      <c r="B15">
        <v>9</v>
      </c>
      <c r="D15" s="49" t="s">
        <v>475</v>
      </c>
    </row>
    <row r="16" spans="1:4" x14ac:dyDescent="0.3">
      <c r="A16" s="49" t="s">
        <v>512</v>
      </c>
      <c r="B16">
        <v>10</v>
      </c>
      <c r="D16" s="49" t="s">
        <v>365</v>
      </c>
    </row>
    <row r="17" spans="1:4" x14ac:dyDescent="0.3">
      <c r="A17" s="49" t="s">
        <v>427</v>
      </c>
      <c r="B17">
        <v>7</v>
      </c>
      <c r="D17" s="49" t="s">
        <v>469</v>
      </c>
    </row>
    <row r="18" spans="1:4" x14ac:dyDescent="0.3">
      <c r="A18" s="49" t="s">
        <v>619</v>
      </c>
    </row>
    <row r="19" spans="1:4" x14ac:dyDescent="0.3">
      <c r="A19" s="49" t="s">
        <v>620</v>
      </c>
      <c r="B19">
        <v>125</v>
      </c>
    </row>
    <row r="23" spans="1:4" x14ac:dyDescent="0.3">
      <c r="A23" s="48" t="s">
        <v>618</v>
      </c>
      <c r="B23" t="s">
        <v>623</v>
      </c>
    </row>
    <row r="24" spans="1:4" x14ac:dyDescent="0.3">
      <c r="A24" s="49" t="s">
        <v>402</v>
      </c>
      <c r="B24">
        <v>81</v>
      </c>
      <c r="D24">
        <f>81+90</f>
        <v>171</v>
      </c>
    </row>
    <row r="25" spans="1:4" x14ac:dyDescent="0.3">
      <c r="A25" s="49" t="s">
        <v>443</v>
      </c>
      <c r="B25">
        <v>73</v>
      </c>
      <c r="D25">
        <f>73+23</f>
        <v>96</v>
      </c>
    </row>
    <row r="26" spans="1:4" x14ac:dyDescent="0.3">
      <c r="A26" s="49" t="s">
        <v>364</v>
      </c>
      <c r="B26">
        <v>29</v>
      </c>
      <c r="D26">
        <f>29+12</f>
        <v>41</v>
      </c>
    </row>
    <row r="27" spans="1:4" x14ac:dyDescent="0.3">
      <c r="A27" s="49" t="s">
        <v>619</v>
      </c>
    </row>
    <row r="28" spans="1:4" x14ac:dyDescent="0.3">
      <c r="A28" s="49" t="s">
        <v>620</v>
      </c>
      <c r="B28">
        <v>183</v>
      </c>
    </row>
    <row r="32" spans="1:4" x14ac:dyDescent="0.3">
      <c r="A32" s="48" t="s">
        <v>618</v>
      </c>
      <c r="B32" t="s">
        <v>624</v>
      </c>
    </row>
    <row r="33" spans="1:4" x14ac:dyDescent="0.3">
      <c r="A33" s="49" t="s">
        <v>434</v>
      </c>
      <c r="B33">
        <v>23</v>
      </c>
      <c r="D33" t="s">
        <v>625</v>
      </c>
    </row>
    <row r="34" spans="1:4" x14ac:dyDescent="0.3">
      <c r="A34" s="49" t="s">
        <v>387</v>
      </c>
      <c r="B34">
        <v>12</v>
      </c>
      <c r="D34" t="s">
        <v>626</v>
      </c>
    </row>
    <row r="35" spans="1:4" x14ac:dyDescent="0.3">
      <c r="A35" s="49" t="s">
        <v>414</v>
      </c>
      <c r="B35">
        <v>90</v>
      </c>
      <c r="D35" s="49" t="s">
        <v>402</v>
      </c>
    </row>
    <row r="36" spans="1:4" x14ac:dyDescent="0.3">
      <c r="A36" s="49" t="s">
        <v>619</v>
      </c>
    </row>
    <row r="37" spans="1:4" x14ac:dyDescent="0.3">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4" x14ac:dyDescent="0.3"/>
  <cols>
    <col min="1" max="1" width="13.5546875" bestFit="1" customWidth="1"/>
    <col min="2" max="2" width="9.6640625" customWidth="1"/>
  </cols>
  <sheetData>
    <row r="2" spans="1:2" x14ac:dyDescent="0.3">
      <c r="A2" s="216" t="s">
        <v>716</v>
      </c>
      <c r="B2" s="216"/>
    </row>
    <row r="3" spans="1:2" ht="15.75" customHeight="1" x14ac:dyDescent="0.3">
      <c r="A3" s="48" t="s">
        <v>618</v>
      </c>
      <c r="B3" s="52" t="s">
        <v>715</v>
      </c>
    </row>
    <row r="4" spans="1:2" x14ac:dyDescent="0.3">
      <c r="A4" s="49" t="s">
        <v>628</v>
      </c>
    </row>
    <row r="5" spans="1:2" x14ac:dyDescent="0.3">
      <c r="A5" s="49" t="s">
        <v>629</v>
      </c>
    </row>
    <row r="6" spans="1:2" x14ac:dyDescent="0.3">
      <c r="A6" s="51" t="s">
        <v>630</v>
      </c>
      <c r="B6">
        <v>31</v>
      </c>
    </row>
    <row r="7" spans="1:2" x14ac:dyDescent="0.3">
      <c r="A7" s="51" t="s">
        <v>631</v>
      </c>
      <c r="B7">
        <v>30</v>
      </c>
    </row>
    <row r="8" spans="1:2" x14ac:dyDescent="0.3">
      <c r="A8" s="51" t="s">
        <v>632</v>
      </c>
      <c r="B8">
        <v>14</v>
      </c>
    </row>
    <row r="9" spans="1:2" x14ac:dyDescent="0.3">
      <c r="A9" s="51" t="s">
        <v>633</v>
      </c>
      <c r="B9">
        <v>17</v>
      </c>
    </row>
    <row r="10" spans="1:2" x14ac:dyDescent="0.3">
      <c r="A10" s="51" t="s">
        <v>634</v>
      </c>
      <c r="B10">
        <v>19</v>
      </c>
    </row>
    <row r="11" spans="1:2" x14ac:dyDescent="0.3">
      <c r="A11" s="51" t="s">
        <v>635</v>
      </c>
      <c r="B11">
        <v>15</v>
      </c>
    </row>
    <row r="12" spans="1:2" x14ac:dyDescent="0.3">
      <c r="A12" s="51" t="s">
        <v>636</v>
      </c>
      <c r="B12">
        <v>26</v>
      </c>
    </row>
    <row r="13" spans="1:2" x14ac:dyDescent="0.3">
      <c r="A13" s="51" t="s">
        <v>637</v>
      </c>
      <c r="B13">
        <v>37</v>
      </c>
    </row>
    <row r="14" spans="1:2" x14ac:dyDescent="0.3">
      <c r="A14" s="51" t="s">
        <v>638</v>
      </c>
      <c r="B14">
        <v>29</v>
      </c>
    </row>
    <row r="15" spans="1:2" x14ac:dyDescent="0.3">
      <c r="A15" s="49" t="s">
        <v>639</v>
      </c>
    </row>
    <row r="16" spans="1:2" x14ac:dyDescent="0.3">
      <c r="A16" s="51" t="s">
        <v>640</v>
      </c>
      <c r="B16">
        <v>39</v>
      </c>
    </row>
    <row r="17" spans="1:2" x14ac:dyDescent="0.3">
      <c r="A17" s="51" t="s">
        <v>641</v>
      </c>
      <c r="B17">
        <v>26</v>
      </c>
    </row>
    <row r="18" spans="1:2" x14ac:dyDescent="0.3">
      <c r="A18" s="51" t="s">
        <v>642</v>
      </c>
      <c r="B18">
        <v>25</v>
      </c>
    </row>
    <row r="19" spans="1:2" x14ac:dyDescent="0.3">
      <c r="A19" s="51" t="s">
        <v>643</v>
      </c>
      <c r="B19">
        <v>44</v>
      </c>
    </row>
    <row r="20" spans="1:2" x14ac:dyDescent="0.3">
      <c r="A20" s="51" t="s">
        <v>644</v>
      </c>
      <c r="B20">
        <v>47</v>
      </c>
    </row>
    <row r="21" spans="1:2" x14ac:dyDescent="0.3">
      <c r="A21" s="51" t="s">
        <v>645</v>
      </c>
      <c r="B21">
        <v>47</v>
      </c>
    </row>
    <row r="22" spans="1:2" x14ac:dyDescent="0.3">
      <c r="A22" s="51" t="s">
        <v>646</v>
      </c>
      <c r="B22">
        <v>38</v>
      </c>
    </row>
    <row r="23" spans="1:2" x14ac:dyDescent="0.3">
      <c r="A23" s="51" t="s">
        <v>647</v>
      </c>
      <c r="B23">
        <v>38</v>
      </c>
    </row>
    <row r="24" spans="1:2" x14ac:dyDescent="0.3">
      <c r="A24" s="51" t="s">
        <v>648</v>
      </c>
      <c r="B24">
        <v>40</v>
      </c>
    </row>
    <row r="25" spans="1:2" x14ac:dyDescent="0.3">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4" x14ac:dyDescent="0.3"/>
  <cols>
    <col min="1" max="1" width="9.44140625" bestFit="1" customWidth="1"/>
    <col min="2" max="2" width="17.88671875" bestFit="1" customWidth="1"/>
    <col min="3" max="3" width="15.33203125" bestFit="1" customWidth="1"/>
    <col min="4" max="4" width="34.44140625" bestFit="1" customWidth="1"/>
    <col min="5" max="5" width="12.109375" bestFit="1" customWidth="1"/>
    <col min="6" max="6" width="25.33203125" bestFit="1" customWidth="1"/>
    <col min="7" max="9" width="81.109375" bestFit="1" customWidth="1"/>
    <col min="10" max="10" width="62.44140625" bestFit="1" customWidth="1"/>
    <col min="11" max="11" width="81.109375" bestFit="1" customWidth="1"/>
    <col min="12" max="12" width="17.44140625" bestFit="1" customWidth="1"/>
    <col min="13" max="13" width="12.44140625" bestFit="1" customWidth="1"/>
    <col min="14" max="14" width="17.33203125" bestFit="1" customWidth="1"/>
    <col min="15" max="15" width="6.88671875" bestFit="1" customWidth="1"/>
    <col min="16" max="16" width="29" bestFit="1" customWidth="1"/>
    <col min="17" max="17" width="21.6640625" bestFit="1" customWidth="1"/>
    <col min="18" max="18" width="8" bestFit="1" customWidth="1"/>
    <col min="19" max="19" width="29.6640625" bestFit="1" customWidth="1"/>
    <col min="20" max="20" width="17.5546875" bestFit="1" customWidth="1"/>
    <col min="21" max="21" width="6.44140625" bestFit="1" customWidth="1"/>
    <col min="22" max="22" width="30.5546875" bestFit="1" customWidth="1"/>
    <col min="23" max="23" width="34.6640625" bestFit="1" customWidth="1"/>
    <col min="24" max="24" width="20.33203125" bestFit="1" customWidth="1"/>
    <col min="25" max="25" width="16.88671875" bestFit="1" customWidth="1"/>
    <col min="26" max="26" width="60" bestFit="1" customWidth="1"/>
    <col min="27" max="27" width="53.109375" bestFit="1" customWidth="1"/>
    <col min="28" max="28" width="31.33203125" bestFit="1" customWidth="1"/>
    <col min="29" max="29" width="29.109375" bestFit="1" customWidth="1"/>
    <col min="30" max="30" width="45.33203125" bestFit="1" customWidth="1"/>
    <col min="31" max="31" width="49.33203125" bestFit="1" customWidth="1"/>
    <col min="32" max="32" width="31.6640625" bestFit="1" customWidth="1"/>
    <col min="33" max="33" width="47.109375" bestFit="1" customWidth="1"/>
    <col min="34" max="34" width="81.109375" bestFit="1" customWidth="1"/>
    <col min="35" max="35" width="33.44140625" bestFit="1" customWidth="1"/>
    <col min="36" max="36" width="53" bestFit="1" customWidth="1"/>
    <col min="37" max="37" width="65.44140625" bestFit="1" customWidth="1"/>
    <col min="38" max="38" width="81.109375" bestFit="1" customWidth="1"/>
    <col min="39" max="39" width="23" bestFit="1" customWidth="1"/>
    <col min="40" max="41" width="81.109375" bestFit="1" customWidth="1"/>
    <col min="42" max="42" width="44.88671875" bestFit="1" customWidth="1"/>
    <col min="43" max="43" width="70.109375" bestFit="1" customWidth="1"/>
    <col min="44" max="44" width="40.44140625" bestFit="1" customWidth="1"/>
    <col min="45" max="45" width="66.6640625" bestFit="1" customWidth="1"/>
    <col min="46" max="65" width="81.109375" bestFit="1" customWidth="1"/>
    <col min="66" max="66" width="32.33203125" bestFit="1" customWidth="1"/>
    <col min="67" max="67" width="44.44140625" bestFit="1" customWidth="1"/>
    <col min="68" max="81" width="81.109375" bestFit="1" customWidth="1"/>
    <col min="82" max="82" width="21" bestFit="1" customWidth="1"/>
    <col min="83" max="83" width="51" bestFit="1" customWidth="1"/>
    <col min="84" max="105" width="81.109375" bestFit="1" customWidth="1"/>
    <col min="106" max="106" width="13.44140625" bestFit="1" customWidth="1"/>
    <col min="107" max="107" width="19.6640625" bestFit="1" customWidth="1"/>
    <col min="108" max="108" width="16.109375" bestFit="1" customWidth="1"/>
    <col min="109" max="109" width="37" bestFit="1" customWidth="1"/>
    <col min="110" max="110" width="56.88671875" bestFit="1" customWidth="1"/>
    <col min="111" max="122" width="81.109375" bestFit="1" customWidth="1"/>
    <col min="123" max="123" width="14.33203125" bestFit="1" customWidth="1"/>
    <col min="124" max="124" width="81.109375" bestFit="1" customWidth="1"/>
    <col min="125" max="125" width="80.6640625" bestFit="1" customWidth="1"/>
    <col min="126" max="126" width="76.109375" bestFit="1" customWidth="1"/>
    <col min="127" max="132" width="81.109375" bestFit="1" customWidth="1"/>
    <col min="133" max="133" width="76" bestFit="1" customWidth="1"/>
    <col min="134" max="134" width="77" bestFit="1" customWidth="1"/>
    <col min="135" max="135" width="10.88671875" bestFit="1" customWidth="1"/>
    <col min="136" max="136" width="56.109375" bestFit="1" customWidth="1"/>
    <col min="137" max="137" width="60.33203125" bestFit="1" customWidth="1"/>
    <col min="138" max="138" width="74.109375" bestFit="1" customWidth="1"/>
    <col min="139" max="139" width="75" bestFit="1" customWidth="1"/>
    <col min="140" max="140" width="68.44140625" bestFit="1" customWidth="1"/>
    <col min="141" max="141" width="67.109375" bestFit="1" customWidth="1"/>
    <col min="142" max="142" width="81.109375" bestFit="1" customWidth="1"/>
    <col min="143" max="143" width="53.109375" bestFit="1" customWidth="1"/>
    <col min="144" max="144" width="53.88671875" bestFit="1" customWidth="1"/>
    <col min="145" max="145" width="53.5546875" bestFit="1" customWidth="1"/>
    <col min="146" max="146" width="53.88671875" bestFit="1" customWidth="1"/>
    <col min="147" max="147" width="53.5546875" bestFit="1" customWidth="1"/>
    <col min="148" max="148" width="53.88671875" bestFit="1" customWidth="1"/>
    <col min="149" max="149" width="53.109375" bestFit="1" customWidth="1"/>
    <col min="150" max="150" width="53.88671875" bestFit="1" customWidth="1"/>
    <col min="151" max="151" width="53.5546875" bestFit="1" customWidth="1"/>
    <col min="152" max="152" width="53.88671875" bestFit="1" customWidth="1"/>
    <col min="153" max="153" width="53.5546875" bestFit="1" customWidth="1"/>
    <col min="154" max="154" width="53.88671875" bestFit="1" customWidth="1"/>
    <col min="155" max="155" width="53.5546875" bestFit="1" customWidth="1"/>
    <col min="156" max="156" width="53.88671875" bestFit="1" customWidth="1"/>
    <col min="157" max="157" width="53.5546875" bestFit="1" customWidth="1"/>
    <col min="158" max="158" width="53.88671875" bestFit="1" customWidth="1"/>
    <col min="159" max="159" width="53.5546875" bestFit="1" customWidth="1"/>
    <col min="160" max="160" width="53.88671875" bestFit="1" customWidth="1"/>
    <col min="161" max="161" width="54.6640625" bestFit="1" customWidth="1"/>
    <col min="162" max="162" width="55" bestFit="1" customWidth="1"/>
    <col min="163" max="163" width="54.6640625" bestFit="1" customWidth="1"/>
    <col min="164" max="164" width="55" bestFit="1" customWidth="1"/>
    <col min="165" max="165" width="54.6640625" bestFit="1" customWidth="1"/>
    <col min="166" max="166" width="55" bestFit="1" customWidth="1"/>
    <col min="167" max="167" width="54.6640625" bestFit="1" customWidth="1"/>
    <col min="168" max="168" width="55" bestFit="1" customWidth="1"/>
    <col min="169" max="169" width="54.6640625" bestFit="1" customWidth="1"/>
    <col min="170" max="170" width="55" bestFit="1" customWidth="1"/>
    <col min="171" max="171" width="54.6640625" bestFit="1" customWidth="1"/>
    <col min="172" max="172" width="55" bestFit="1" customWidth="1"/>
    <col min="173" max="173" width="81.109375" bestFit="1" customWidth="1"/>
    <col min="174" max="174" width="55.44140625" bestFit="1" customWidth="1"/>
    <col min="175" max="175" width="48.44140625" bestFit="1" customWidth="1"/>
    <col min="176" max="176" width="46.33203125" bestFit="1" customWidth="1"/>
    <col min="177" max="177" width="36" bestFit="1" customWidth="1"/>
    <col min="178" max="181" width="81.109375" bestFit="1" customWidth="1"/>
    <col min="182" max="182" width="48.5546875" bestFit="1" customWidth="1"/>
    <col min="183" max="183" width="64.6640625" bestFit="1" customWidth="1"/>
    <col min="184" max="185" width="41.88671875" bestFit="1" customWidth="1"/>
    <col min="186" max="186" width="74" bestFit="1" customWidth="1"/>
    <col min="187" max="187" width="70.6640625" bestFit="1" customWidth="1"/>
    <col min="188" max="189" width="81.109375" bestFit="1" customWidth="1"/>
    <col min="190" max="190" width="36.88671875" bestFit="1" customWidth="1"/>
    <col min="191" max="191" width="42.88671875" bestFit="1" customWidth="1"/>
    <col min="192" max="192" width="69.109375" bestFit="1" customWidth="1"/>
    <col min="193" max="193" width="68.6640625" bestFit="1" customWidth="1"/>
    <col min="194" max="194" width="75.44140625" bestFit="1" customWidth="1"/>
    <col min="195" max="195" width="71.44140625" bestFit="1" customWidth="1"/>
    <col min="196" max="196" width="33.44140625" bestFit="1" customWidth="1"/>
    <col min="197" max="197" width="35.109375" bestFit="1" customWidth="1"/>
    <col min="198" max="198" width="76.44140625" bestFit="1" customWidth="1"/>
    <col min="199" max="199" width="81.109375" bestFit="1" customWidth="1"/>
    <col min="200" max="200" width="65.33203125" bestFit="1" customWidth="1"/>
    <col min="201" max="201" width="81" bestFit="1" customWidth="1"/>
    <col min="202" max="202" width="65.5546875" bestFit="1" customWidth="1"/>
    <col min="203" max="203" width="71.5546875" bestFit="1" customWidth="1"/>
    <col min="204" max="204" width="46.33203125" bestFit="1" customWidth="1"/>
    <col min="205" max="205" width="70.88671875" bestFit="1" customWidth="1"/>
    <col min="206" max="206" width="70.5546875" bestFit="1" customWidth="1"/>
    <col min="207" max="207" width="77.44140625" bestFit="1" customWidth="1"/>
    <col min="208" max="208" width="42.33203125" bestFit="1" customWidth="1"/>
    <col min="209" max="209" width="35.109375" bestFit="1" customWidth="1"/>
    <col min="210" max="210" width="52" bestFit="1" customWidth="1"/>
    <col min="211" max="211" width="59.109375" bestFit="1" customWidth="1"/>
    <col min="212" max="212" width="63.5546875" bestFit="1" customWidth="1"/>
    <col min="213" max="213" width="70.6640625" bestFit="1" customWidth="1"/>
    <col min="214" max="214" width="8.33203125" bestFit="1" customWidth="1"/>
    <col min="215" max="215" width="12.5546875" bestFit="1" customWidth="1"/>
    <col min="216" max="216" width="21" bestFit="1" customWidth="1"/>
    <col min="217" max="217" width="28.88671875" bestFit="1" customWidth="1"/>
    <col min="218" max="218" width="14.109375" bestFit="1" customWidth="1"/>
    <col min="219" max="219" width="33" bestFit="1" customWidth="1"/>
    <col min="220" max="220" width="18.5546875" bestFit="1" customWidth="1"/>
    <col min="221" max="221" width="22.6640625" bestFit="1" customWidth="1"/>
    <col min="222" max="222" width="19.33203125" bestFit="1" customWidth="1"/>
    <col min="223" max="223" width="16.109375" bestFit="1" customWidth="1"/>
    <col min="224" max="224" width="15" bestFit="1" customWidth="1"/>
    <col min="225" max="225" width="25" bestFit="1" customWidth="1"/>
    <col min="226" max="226" width="13.88671875" bestFit="1" customWidth="1"/>
    <col min="227" max="227" width="14.44140625" bestFit="1" customWidth="1"/>
    <col min="229" max="229" width="18" bestFit="1" customWidth="1"/>
    <col min="230" max="230" width="30.88671875" bestFit="1" customWidth="1"/>
    <col min="231" max="231" width="29.88671875" bestFit="1" customWidth="1"/>
    <col min="232" max="232" width="9" bestFit="1" customWidth="1"/>
    <col min="233" max="233" width="13.109375" bestFit="1" customWidth="1"/>
    <col min="234" max="234" width="9.88671875" bestFit="1" customWidth="1"/>
    <col min="235" max="235" width="29.33203125" bestFit="1" customWidth="1"/>
    <col min="236" max="236" width="21.109375" bestFit="1" customWidth="1"/>
    <col min="237" max="237" width="24.88671875" bestFit="1" customWidth="1"/>
    <col min="238" max="238" width="19.6640625" bestFit="1" customWidth="1"/>
    <col min="239" max="239" width="8.44140625" bestFit="1" customWidth="1"/>
    <col min="240" max="240" width="7.88671875" bestFit="1" customWidth="1"/>
    <col min="241" max="241" width="12.6640625" bestFit="1" customWidth="1"/>
    <col min="242" max="242" width="13.109375" bestFit="1" customWidth="1"/>
    <col min="243" max="243" width="9.33203125" bestFit="1" customWidth="1"/>
    <col min="244" max="244" width="25.109375" bestFit="1" customWidth="1"/>
    <col min="245" max="245" width="12.6640625" bestFit="1" customWidth="1"/>
    <col min="246" max="246" width="45.5546875" bestFit="1" customWidth="1"/>
    <col min="247" max="247" width="48.88671875" bestFit="1" customWidth="1"/>
    <col min="248" max="248" width="30" bestFit="1" customWidth="1"/>
    <col min="249" max="249" width="43.5546875" bestFit="1" customWidth="1"/>
    <col min="250" max="250" width="45" bestFit="1" customWidth="1"/>
    <col min="251" max="251" width="39.88671875" bestFit="1" customWidth="1"/>
    <col min="252" max="252" width="29.33203125" bestFit="1" customWidth="1"/>
    <col min="253" max="253" width="36.33203125" bestFit="1" customWidth="1"/>
    <col min="254" max="254" width="66.6640625" bestFit="1" customWidth="1"/>
    <col min="255" max="255" width="73.33203125" bestFit="1" customWidth="1"/>
    <col min="256" max="256" width="75" bestFit="1" customWidth="1"/>
    <col min="257" max="257" width="81.109375" bestFit="1" customWidth="1"/>
    <col min="258" max="258" width="58.6640625" bestFit="1" customWidth="1"/>
    <col min="259" max="259" width="73.33203125" bestFit="1" customWidth="1"/>
    <col min="260" max="260" width="45.109375" bestFit="1" customWidth="1"/>
    <col min="261" max="261" width="43" bestFit="1" customWidth="1"/>
    <col min="262" max="263" width="81.109375" bestFit="1" customWidth="1"/>
    <col min="264" max="264" width="51.88671875" bestFit="1" customWidth="1"/>
    <col min="265" max="265" width="59" bestFit="1" customWidth="1"/>
    <col min="266" max="266" width="15.5546875" bestFit="1" customWidth="1"/>
    <col min="267" max="267" width="10.44140625" bestFit="1" customWidth="1"/>
    <col min="268" max="268" width="34.109375" bestFit="1" customWidth="1"/>
    <col min="269" max="270" width="18.109375" bestFit="1" customWidth="1"/>
    <col min="271" max="271" width="34.6640625" bestFit="1" customWidth="1"/>
    <col min="272" max="272" width="43.88671875" bestFit="1" customWidth="1"/>
    <col min="273" max="273" width="44.6640625" bestFit="1" customWidth="1"/>
    <col min="274" max="274" width="43.44140625" bestFit="1" customWidth="1"/>
    <col min="275" max="275" width="50.44140625" bestFit="1" customWidth="1"/>
    <col min="276" max="276" width="44.33203125" bestFit="1" customWidth="1"/>
    <col min="277" max="277" width="45.33203125" bestFit="1" customWidth="1"/>
    <col min="278" max="278" width="43.88671875" bestFit="1" customWidth="1"/>
    <col min="279" max="279" width="44.88671875" bestFit="1" customWidth="1"/>
    <col min="280" max="280" width="43" bestFit="1" customWidth="1"/>
    <col min="281" max="281" width="45.6640625" bestFit="1" customWidth="1"/>
    <col min="282" max="282" width="47" bestFit="1" customWidth="1"/>
    <col min="283" max="283" width="45.5546875" bestFit="1" customWidth="1"/>
    <col min="284" max="284" width="62.88671875" bestFit="1" customWidth="1"/>
    <col min="285" max="285" width="70.109375" bestFit="1" customWidth="1"/>
    <col min="286" max="286" width="81.109375" bestFit="1" customWidth="1"/>
    <col min="287" max="287" width="35.5546875" bestFit="1" customWidth="1"/>
    <col min="288" max="288" width="11.109375" bestFit="1" customWidth="1"/>
  </cols>
  <sheetData>
    <row r="1" spans="1:288" x14ac:dyDescent="0.3">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
      <c r="D762" s="45"/>
      <c r="E762" s="46"/>
    </row>
    <row r="763" spans="1:288" x14ac:dyDescent="0.3">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
      <c r="D785" s="45"/>
      <c r="E785" s="46"/>
    </row>
    <row r="786" spans="1:288" x14ac:dyDescent="0.3">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
      <c r="D796" s="45"/>
      <c r="E796" s="46"/>
    </row>
    <row r="797" spans="1:288" x14ac:dyDescent="0.3">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
      <c r="D806" s="45"/>
      <c r="E806" s="46"/>
    </row>
    <row r="807" spans="1:288" x14ac:dyDescent="0.3">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
      <c r="D809" s="45"/>
      <c r="E809" s="46"/>
    </row>
    <row r="810" spans="1:288" x14ac:dyDescent="0.3">
      <c r="D810" s="45"/>
      <c r="E810" s="46"/>
    </row>
    <row r="811" spans="1:288" x14ac:dyDescent="0.3">
      <c r="D811" s="45"/>
      <c r="E811" s="46"/>
    </row>
    <row r="812" spans="1:288" x14ac:dyDescent="0.3">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
      <c r="D813" s="45"/>
      <c r="E813" s="46"/>
    </row>
    <row r="814" spans="1:288" x14ac:dyDescent="0.3">
      <c r="D814" s="45"/>
      <c r="E814" s="46"/>
    </row>
    <row r="815" spans="1:288" x14ac:dyDescent="0.3">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
      <c r="D819" s="45"/>
      <c r="E819" s="46"/>
    </row>
    <row r="820" spans="1:288" x14ac:dyDescent="0.3">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
      <c r="D822" s="45"/>
      <c r="E822" s="46"/>
    </row>
    <row r="823" spans="1:288" x14ac:dyDescent="0.3">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
      <c r="D825" s="45"/>
      <c r="E825" s="46"/>
    </row>
    <row r="826" spans="1:288" x14ac:dyDescent="0.3">
      <c r="D826" s="45"/>
      <c r="E826" s="46"/>
    </row>
    <row r="827" spans="1:288" x14ac:dyDescent="0.3">
      <c r="D827" s="45"/>
      <c r="E827" s="46"/>
    </row>
    <row r="828" spans="1:288" x14ac:dyDescent="0.3">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
      <c r="D829" s="45"/>
      <c r="E829" s="46"/>
    </row>
    <row r="830" spans="1:288" x14ac:dyDescent="0.3">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
      <c r="D831" s="45"/>
      <c r="E831" s="46"/>
    </row>
    <row r="832" spans="1:288" x14ac:dyDescent="0.3">
      <c r="D832" s="45"/>
      <c r="E832" s="46"/>
    </row>
    <row r="833" spans="1:288" x14ac:dyDescent="0.3">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4" x14ac:dyDescent="0.3"/>
  <cols>
    <col min="5" max="5" width="21.5546875" customWidth="1"/>
    <col min="10" max="10" width="28" customWidth="1"/>
    <col min="11" max="11" width="23.33203125" customWidth="1"/>
    <col min="14" max="14" width="40.109375" customWidth="1"/>
  </cols>
  <sheetData>
    <row r="5" spans="10:14" x14ac:dyDescent="0.3">
      <c r="J5" s="219" t="s">
        <v>916</v>
      </c>
      <c r="K5" s="219"/>
    </row>
    <row r="6" spans="10:14" x14ac:dyDescent="0.3">
      <c r="J6" s="217" t="str">
        <f>" "&amp;'Aim 1 - Index Patients'!C4&amp;"("&amp;TEXT('Aim 1 - Index Patients'!D4,"0%")&amp;")"</f>
        <v xml:space="preserve"> 2(0%)</v>
      </c>
      <c r="K6" s="217"/>
      <c r="N6" t="str">
        <f>"Not Eligible = "&amp;'Aim 1 - Index Patients'!C6&amp;"("&amp;TEXT('Aim 1 - Index Patients'!D6,"0%")&amp;")"</f>
        <v>Not Eligible = 1(50%)</v>
      </c>
    </row>
    <row r="7" spans="10:14" x14ac:dyDescent="0.3">
      <c r="J7" s="98"/>
      <c r="K7" s="98"/>
      <c r="N7" t="str">
        <f>"   Age &lt;18 years = "&amp;'Aim 1 - Index Patients'!C7&amp;"("&amp;TEXT('Aim 1 - Index Patients'!D7,"0%")&amp;")"</f>
        <v xml:space="preserve">   Age &lt;18 years = 1(100%)</v>
      </c>
    </row>
    <row r="8" spans="10:14" x14ac:dyDescent="0.3">
      <c r="N8" t="str">
        <f>"   Lives outside study communities = "&amp;'Aim 1 - Index Patients'!C8&amp;"("&amp;TEXT('Aim 1 - Index Patients'!D8,"0%")&amp;")"</f>
        <v xml:space="preserve">   Lives outside study communities = 1(100%)</v>
      </c>
    </row>
    <row r="9" spans="10:14" x14ac:dyDescent="0.3">
      <c r="N9" t="str">
        <f>"   Not Pulmonary TB Positive = "&amp;'Aim 1 - Index Patients'!C9&amp;"("&amp;TEXT('Aim 1 - Index Patients'!D9,"0%")&amp;")"</f>
        <v xml:space="preserve">   Not Pulmonary TB Positive = 1(100%)</v>
      </c>
    </row>
    <row r="10" spans="10:14" x14ac:dyDescent="0.3">
      <c r="N10" t="str">
        <f>"   Not fluent in Xhosa or English = "&amp;'Aim 1 - Index Patients'!C10&amp;"("&amp;TEXT('Aim 1 - Index Patients'!D10,"0%")&amp;")"</f>
        <v xml:space="preserve">   Not fluent in Xhosa or English = 1(100%)</v>
      </c>
    </row>
    <row r="11" spans="10:14" x14ac:dyDescent="0.3">
      <c r="N11" t="str">
        <f>"   No household contacts = "&amp;'Aim 1 - Index Patients'!C11&amp;"("&amp;TEXT('Aim 1 - Index Patients'!D11,"0%")&amp;")"</f>
        <v xml:space="preserve">   No household contacts = 1(100%)</v>
      </c>
    </row>
    <row r="12" spans="10:14" x14ac:dyDescent="0.3">
      <c r="J12" s="219" t="s">
        <v>917</v>
      </c>
      <c r="K12" s="219"/>
      <c r="N12" t="str">
        <f>"   Enrolled on other Cohort / HHC = "&amp;'Aim 1 - Index Patients'!C12&amp;"("&amp;TEXT('Aim 1 - Index Patients'!D12,"0%")&amp;")"</f>
        <v xml:space="preserve">   Enrolled on other Cohort / HHC = 1(100%)</v>
      </c>
    </row>
    <row r="13" spans="10:14" x14ac:dyDescent="0.3">
      <c r="J13" s="217" t="str">
        <f>""&amp;'Aim 1 - Index Patients'!C5&amp;"("&amp;TEXT('Aim 1 - Index Patients'!D5,"0%")&amp;")"</f>
        <v>1(50%)</v>
      </c>
      <c r="K13" s="217"/>
    </row>
    <row r="17" spans="10:14" x14ac:dyDescent="0.3">
      <c r="J17" s="219" t="s">
        <v>918</v>
      </c>
      <c r="K17" s="219"/>
    </row>
    <row r="18" spans="10:14" x14ac:dyDescent="0.3">
      <c r="J18" s="217" t="str">
        <f>""&amp;'Aim 1 - Index Patients'!C18&amp;"("&amp;TEXT('Aim 1 - Index Patients'!D18,"0%")&amp;")"</f>
        <v>1(100%)</v>
      </c>
      <c r="K18" s="217"/>
    </row>
    <row r="22" spans="10:14" x14ac:dyDescent="0.3">
      <c r="J22" s="218" t="s">
        <v>919</v>
      </c>
      <c r="K22" s="218"/>
    </row>
    <row r="23" spans="10:14" x14ac:dyDescent="0.3">
      <c r="J23" s="98" t="s">
        <v>920</v>
      </c>
      <c r="K23" s="98" t="s">
        <v>921</v>
      </c>
    </row>
    <row r="24" spans="10:14" x14ac:dyDescent="0.3">
      <c r="J24" s="98" t="e">
        <f>" "&amp;'Aim 1 - Household Contacts'!#REF!&amp;"("&amp;TEXT('Aim 1 - Household Contacts'!#REF!,"0%")&amp;")"</f>
        <v>#REF!</v>
      </c>
      <c r="K24" s="98" t="str">
        <f>""&amp;'Aim 1 - Household Contacts'!C27&amp;"("&amp;TEXT('Aim 1 - Household Contacts'!D27,"0%")&amp;")"</f>
        <v>0(0%)</v>
      </c>
      <c r="N24" t="str">
        <f>"Not Eligible =  "&amp;'Aim 1 - Household Contacts'!C36&amp;"("&amp;TEXT('Aim 1 - Household Contacts'!D36,"0%")&amp;")"</f>
        <v>Not Eligible =  0(-)</v>
      </c>
    </row>
    <row r="25" spans="10:14" x14ac:dyDescent="0.3">
      <c r="N25" t="str">
        <f>"  On Treatment =  "&amp;'Aim 1 - Household Contacts'!C37&amp;"("&amp;TEXT('Aim 1 - Household Contacts'!D37,"0%")&amp;")"</f>
        <v xml:space="preserve">  On Treatment =  0(-)</v>
      </c>
    </row>
    <row r="26" spans="10:14" x14ac:dyDescent="0.3">
      <c r="N26" t="str">
        <f>"  Visited clinic before HHCI =  "&amp;'Aim 1 - Household Contacts'!C38&amp;"("&amp;TEXT('Aim 1 - Household Contacts'!D38,"0%")&amp;")"</f>
        <v xml:space="preserve">  Visited clinic before HHCI =  0(-)</v>
      </c>
    </row>
    <row r="27" spans="10:14" x14ac:dyDescent="0.3">
      <c r="N27" t="str">
        <f>"  TB asymptomatic =  "&amp;'Aim 1 - Household Contacts'!C39&amp;"("&amp;TEXT('Aim 1 - Household Contacts'!D39,"0%")&amp;")"</f>
        <v xml:space="preserve">  TB asymptomatic =  0(-)</v>
      </c>
    </row>
    <row r="28" spans="10:14" x14ac:dyDescent="0.3">
      <c r="N28" t="str">
        <f>"  Not Interested  =  "&amp;'Aim 1 - Household Contacts'!C40&amp;"("&amp;TEXT('Aim 1 - Household Contacts'!D40,"0%")&amp;")"</f>
        <v xml:space="preserve">  Not Interested  =  0(-)</v>
      </c>
    </row>
    <row r="29" spans="10:14" x14ac:dyDescent="0.3">
      <c r="N29" t="str">
        <f>"  Not fluent in Xhosa or English  =  "&amp;'Aim 1 - Household Contacts'!C41&amp;"("&amp;TEXT('Aim 1 - Household Contacts'!D41,"0%")&amp;")"</f>
        <v xml:space="preserve">  Not fluent in Xhosa or English  =  0(-)</v>
      </c>
    </row>
    <row r="30" spans="10:14" x14ac:dyDescent="0.3">
      <c r="N30" t="str">
        <f>"  &lt;18 Years Old  =  "&amp;'Aim 1 - Household Contacts'!C42&amp;"("&amp;TEXT('Aim 1 - Household Contacts'!D42,"0%")&amp;")"</f>
        <v xml:space="preserve">  &lt;18 Years Old  =  0(-)</v>
      </c>
    </row>
    <row r="31" spans="10:14" x14ac:dyDescent="0.3">
      <c r="J31" s="218" t="s">
        <v>922</v>
      </c>
      <c r="K31" s="218"/>
    </row>
    <row r="32" spans="10:14" x14ac:dyDescent="0.3">
      <c r="J32" s="98" t="s">
        <v>923</v>
      </c>
      <c r="K32" s="98" t="s">
        <v>924</v>
      </c>
    </row>
    <row r="33" spans="10:11" x14ac:dyDescent="0.3">
      <c r="K33" s="98" t="str">
        <f>" "&amp;'Aim 1 - Household Contacts'!C43&amp;"("&amp;TEXT('Aim 1 - Household Contacts'!D43,"0%")&amp;")"</f>
        <v xml:space="preserve"> 0(-)</v>
      </c>
    </row>
    <row r="37" spans="10:11" x14ac:dyDescent="0.3">
      <c r="J37" s="218" t="s">
        <v>925</v>
      </c>
      <c r="K37" s="218"/>
    </row>
    <row r="38" spans="10:11" x14ac:dyDescent="0.3">
      <c r="J38" s="98" t="s">
        <v>881</v>
      </c>
      <c r="K38" s="98" t="s">
        <v>924</v>
      </c>
    </row>
    <row r="39" spans="10:11" x14ac:dyDescent="0.3">
      <c r="K39" s="98"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3"/>
  <sheetViews>
    <sheetView showGridLines="0" topLeftCell="P65" zoomScaleNormal="100" workbookViewId="0">
      <selection activeCell="X77" sqref="X77"/>
    </sheetView>
  </sheetViews>
  <sheetFormatPr defaultRowHeight="14.4" x14ac:dyDescent="0.3"/>
  <cols>
    <col min="1" max="1" width="6.44140625" style="155" customWidth="1"/>
    <col min="2" max="2" width="35.44140625" style="155" customWidth="1"/>
    <col min="3" max="3" width="4" style="155" customWidth="1"/>
    <col min="4" max="5" width="15.21875" style="155" customWidth="1" collapsed="1"/>
    <col min="6" max="6" width="3.77734375" customWidth="1"/>
    <col min="7" max="7" width="32.21875" customWidth="1" collapsed="1"/>
    <col min="8" max="8" width="4.44140625" customWidth="1"/>
    <col min="28" max="28" width="16.44140625" customWidth="1"/>
  </cols>
  <sheetData>
    <row r="1" spans="2:11" x14ac:dyDescent="0.3">
      <c r="F1" s="155"/>
      <c r="G1" s="155"/>
      <c r="H1" s="155"/>
      <c r="I1" s="155"/>
      <c r="J1" s="155"/>
      <c r="K1" s="155"/>
    </row>
    <row r="2" spans="2:11" x14ac:dyDescent="0.3">
      <c r="B2" s="7" t="s">
        <v>916</v>
      </c>
      <c r="C2" s="200" t="str">
        <f>""&amp;'Aim 1 - Index Patients'!C4</f>
        <v>2</v>
      </c>
      <c r="D2" s="7"/>
      <c r="F2" s="194"/>
      <c r="G2" s="194"/>
      <c r="H2" s="155"/>
      <c r="I2" s="155"/>
      <c r="J2" s="155"/>
      <c r="K2" s="155"/>
    </row>
    <row r="3" spans="2:11" x14ac:dyDescent="0.3">
      <c r="B3" s="7" t="s">
        <v>917</v>
      </c>
      <c r="C3" s="200" t="str">
        <f>""&amp;'Aim 1 - Index Patients'!C5&amp;"("&amp;TEXT('Aim 1 - Index Patients'!D5,"0%")&amp;")"</f>
        <v>1(50%)</v>
      </c>
      <c r="D3" s="7" t="str">
        <f>"Not Eligible (excl. &lt;18) = "&amp;'Aim 1 - Index Patients'!C13&amp;"("&amp;TEXT('Aim 1 - Index Patients'!D13,"0%")&amp;")"&amp;CHAR(10)&amp;"     Lives outside study communities = "&amp;'Aim 1 - Index Patients'!C8&amp;"("&amp;TEXT('Aim 1 - Index Patients'!D8,"0%")&amp;")"&amp;CHAR(10)&amp;"     Not Pulmonary TB Positive = "&amp;'Aim 1 - Index Patients'!C9&amp;"("&amp;TEXT('Aim 1 - Index Patients'!D9,"0%")&amp;")"&amp;CHAR(10)&amp;"     Not fluent in Xhosa or English = "&amp;'Aim 1 - Index Patients'!C10&amp;"("&amp;TEXT('Aim 1 - Index Patients'!D10,"0%")&amp;")"&amp;CHAR(10)&amp;"     No household contacts = "&amp;'Aim 1 - Index Patients'!C11&amp;"("&amp;TEXT('Aim 1 - Index Patients'!D11,"0%")&amp;")"&amp;CHAR(10)&amp;"     Enrolled on other Cohort / HHC = "&amp;'Aim 1 - Index Patients'!C12&amp;"("&amp;TEXT('Aim 1 - Index Patients'!D12,"0%")&amp;")"&amp;CHAR(10)</f>
        <v xml:space="preserve">Not Eligible (excl. &lt;18) = 0(-)
     Lives outside study communities = 1(100%)
     Not Pulmonary TB Positive = 1(100%)
     Not fluent in Xhosa or English = 1(100%)
     No household contacts = 1(100%)
     Enrolled on other Cohort / HHC = 1(100%)
</v>
      </c>
      <c r="E3" s="155" t="str">
        <f>"Age &lt;18 years = "&amp;'Aim 1 - Index Patients'!C7&amp;"("&amp;TEXT('Aim 1 - Index Patients'!D7,"0%")&amp;")"</f>
        <v>Age &lt;18 years = 1(100%)</v>
      </c>
      <c r="F3" s="194"/>
      <c r="G3" s="194"/>
      <c r="H3" s="155"/>
      <c r="I3" s="155"/>
      <c r="J3" s="155"/>
      <c r="K3" s="155"/>
    </row>
    <row r="4" spans="2:11" x14ac:dyDescent="0.3">
      <c r="B4" s="7" t="s">
        <v>967</v>
      </c>
      <c r="C4" s="200" t="str">
        <f>""&amp;'Aim 1 - Index Patients'!C7&amp;"("&amp;TEXT('Aim 1 - Index Patients'!D7,"0%")&amp;")"</f>
        <v>1(100%)</v>
      </c>
      <c r="D4" s="7"/>
      <c r="F4" s="194"/>
      <c r="G4" s="194"/>
      <c r="H4" s="155"/>
      <c r="I4" s="155"/>
      <c r="J4" s="155"/>
      <c r="K4" s="155"/>
    </row>
    <row r="5" spans="2:11" x14ac:dyDescent="0.3">
      <c r="B5" s="7" t="s">
        <v>926</v>
      </c>
      <c r="C5" s="200" t="str">
        <f>""&amp;'Aim 1 - Index Patients'!D32&amp;"("&amp;TEXT('Aim 1 - Index Patients'!E32,"0%")&amp;")"</f>
        <v>0(-)</v>
      </c>
      <c r="D5" s="7"/>
      <c r="F5" s="194"/>
      <c r="G5" s="194"/>
      <c r="H5" s="155"/>
      <c r="I5" s="155"/>
      <c r="J5" s="155"/>
      <c r="K5" s="155"/>
    </row>
    <row r="6" spans="2:11" x14ac:dyDescent="0.3">
      <c r="B6" s="7" t="s">
        <v>927</v>
      </c>
      <c r="C6" s="200" t="str">
        <f>""&amp;'Aim 1 - Index Patients'!D41&amp;"("&amp;TEXT('Aim 1 - Index Patients'!E41,"0%")&amp;")"</f>
        <v>0(-)</v>
      </c>
      <c r="D6" s="7" t="str">
        <f>"Not Enrolled = "&amp;'Aim 1 - Index Patients'!C26&amp;"("&amp;TEXT('Aim 1 - Index Patients'!D26,"0%")&amp;")"&amp;CHAR(10)&amp;
"     Cannot Comprehend = "&amp;'Aim 1 - Index Patients'!C19&amp;"("&amp;TEXT('Aim 1 - Index Patients'!D19,"0%")&amp;")"&amp;CHAR(10)&amp;
"     Refused to participate = "&amp;'Aim 1 - Index Patients'!C20&amp;"("&amp;TEXT('Aim 1 - Index Patients'!D20,"0%")&amp;")"</f>
        <v>Not Enrolled = (0%)
     Cannot Comprehend = 1(100%)
     Refused to participate = 1(100%)</v>
      </c>
      <c r="F6" s="194"/>
      <c r="G6" s="194"/>
      <c r="H6" s="155"/>
      <c r="I6" s="155"/>
      <c r="J6" s="155"/>
      <c r="K6" s="155"/>
    </row>
    <row r="7" spans="2:11" x14ac:dyDescent="0.3">
      <c r="B7" s="7" t="s">
        <v>928</v>
      </c>
      <c r="C7" s="200" t="str">
        <f>""&amp;'Aim 1 - Index Patients'!D42&amp;"("&amp;TEXT('Aim 1 - Index Patients'!E42,"0%")&amp;")"</f>
        <v>0(-)</v>
      </c>
      <c r="D7" s="7"/>
      <c r="F7" s="194"/>
      <c r="G7" s="194"/>
      <c r="H7" s="155"/>
      <c r="I7" s="155"/>
      <c r="J7" s="155"/>
      <c r="K7" s="155"/>
    </row>
    <row r="8" spans="2:11" x14ac:dyDescent="0.3">
      <c r="B8" s="7" t="s">
        <v>929</v>
      </c>
      <c r="C8" s="200" t="str">
        <f>""&amp;'Aim 1 - Index Patients'!D33&amp;"("&amp;TEXT('Aim 1 - Index Patients'!E33,"0%")&amp;")"</f>
        <v>0(-)</v>
      </c>
      <c r="D8" s="201" t="str">
        <f>"Excluded:"&amp;CHAR(10)&amp;"Caregiver Not Present = "&amp;'Aim 1 - Index Patients'!D31&amp;"("&amp;TEXT('Aim 1 - Index Patients'!E31,"0%")&amp;")"&amp;CHAR(10)&amp;
"Caregiver Permission Not Granted = "&amp;'Aim 1 - Index Patients'!D34&amp;"("&amp;TEXT('Aim 1 - Index Patients'!E34,"0%")&amp;")"&amp;CHAR(10)</f>
        <v xml:space="preserve">Excluded:
Caregiver Not Present = 0(-)
Caregiver Permission Not Granted = 0(-)
</v>
      </c>
      <c r="E8" s="202"/>
      <c r="F8" s="194"/>
      <c r="G8" s="194"/>
      <c r="H8" s="155"/>
      <c r="I8" s="155"/>
      <c r="J8" s="155"/>
      <c r="K8" s="155"/>
    </row>
    <row r="9" spans="2:11" x14ac:dyDescent="0.3">
      <c r="B9" s="7" t="s">
        <v>920</v>
      </c>
      <c r="C9" s="200" t="str">
        <f>""&amp;'Aim 1 - Household Contacts'!C6</f>
        <v>0</v>
      </c>
      <c r="D9" s="203" t="str">
        <f>"Pending Household Visits = "&amp;'Aim 1 - Household Contacts'!C13&amp;"("&amp;TEXT('Aim 1 - Household Contacts'!D13,"0%")&amp;")"</f>
        <v>Pending Household Visits = 0(-)</v>
      </c>
      <c r="E9" s="204"/>
      <c r="F9" s="194"/>
      <c r="G9" s="194"/>
      <c r="H9" s="155"/>
      <c r="I9" s="155"/>
      <c r="J9" s="155"/>
      <c r="K9" s="155"/>
    </row>
    <row r="10" spans="2:11" x14ac:dyDescent="0.3">
      <c r="B10" s="7" t="s">
        <v>921</v>
      </c>
      <c r="C10" s="200" t="str">
        <f>""&amp;'Aim 1 - Household Contacts'!C27</f>
        <v>0</v>
      </c>
      <c r="D10" s="203"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204"/>
      <c r="F10" s="194"/>
      <c r="G10" s="194"/>
      <c r="H10" s="155"/>
      <c r="I10" s="155"/>
      <c r="J10" s="155"/>
      <c r="K10" s="155"/>
    </row>
    <row r="11" spans="2:11" x14ac:dyDescent="0.3">
      <c r="B11" s="7" t="s">
        <v>930</v>
      </c>
      <c r="C11" s="7" t="str">
        <f>""&amp;'Aim 1 - Household Contacts'!C8&amp;"("&amp;TEXT('Aim 1 - Household Contacts'!D8,"0%")&amp;")"</f>
        <v>0(-)</v>
      </c>
      <c r="D11" s="203"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204"/>
      <c r="F11" s="194"/>
      <c r="G11" s="194"/>
      <c r="H11" s="155"/>
      <c r="I11" s="155"/>
      <c r="J11" s="155"/>
      <c r="K11" s="155"/>
    </row>
    <row r="12" spans="2:11" x14ac:dyDescent="0.3">
      <c r="B12" s="7" t="s">
        <v>931</v>
      </c>
      <c r="C12" s="7" t="str">
        <f>""&amp;'Aim 1 - Household Contacts'!C35&amp;"("&amp;TEXT('Aim 1 - Household Contacts'!D35,"0%")&amp;")"</f>
        <v>0(-)</v>
      </c>
      <c r="D12" s="7"/>
      <c r="F12" s="194"/>
      <c r="G12" s="194"/>
      <c r="H12" s="155"/>
      <c r="I12" s="155"/>
      <c r="J12" s="155"/>
      <c r="K12" s="155"/>
    </row>
    <row r="13" spans="2:11" x14ac:dyDescent="0.3">
      <c r="B13" s="7" t="s">
        <v>933</v>
      </c>
      <c r="C13" s="7" t="str">
        <f>""&amp;'Aim 1 - Household Contacts'!C17&amp;"("&amp;TEXT('Aim 1 - Household Contacts'!D17,"0%")&amp;")"</f>
        <v>0(-)</v>
      </c>
      <c r="D13" s="7" t="str">
        <f>"Not Presented = "&amp;'Aim 1 - Index Patients'!C63&amp;"("&amp;TEXT('Aim 1 - Index Patients'!D63,"0%")&amp;")"&amp;CHAR(10)&amp;
"Not Outcome Yet = "&amp;'Aim 1 - Index Patients'!C64&amp;"("&amp;TEXT('Aim 1 - Index Patients'!D64,"0%")&amp;")"&amp;CHAR(10)</f>
        <v xml:space="preserve">Not Presented = (0%)
Not Outcome Yet = (0%)
</v>
      </c>
      <c r="F13" s="194"/>
      <c r="G13" s="194"/>
      <c r="H13" s="155"/>
      <c r="I13" s="155"/>
      <c r="J13" s="155"/>
      <c r="K13" s="155"/>
    </row>
    <row r="14" spans="2:11" x14ac:dyDescent="0.3">
      <c r="B14" s="7" t="s">
        <v>934</v>
      </c>
      <c r="C14" s="7" t="str">
        <f>""&amp;'Aim 1 - Household Contacts'!C43&amp;"("&amp;TEXT('Aim 1 - Household Contacts'!D43,"0%")&amp;")"</f>
        <v>0(-)</v>
      </c>
      <c r="D14" s="7"/>
      <c r="F14" s="194"/>
      <c r="G14" s="194"/>
      <c r="H14" s="155"/>
      <c r="I14" s="155"/>
      <c r="J14" s="155"/>
      <c r="K14" s="155"/>
    </row>
    <row r="15" spans="2:11" x14ac:dyDescent="0.3">
      <c r="B15" s="7" t="s">
        <v>932</v>
      </c>
      <c r="C15" s="7" t="str">
        <f>""&amp;'Aim 1 - Household Contacts'!C17&amp;"("&amp;TEXT('Aim 1 - Household Contacts'!D17,"0%")&amp;")"</f>
        <v>0(-)</v>
      </c>
      <c r="D15" s="7" t="str">
        <f>"Cannot Comprehend = "&amp;'Aim 1 - Index Patients'!C19&amp;"("&amp;TEXT('Aim 1 - Index Patients'!D19,"0%")&amp;")"</f>
        <v>Cannot Comprehend = 1(100%)</v>
      </c>
      <c r="F15" s="194"/>
      <c r="G15" s="194"/>
      <c r="H15" s="155"/>
      <c r="I15" s="155"/>
      <c r="J15" s="155"/>
      <c r="K15" s="155"/>
    </row>
    <row r="16" spans="2:11" x14ac:dyDescent="0.3">
      <c r="B16" s="7" t="s">
        <v>935</v>
      </c>
      <c r="C16" s="7" t="str">
        <f>""&amp;'Aim 1 - Household Contacts'!C44&amp;"("&amp;TEXT('Aim 1 - Household Contacts'!D44,"0%")&amp;")"</f>
        <v>0(-)</v>
      </c>
      <c r="D16" s="7"/>
      <c r="F16" s="194"/>
      <c r="G16" s="194"/>
      <c r="H16" s="155"/>
      <c r="I16" s="155"/>
      <c r="J16" s="155"/>
      <c r="K16" s="155"/>
    </row>
    <row r="17" spans="2:11" x14ac:dyDescent="0.3">
      <c r="B17" s="7" t="s">
        <v>968</v>
      </c>
      <c r="C17" s="7" t="str">
        <f>""&amp;'Aim 1 - Household Contacts'!C52&amp;"("&amp;TEXT('Aim 1 - Household Contacts'!D52,"0%")&amp;")"</f>
        <v>0(-)</v>
      </c>
      <c r="D17" s="7"/>
      <c r="F17" s="194"/>
      <c r="G17" s="194"/>
      <c r="H17" s="155"/>
      <c r="I17" s="155"/>
      <c r="J17" s="155"/>
      <c r="K17" s="155"/>
    </row>
    <row r="18" spans="2:11" x14ac:dyDescent="0.3">
      <c r="B18" s="7" t="s">
        <v>981</v>
      </c>
      <c r="C18" s="7" t="str">
        <f>""&amp;'Aim 1 - Household Contacts'!F59&amp;"("&amp;TEXT('Aim 1 - Household Contacts'!G59,"0%")&amp;")"</f>
        <v>0(-)</v>
      </c>
      <c r="D18" s="7"/>
      <c r="F18" s="194"/>
      <c r="G18" s="194"/>
      <c r="H18" s="155"/>
      <c r="I18" s="155"/>
      <c r="J18" s="155"/>
      <c r="K18" s="155"/>
    </row>
    <row r="19" spans="2:11" x14ac:dyDescent="0.3">
      <c r="B19" s="7" t="s">
        <v>969</v>
      </c>
      <c r="C19" s="7" t="str">
        <f>""&amp;'Aim 1 - Household Contacts'!F60&amp;"("&amp;TEXT('Aim 1 - Household Contacts'!G60,"0%")&amp;")"</f>
        <v>0(-)</v>
      </c>
      <c r="D19" s="7"/>
      <c r="F19" s="194"/>
      <c r="G19" s="194"/>
      <c r="H19" s="155"/>
      <c r="I19" s="155"/>
      <c r="J19" s="155"/>
      <c r="K19" s="155"/>
    </row>
    <row r="20" spans="2:11" x14ac:dyDescent="0.3">
      <c r="B20" s="7" t="s">
        <v>986</v>
      </c>
      <c r="C20" s="7" t="str">
        <f>"Did not provide sputum"&amp;"(N="&amp;'Aim 1 - Household Contacts'!F61&amp;"("&amp;TEXT('Aim 1 - Household Contacts'!G61,"0%")&amp;"))"</f>
        <v>Did not provide sputum(N=0(-))</v>
      </c>
      <c r="D20" s="7"/>
      <c r="F20" s="194"/>
      <c r="G20" s="194"/>
      <c r="H20" s="155"/>
      <c r="I20" s="155"/>
      <c r="J20" s="155"/>
      <c r="K20" s="155"/>
    </row>
    <row r="21" spans="2:11" x14ac:dyDescent="0.3">
      <c r="B21" s="7" t="s">
        <v>970</v>
      </c>
      <c r="C21" s="7" t="str">
        <f>""&amp;B21&amp;CHAR(10)&amp;"(N="&amp;'Aim 1 - Household Contacts'!F62&amp;")"</f>
        <v xml:space="preserve">    Provided sputum
(N=0)</v>
      </c>
      <c r="D21" s="7" t="str">
        <f>"Did not present = "&amp;'Aim 1 - Household Contacts'!C68&amp;"("&amp;TEXT('Aim 1 - Household Contacts'!D68,"0%")&amp;")"</f>
        <v>Did not present = 0(-)</v>
      </c>
      <c r="F21" s="194"/>
      <c r="G21" s="194"/>
      <c r="H21" s="155"/>
      <c r="I21" s="155"/>
      <c r="J21" s="155"/>
      <c r="K21" s="155"/>
    </row>
    <row r="22" spans="2:11" x14ac:dyDescent="0.3">
      <c r="B22" s="7" t="s">
        <v>971</v>
      </c>
      <c r="C22" s="7" t="str">
        <f>""&amp;'Aim 1 - Household Contacts'!F63&amp;"("&amp;TEXT('Aim 1 - Household Contacts'!G63,"0%")&amp;")"</f>
        <v>0(-)</v>
      </c>
      <c r="D22" s="7"/>
      <c r="F22" s="194"/>
      <c r="G22" s="194"/>
      <c r="H22" s="155"/>
      <c r="I22" s="155"/>
      <c r="J22" s="155"/>
      <c r="K22" s="155"/>
    </row>
    <row r="23" spans="2:11" x14ac:dyDescent="0.3">
      <c r="B23" s="7" t="s">
        <v>972</v>
      </c>
      <c r="C23" s="7" t="str">
        <f>""&amp;'Aim 1 - Household Contacts'!F64&amp;"("&amp;TEXT('Aim 1 - Household Contacts'!G64,"0%")&amp;")"</f>
        <v>0(-)</v>
      </c>
      <c r="D23" s="7"/>
      <c r="F23" s="194"/>
      <c r="G23" s="194"/>
      <c r="H23" s="155"/>
      <c r="I23" s="155"/>
      <c r="J23" s="155"/>
      <c r="K23" s="155"/>
    </row>
    <row r="24" spans="2:11" x14ac:dyDescent="0.3">
      <c r="B24" s="7" t="s">
        <v>973</v>
      </c>
      <c r="C24" s="7" t="str">
        <f>""&amp;'Aim 1 - Household Contacts'!F65&amp;"("&amp;TEXT('Aim 1 - Household Contacts'!G65,"0%")&amp;")"</f>
        <v>0(-)</v>
      </c>
      <c r="D24" s="7"/>
      <c r="F24" s="194"/>
      <c r="G24" s="194"/>
      <c r="H24" s="155"/>
      <c r="I24" s="155"/>
      <c r="J24" s="155"/>
      <c r="K24" s="155"/>
    </row>
    <row r="25" spans="2:11" x14ac:dyDescent="0.3">
      <c r="B25" s="7" t="s">
        <v>974</v>
      </c>
      <c r="C25" s="7" t="str">
        <f>""&amp;'Aim 1 - Household Contacts'!L59&amp;"("&amp;TEXT('Aim 1 - Household Contacts'!M59,"0%")&amp;")"</f>
        <v>45(-)</v>
      </c>
      <c r="D25" s="7"/>
      <c r="F25" s="194"/>
      <c r="G25" s="194"/>
      <c r="H25" s="155"/>
      <c r="I25" s="155"/>
      <c r="J25" s="155"/>
      <c r="K25" s="155"/>
    </row>
    <row r="26" spans="2:11" x14ac:dyDescent="0.3">
      <c r="B26" s="7" t="s">
        <v>982</v>
      </c>
      <c r="C26" s="7" t="str">
        <f>""&amp;'Aim 1 - Household Contacts'!C53&amp;"("&amp;TEXT('Aim 1 - Household Contacts'!D53,"0%")&amp;")"</f>
        <v>0(-)</v>
      </c>
      <c r="D26" s="7" t="str">
        <f>"Not Outcome Yet = "&amp;'Aim 1 - Household Contacts'!L79&amp;"("&amp;TEXT('Aim 1 - Household Contacts'!M79,"0%")&amp;")"&amp;CHAR(10)&amp;
"Discordant = "&amp;'Aim 1 - Household Contacts'!I78&amp;"("&amp;TEXT('Aim 1 - Household Contacts'!J78,"0%")&amp;")"</f>
        <v>Not Outcome Yet = 0(-)
Discordant = 0(-)</v>
      </c>
      <c r="F26" s="194"/>
      <c r="G26" s="194"/>
      <c r="H26" s="155"/>
      <c r="I26" s="155"/>
      <c r="J26" s="155"/>
      <c r="K26" s="155"/>
    </row>
    <row r="27" spans="2:11" x14ac:dyDescent="0.3">
      <c r="B27" s="205" t="s">
        <v>995</v>
      </c>
      <c r="C27" s="7" t="str">
        <f>""&amp;'Aim 1 - Household Contacts'!C67&amp;"("&amp;TEXT('Aim 1 - Household Contacts'!D67,"0%")&amp;")"</f>
        <v>0(-)</v>
      </c>
      <c r="D27" s="7"/>
      <c r="F27" s="194"/>
      <c r="G27" s="194"/>
      <c r="H27" s="155"/>
      <c r="I27" s="155"/>
      <c r="J27" s="155"/>
      <c r="K27" s="155"/>
    </row>
    <row r="28" spans="2:11" x14ac:dyDescent="0.3">
      <c r="B28" s="7" t="s">
        <v>975</v>
      </c>
      <c r="C28" s="7" t="str">
        <f>""&amp;'Aim 1 - Household Contacts'!C68&amp;"("&amp;TEXT('Aim 1 - Household Contacts'!D68,"0%")&amp;")"</f>
        <v>0(-)</v>
      </c>
      <c r="D28" s="7" t="str">
        <f>"Did not present = "&amp;'Aim 1 - Household Contacts'!C68&amp;"("&amp;TEXT('Aim 1 - Household Contacts'!D68,"0%")&amp;")"</f>
        <v>Did not present = 0(-)</v>
      </c>
      <c r="F28" s="194"/>
      <c r="G28" s="194"/>
      <c r="H28" s="155"/>
      <c r="I28" s="155"/>
      <c r="J28" s="155"/>
      <c r="K28" s="155"/>
    </row>
    <row r="29" spans="2:11" x14ac:dyDescent="0.3">
      <c r="B29" s="7" t="s">
        <v>969</v>
      </c>
      <c r="C29" s="7" t="str">
        <f>""&amp;'Aim 1 - Household Contacts'!C69&amp;"("&amp;TEXT('Aim 1 - Household Contacts'!D69,"0%")&amp;")"</f>
        <v>0(-)</v>
      </c>
      <c r="D29" s="7" t="str">
        <f>"Presented (N="&amp;'Aim 1 - Household Contacts'!C69&amp;"("&amp;TEXT('Aim 1 - Household Contacts'!D69,"0%")&amp;"))"</f>
        <v>Presented (N=0(-))</v>
      </c>
      <c r="F29" s="194"/>
      <c r="G29" s="194"/>
      <c r="H29" s="155"/>
      <c r="I29" s="155"/>
      <c r="J29" s="155"/>
      <c r="K29" s="155"/>
    </row>
    <row r="30" spans="2:11" x14ac:dyDescent="0.3">
      <c r="B30" s="7" t="s">
        <v>976</v>
      </c>
      <c r="C30" s="7" t="str">
        <f>""&amp;'Aim 1 - Household Contacts'!C70&amp;"("&amp;TEXT('Aim 1 - Household Contacts'!D70,"0%")&amp;")"</f>
        <v>0(-)</v>
      </c>
      <c r="D30" s="7"/>
      <c r="F30" s="194"/>
      <c r="G30" s="194"/>
      <c r="H30" s="155"/>
      <c r="I30" s="155"/>
      <c r="J30" s="155"/>
      <c r="K30" s="155"/>
    </row>
    <row r="31" spans="2:11" x14ac:dyDescent="0.3">
      <c r="B31" s="7" t="s">
        <v>977</v>
      </c>
      <c r="C31" s="7" t="str">
        <f>""&amp;'Aim 1 - Household Contacts'!C71&amp;"("&amp;TEXT('Aim 1 - Household Contacts'!D71,"0%")&amp;")"</f>
        <v>0(-)</v>
      </c>
      <c r="D31" s="7"/>
      <c r="F31" s="195"/>
      <c r="G31" s="195"/>
      <c r="H31" s="155"/>
      <c r="I31" s="155"/>
      <c r="J31" s="155"/>
      <c r="K31" s="155"/>
    </row>
    <row r="32" spans="2:11" x14ac:dyDescent="0.3">
      <c r="B32" s="7" t="s">
        <v>978</v>
      </c>
      <c r="C32" s="7" t="str">
        <f>""&amp;'Aim 1 - Household Contacts'!C72&amp;"("&amp;TEXT('Aim 1 - Household Contacts'!D72,"0%")&amp;")"</f>
        <v>0(-)</v>
      </c>
      <c r="D32" s="7"/>
      <c r="F32" s="195"/>
      <c r="G32" s="195"/>
      <c r="H32" s="155"/>
      <c r="I32" s="155"/>
      <c r="J32" s="155"/>
      <c r="K32" s="155"/>
    </row>
    <row r="33" spans="2:12" x14ac:dyDescent="0.3">
      <c r="B33" s="7" t="s">
        <v>986</v>
      </c>
      <c r="C33" s="7" t="str">
        <f>"Did not provide sputum"&amp;"(N="&amp;'Aim 1 - Household Contacts'!C73&amp;"("&amp;TEXT('Aim 1 - Household Contacts'!D73,"0%")&amp;"))"</f>
        <v>Did not provide sputum(N=0(-))</v>
      </c>
      <c r="D33" s="7"/>
      <c r="F33" s="195"/>
      <c r="G33" s="195"/>
      <c r="H33" s="155"/>
      <c r="I33" s="155"/>
      <c r="J33" s="155"/>
      <c r="K33" s="155"/>
    </row>
    <row r="34" spans="2:12" x14ac:dyDescent="0.3">
      <c r="B34" s="7" t="s">
        <v>970</v>
      </c>
      <c r="C34" s="7" t="str">
        <f>""&amp;B34&amp;CHAR(10)&amp;"(N="&amp;'Aim 1 - Household Contacts'!C74&amp;")"</f>
        <v xml:space="preserve">    Provided sputum
(N=0)</v>
      </c>
      <c r="D34" s="7" t="str">
        <f>"Missing Data = "&amp;'Aim 1 - Household Contacts'!C67&amp;"("&amp;TEXT('Aim 1 - Household Contacts'!D67,"0%")&amp;")"</f>
        <v>Missing Data = 0(-)</v>
      </c>
      <c r="F34" s="195"/>
      <c r="G34" s="195"/>
      <c r="H34" s="155"/>
      <c r="I34" s="155"/>
      <c r="J34" s="155"/>
      <c r="K34" s="155"/>
    </row>
    <row r="35" spans="2:12" x14ac:dyDescent="0.3">
      <c r="B35" s="7" t="s">
        <v>971</v>
      </c>
      <c r="C35" s="7" t="str">
        <f>""&amp;'Aim 1 - Household Contacts'!C75&amp;"("&amp;TEXT('Aim 1 - Household Contacts'!D75,"0%")&amp;")"</f>
        <v>0(-)</v>
      </c>
      <c r="D35" s="7"/>
      <c r="F35" s="195"/>
      <c r="G35" s="195"/>
      <c r="H35" s="155"/>
      <c r="I35" s="155"/>
      <c r="J35" s="155"/>
      <c r="K35" s="155"/>
    </row>
    <row r="36" spans="2:12" x14ac:dyDescent="0.3">
      <c r="B36" s="7" t="s">
        <v>972</v>
      </c>
      <c r="C36" s="7" t="str">
        <f>""&amp;'Aim 1 - Household Contacts'!C76&amp;"("&amp;TEXT('Aim 1 - Household Contacts'!D76,"0%")&amp;")"</f>
        <v>0(-)</v>
      </c>
      <c r="D36" s="7"/>
      <c r="F36" s="195"/>
      <c r="G36" s="195"/>
      <c r="H36" s="155"/>
      <c r="I36" s="155"/>
      <c r="J36" s="155"/>
      <c r="K36" s="155"/>
    </row>
    <row r="37" spans="2:12" x14ac:dyDescent="0.3">
      <c r="B37" s="7" t="s">
        <v>979</v>
      </c>
      <c r="C37" s="7" t="str">
        <f>""&amp;'Aim 1 - Household Contacts'!C77&amp;"("&amp;TEXT('Aim 1 - Household Contacts'!D77,"0%")&amp;")"</f>
        <v>0(-)</v>
      </c>
      <c r="D37" s="7"/>
      <c r="F37" s="195"/>
      <c r="G37" s="195"/>
      <c r="H37" s="155"/>
      <c r="I37" s="155"/>
      <c r="J37" s="155"/>
      <c r="K37" s="155"/>
    </row>
    <row r="38" spans="2:12" x14ac:dyDescent="0.3">
      <c r="B38" s="7" t="s">
        <v>982</v>
      </c>
      <c r="C38" s="7"/>
      <c r="D38" s="7"/>
      <c r="F38" s="195"/>
      <c r="G38" s="195"/>
      <c r="H38" s="155"/>
      <c r="I38" s="155"/>
      <c r="J38" s="155"/>
      <c r="K38" s="155"/>
      <c r="L38" s="154"/>
    </row>
    <row r="39" spans="2:12" x14ac:dyDescent="0.3">
      <c r="B39" s="205" t="s">
        <v>994</v>
      </c>
      <c r="C39" s="7" t="str">
        <f>""&amp;'Aim 1 - Household Contacts'!F67&amp;"("&amp;TEXT('Aim 1 - Household Contacts'!G67,"0%")&amp;")"</f>
        <v>0(-)</v>
      </c>
      <c r="D39" s="7"/>
      <c r="F39" s="195"/>
      <c r="G39" s="195"/>
      <c r="H39" s="155"/>
      <c r="I39" s="155"/>
      <c r="J39" s="155"/>
      <c r="K39" s="155"/>
      <c r="L39" s="154"/>
    </row>
    <row r="40" spans="2:12" x14ac:dyDescent="0.3">
      <c r="B40" s="7" t="s">
        <v>975</v>
      </c>
      <c r="C40" s="7" t="str">
        <f>""&amp;'Aim 1 - Household Contacts'!F68&amp;"("&amp;TEXT('Aim 1 - Household Contacts'!G68,"0%")&amp;")"</f>
        <v>0(-)</v>
      </c>
      <c r="D40" s="7" t="str">
        <f>"Did not presented = "&amp;'Aim 1 - Household Contacts'!F68&amp;"("&amp;TEXT('Aim 1 - Household Contacts'!G68,"0%")&amp;")"</f>
        <v>Did not presented = 0(-)</v>
      </c>
      <c r="F40" s="195"/>
      <c r="G40" s="195"/>
      <c r="H40" s="155"/>
      <c r="I40" s="155"/>
      <c r="J40" s="155"/>
      <c r="K40" s="155"/>
      <c r="L40" s="154"/>
    </row>
    <row r="41" spans="2:12" x14ac:dyDescent="0.3">
      <c r="B41" s="7" t="s">
        <v>969</v>
      </c>
      <c r="C41" s="7" t="str">
        <f>""&amp;'Aim 1 - Household Contacts'!F69&amp;"("&amp;TEXT('Aim 1 - Household Contacts'!G69,"0%")&amp;")"</f>
        <v>0(-)</v>
      </c>
      <c r="D41" s="7" t="str">
        <f>"Presented (N="&amp;'Aim 1 - Household Contacts'!F69&amp;"("&amp;TEXT('Aim 1 - Household Contacts'!G69,"0%")&amp;"))"</f>
        <v>Presented (N=0(-))</v>
      </c>
      <c r="F41" s="195"/>
      <c r="G41" s="194"/>
      <c r="H41" s="155"/>
      <c r="I41" s="155"/>
      <c r="J41" s="155"/>
      <c r="K41" s="155"/>
      <c r="L41" s="154"/>
    </row>
    <row r="42" spans="2:12" x14ac:dyDescent="0.3">
      <c r="B42" s="7" t="s">
        <v>976</v>
      </c>
      <c r="C42" s="7" t="str">
        <f>""&amp;'Aim 1 - Household Contacts'!F70&amp;"("&amp;TEXT('Aim 1 - Household Contacts'!G70,"0%")&amp;")"</f>
        <v>0(-)</v>
      </c>
      <c r="D42" s="7"/>
      <c r="F42" s="195"/>
      <c r="G42" s="194"/>
      <c r="H42" s="155"/>
      <c r="I42" s="155"/>
      <c r="J42" s="155"/>
      <c r="K42" s="155"/>
      <c r="L42" s="154"/>
    </row>
    <row r="43" spans="2:12" x14ac:dyDescent="0.3">
      <c r="B43" s="7" t="s">
        <v>977</v>
      </c>
      <c r="C43" s="7" t="str">
        <f>""&amp;'Aim 1 - Household Contacts'!F71&amp;"("&amp;TEXT('Aim 1 - Household Contacts'!G71,"0%")&amp;")"</f>
        <v>0(-)</v>
      </c>
      <c r="D43" s="7"/>
      <c r="F43" s="195"/>
      <c r="G43" s="194"/>
      <c r="H43" s="155"/>
      <c r="I43" s="155"/>
      <c r="J43" s="155"/>
      <c r="K43" s="155"/>
      <c r="L43" s="154"/>
    </row>
    <row r="44" spans="2:12" x14ac:dyDescent="0.3">
      <c r="B44" s="7" t="s">
        <v>978</v>
      </c>
      <c r="C44" s="7" t="str">
        <f>""&amp;'Aim 1 - Household Contacts'!F72&amp;"("&amp;TEXT('Aim 1 - Household Contacts'!G72,"0%")&amp;")"</f>
        <v>0(-)</v>
      </c>
      <c r="D44" s="7"/>
      <c r="F44" s="195"/>
      <c r="G44" s="194"/>
      <c r="H44" s="155"/>
      <c r="I44" s="155"/>
      <c r="J44" s="155"/>
      <c r="K44" s="155"/>
      <c r="L44" s="154"/>
    </row>
    <row r="45" spans="2:12" x14ac:dyDescent="0.3">
      <c r="B45" s="7" t="s">
        <v>986</v>
      </c>
      <c r="C45" s="7" t="str">
        <f>"Did not provide sputum"&amp;"(N="&amp;'Aim 1 - Household Contacts'!F73&amp;"("&amp;TEXT('Aim 1 - Household Contacts'!G73,"0%")&amp;"))"</f>
        <v>Did not provide sputum(N=0(-))</v>
      </c>
      <c r="D45" s="7"/>
      <c r="F45" s="195"/>
      <c r="G45" s="194"/>
      <c r="H45" s="155"/>
      <c r="I45" s="155"/>
      <c r="J45" s="155"/>
      <c r="K45" s="155"/>
      <c r="L45" s="154"/>
    </row>
    <row r="46" spans="2:12" x14ac:dyDescent="0.3">
      <c r="B46" s="7" t="s">
        <v>970</v>
      </c>
      <c r="C46" s="7" t="str">
        <f>""&amp;B46&amp;CHAR(10)&amp;"(N="&amp;'Aim 1 - Household Contacts'!F74&amp;")"</f>
        <v xml:space="preserve">    Provided sputum
(N=0)</v>
      </c>
      <c r="D46" s="7"/>
      <c r="F46" s="195"/>
      <c r="G46" s="194"/>
      <c r="H46" s="155"/>
      <c r="I46" s="155"/>
      <c r="J46" s="155"/>
      <c r="K46" s="155"/>
    </row>
    <row r="47" spans="2:12" x14ac:dyDescent="0.3">
      <c r="B47" s="7" t="s">
        <v>971</v>
      </c>
      <c r="C47" s="7" t="str">
        <f>""&amp;'Aim 1 - Household Contacts'!F75&amp;"("&amp;TEXT('Aim 1 - Household Contacts'!G75,"0%")&amp;")"</f>
        <v>0(-)</v>
      </c>
      <c r="D47" s="7"/>
      <c r="F47" s="195"/>
      <c r="G47" s="194"/>
      <c r="H47" s="155"/>
      <c r="I47" s="155"/>
      <c r="J47" s="155"/>
      <c r="K47" s="155"/>
    </row>
    <row r="48" spans="2:12" x14ac:dyDescent="0.3">
      <c r="B48" s="7" t="s">
        <v>972</v>
      </c>
      <c r="C48" s="7" t="str">
        <f>""&amp;'Aim 1 - Household Contacts'!F76&amp;"("&amp;TEXT('Aim 1 - Household Contacts'!G76,"0%")&amp;")"</f>
        <v>0(-)</v>
      </c>
      <c r="D48" s="7"/>
      <c r="F48" s="195"/>
      <c r="G48" s="195"/>
      <c r="H48" s="155"/>
      <c r="I48" s="155"/>
      <c r="J48" s="155"/>
      <c r="K48" s="155"/>
    </row>
    <row r="49" spans="2:14" x14ac:dyDescent="0.3">
      <c r="B49" s="7" t="s">
        <v>979</v>
      </c>
      <c r="C49" s="7" t="str">
        <f>""&amp;'Aim 1 - Household Contacts'!F77&amp;"("&amp;TEXT('Aim 1 - Household Contacts'!G77,"0%")&amp;")"</f>
        <v>0(-)</v>
      </c>
      <c r="F49" s="195"/>
      <c r="G49" s="195"/>
      <c r="H49" s="155"/>
      <c r="I49" s="155"/>
      <c r="J49" s="155"/>
      <c r="K49" s="155"/>
      <c r="N49" t="s">
        <v>988</v>
      </c>
    </row>
    <row r="50" spans="2:14" x14ac:dyDescent="0.3">
      <c r="B50" s="7" t="s">
        <v>980</v>
      </c>
      <c r="C50" s="7" t="str">
        <f>""&amp;'Aim 1 - Household Contacts'!C75&amp;"("&amp;TEXT('Aim 1 - Household Contacts'!D75,"0%")&amp;")"</f>
        <v>0(-)</v>
      </c>
      <c r="F50" s="195"/>
      <c r="G50" s="195"/>
      <c r="H50" s="155"/>
      <c r="I50" s="155"/>
      <c r="J50" s="155"/>
      <c r="K50" s="155"/>
    </row>
    <row r="51" spans="2:14" x14ac:dyDescent="0.3">
      <c r="B51" s="205" t="s">
        <v>984</v>
      </c>
      <c r="C51" s="7" t="str">
        <f>""&amp;'Aim 1 - Household Contacts'!I67&amp;"("&amp;TEXT('Aim 1 - Household Contacts'!J67,"0%")&amp;")"</f>
        <v>0(-)</v>
      </c>
      <c r="F51" s="195"/>
      <c r="G51" s="195"/>
      <c r="H51" s="155"/>
      <c r="I51" s="155"/>
      <c r="J51" s="155"/>
      <c r="K51" s="155"/>
    </row>
    <row r="52" spans="2:14" x14ac:dyDescent="0.3">
      <c r="B52" s="7" t="s">
        <v>975</v>
      </c>
      <c r="C52" s="7" t="str">
        <f>""&amp;'Aim 1 - Household Contacts'!I68&amp;"("&amp;TEXT('Aim 1 - Household Contacts'!J68,"0%")&amp;")"</f>
        <v>0(-)</v>
      </c>
      <c r="D52" s="155" t="str">
        <f>"Did not present ="&amp;'Aim 1 - Household Contacts'!I68&amp;"("&amp;TEXT('Aim 1 - Household Contacts'!J68,"0%")&amp;")"</f>
        <v>Did not present =0(-)</v>
      </c>
      <c r="F52" s="195"/>
      <c r="G52" s="195"/>
      <c r="H52" s="155"/>
      <c r="I52" s="155"/>
      <c r="J52" s="155"/>
      <c r="K52" s="155"/>
    </row>
    <row r="53" spans="2:14" x14ac:dyDescent="0.3">
      <c r="B53" s="7" t="s">
        <v>969</v>
      </c>
      <c r="C53" s="7" t="str">
        <f>""&amp;'Aim 1 - Household Contacts'!I69&amp;"("&amp;TEXT('Aim 1 - Household Contacts'!J69,"0%")&amp;")"</f>
        <v>0(-)</v>
      </c>
      <c r="D53" s="155" t="str">
        <f>"Presented (N="&amp;'Aim 1 - Household Contacts'!I69&amp;"("&amp;TEXT('Aim 1 - Household Contacts'!J69,"0%")&amp;"))"</f>
        <v>Presented (N=0(-))</v>
      </c>
      <c r="F53" s="195"/>
      <c r="G53" s="195"/>
      <c r="H53" s="155"/>
      <c r="I53" s="155"/>
      <c r="J53" s="155"/>
      <c r="K53" s="155"/>
    </row>
    <row r="54" spans="2:14" x14ac:dyDescent="0.3">
      <c r="B54" s="7" t="s">
        <v>976</v>
      </c>
      <c r="C54" s="7" t="str">
        <f>""&amp;'Aim 1 - Household Contacts'!I70&amp;"("&amp;TEXT('Aim 1 - Household Contacts'!J70,"0%")&amp;")"</f>
        <v>0(-)</v>
      </c>
      <c r="F54" s="195"/>
      <c r="G54" s="195"/>
      <c r="H54" s="155"/>
      <c r="I54" s="155"/>
      <c r="J54" s="155"/>
      <c r="K54" s="155"/>
    </row>
    <row r="55" spans="2:14" x14ac:dyDescent="0.3">
      <c r="B55" s="7" t="s">
        <v>977</v>
      </c>
      <c r="C55" s="7" t="str">
        <f>""&amp;'Aim 1 - Household Contacts'!I71&amp;"("&amp;TEXT('Aim 1 - Household Contacts'!J71,"0%")&amp;")"</f>
        <v>0(-)</v>
      </c>
      <c r="F55" s="195"/>
      <c r="G55" s="195"/>
      <c r="H55" s="155"/>
      <c r="I55" s="155"/>
      <c r="J55" s="155"/>
      <c r="K55" s="155"/>
    </row>
    <row r="56" spans="2:14" x14ac:dyDescent="0.3">
      <c r="B56" s="7" t="s">
        <v>978</v>
      </c>
      <c r="C56" s="7" t="str">
        <f>""&amp;'Aim 1 - Household Contacts'!I72&amp;"("&amp;TEXT('Aim 1 - Household Contacts'!J72,"0%")&amp;")"</f>
        <v>0(-)</v>
      </c>
      <c r="F56" s="195"/>
      <c r="G56" s="195"/>
      <c r="H56" s="155"/>
      <c r="I56" s="155"/>
      <c r="J56" s="155"/>
      <c r="K56" s="155"/>
    </row>
    <row r="57" spans="2:14" x14ac:dyDescent="0.3">
      <c r="B57" s="7" t="s">
        <v>986</v>
      </c>
      <c r="C57" s="7" t="str">
        <f>"Did not provide sputum"&amp;"(N="&amp;'Aim 1 - Household Contacts'!I73&amp;"("&amp;TEXT('Aim 1 - Household Contacts'!J73,"0%")&amp;"))"</f>
        <v>Did not provide sputum(N=0(-))</v>
      </c>
      <c r="F57" s="195"/>
      <c r="G57" s="195"/>
      <c r="H57" s="155"/>
      <c r="I57" s="155"/>
      <c r="J57" s="155"/>
      <c r="K57" s="155"/>
    </row>
    <row r="58" spans="2:14" x14ac:dyDescent="0.3">
      <c r="B58" s="7" t="s">
        <v>970</v>
      </c>
      <c r="C58" s="7" t="str">
        <f>""&amp;B58&amp;CHAR(10)&amp;"(N="&amp;'Aim 1 - Household Contacts'!I74&amp;")"</f>
        <v xml:space="preserve">    Provided sputum
(N=0)</v>
      </c>
      <c r="F58" s="195"/>
      <c r="G58" s="195"/>
      <c r="H58" s="155"/>
      <c r="I58" s="155"/>
      <c r="J58" s="155"/>
      <c r="K58" s="155"/>
    </row>
    <row r="59" spans="2:14" x14ac:dyDescent="0.3">
      <c r="B59" s="7" t="s">
        <v>971</v>
      </c>
      <c r="C59" s="7" t="str">
        <f>""&amp;'Aim 1 - Household Contacts'!I75&amp;"("&amp;TEXT('Aim 1 - Household Contacts'!J75,"0%")&amp;")"</f>
        <v>0(-)</v>
      </c>
      <c r="F59" s="195"/>
      <c r="G59" s="195"/>
      <c r="H59" s="155"/>
      <c r="I59" s="155"/>
      <c r="J59" s="155"/>
      <c r="K59" s="155"/>
    </row>
    <row r="60" spans="2:14" x14ac:dyDescent="0.3">
      <c r="B60" s="7" t="s">
        <v>972</v>
      </c>
      <c r="C60" s="7" t="str">
        <f>""&amp;'Aim 1 - Household Contacts'!I76&amp;"("&amp;TEXT('Aim 1 - Household Contacts'!J76,"0%")&amp;")"</f>
        <v>0(-)</v>
      </c>
      <c r="F60" s="195"/>
      <c r="G60" s="195"/>
      <c r="H60" s="155"/>
      <c r="I60" s="155"/>
      <c r="J60" s="155"/>
      <c r="K60" s="155"/>
    </row>
    <row r="61" spans="2:14" x14ac:dyDescent="0.3">
      <c r="B61" s="7" t="s">
        <v>979</v>
      </c>
      <c r="C61" s="7" t="str">
        <f>""&amp;'Aim 1 - Household Contacts'!I77&amp;"("&amp;TEXT('Aim 1 - Household Contacts'!J77,"0%")&amp;")"</f>
        <v>0(-)</v>
      </c>
      <c r="F61" s="194"/>
      <c r="G61" s="194"/>
    </row>
    <row r="62" spans="2:14" x14ac:dyDescent="0.3">
      <c r="F62" s="194"/>
      <c r="G62" s="194"/>
    </row>
    <row r="63" spans="2:14" x14ac:dyDescent="0.3">
      <c r="F63" s="194"/>
      <c r="G63" s="194"/>
    </row>
    <row r="78" spans="28:30" x14ac:dyDescent="0.3">
      <c r="AB78" s="212" t="s">
        <v>754</v>
      </c>
      <c r="AC78" s="213" t="s">
        <v>28</v>
      </c>
      <c r="AD78" s="213" t="s">
        <v>29</v>
      </c>
    </row>
    <row r="79" spans="28:30" x14ac:dyDescent="0.3">
      <c r="AB79" s="211" t="s">
        <v>998</v>
      </c>
      <c r="AC79" s="214">
        <f>'Aim 1 - Household Contacts'!C68+'Aim 1 - Household Contacts'!F68+'Aim 1 - Household Contacts'!I68</f>
        <v>0</v>
      </c>
      <c r="AD79" s="214" t="e">
        <f>AC79/SUM(AC79:AC81)</f>
        <v>#DIV/0!</v>
      </c>
    </row>
    <row r="80" spans="28:30" x14ac:dyDescent="0.3">
      <c r="AB80" s="211" t="s">
        <v>999</v>
      </c>
      <c r="AC80" s="215">
        <f>'Aim 1 - Household Contacts'!C71+'Aim 1 - Household Contacts'!F71+'Aim 1 - Household Contacts'!I71</f>
        <v>0</v>
      </c>
      <c r="AD80" s="214" t="e">
        <f>AC80/SUM(AC79:AC81)</f>
        <v>#DIV/0!</v>
      </c>
    </row>
    <row r="81" spans="28:30" x14ac:dyDescent="0.3">
      <c r="AB81" s="211" t="s">
        <v>1000</v>
      </c>
      <c r="AC81" s="215">
        <f>'Aim 1 - Household Contacts'!F60+'Aim 1 - Household Contacts'!F70+'Aim 1 - Household Contacts'!I70</f>
        <v>0</v>
      </c>
      <c r="AD81" s="214" t="e">
        <f>AC81/SUM(AC79:AC81)</f>
        <v>#DIV/0!</v>
      </c>
    </row>
    <row r="82" spans="28:30" x14ac:dyDescent="0.3">
      <c r="AB82" s="211" t="s">
        <v>1001</v>
      </c>
      <c r="AC82" s="214">
        <f>'Aim 1 - Household Contacts'!C72</f>
        <v>0</v>
      </c>
      <c r="AD82" s="214" t="e">
        <f>AC82/SUM(AC79:AC82)</f>
        <v>#DIV/0!</v>
      </c>
    </row>
    <row r="83" spans="28:30" x14ac:dyDescent="0.3">
      <c r="AB83" s="211" t="s">
        <v>1002</v>
      </c>
      <c r="AC83" s="214">
        <f>SUM(AC79:AC82)</f>
        <v>0</v>
      </c>
      <c r="AD83" s="214"/>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N61"/>
  <sheetViews>
    <sheetView showGridLines="0" topLeftCell="A8" zoomScaleNormal="100" workbookViewId="0">
      <selection activeCell="B1" sqref="B1:F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94" customWidth="1"/>
    <col min="7" max="7" width="32.21875" customWidth="1" collapsed="1"/>
    <col min="8" max="8" width="4.44140625" customWidth="1"/>
  </cols>
  <sheetData>
    <row r="1" spans="2:11" x14ac:dyDescent="0.3">
      <c r="G1" s="155"/>
      <c r="H1" s="155"/>
      <c r="I1" s="155"/>
      <c r="J1" s="155"/>
      <c r="K1" s="155"/>
    </row>
    <row r="2" spans="2:11" x14ac:dyDescent="0.3">
      <c r="B2" s="168" t="s">
        <v>916</v>
      </c>
      <c r="C2" s="206" t="str">
        <f>""&amp;'Aim 1 - Newly Initiated IPs'!C4</f>
        <v>0</v>
      </c>
      <c r="D2" s="168"/>
      <c r="G2" s="155"/>
      <c r="H2" s="155"/>
      <c r="I2" s="155"/>
      <c r="J2" s="155"/>
      <c r="K2" s="155"/>
    </row>
    <row r="3" spans="2:11" x14ac:dyDescent="0.3">
      <c r="B3" s="168" t="s">
        <v>917</v>
      </c>
      <c r="C3" s="206" t="str">
        <f>""&amp;'Aim 1 - Newly Initiated IPs'!C5&amp;"("&amp;TEXT('Aim 1 - Newly Initiated IPs'!D5,"0%")&amp;")"</f>
        <v>0(-)</v>
      </c>
      <c r="D3" s="168" t="str">
        <f>"Not Eligible (excl. &lt;18) = "&amp;'Aim 1 - Newly Initiated IPs'!R13&amp;"("&amp;TEXT('Aim 1 - Newly Initiated IPs'!S13,"0%")&amp;")"&amp;CHAR(10)&amp;"     Lives outside study communities = "&amp;'Aim 1 - Newly Initiated IPs'!R8&amp;"("&amp;TEXT('Aim 1 - Newly Initiated IPs'!S8,"0%")&amp;")"&amp;CHAR(10)&amp;"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4" t="str">
        <f>"Age &lt;18 years = "&amp;'Aim 1 - Index Patients'!C7&amp;"("&amp;TEXT('Aim 1 - Index Patients'!D7,"0%")&amp;")"</f>
        <v>Age &lt;18 years = 1(100%)</v>
      </c>
      <c r="G3" s="155"/>
      <c r="H3" s="155"/>
      <c r="I3" s="155"/>
      <c r="J3" s="155"/>
      <c r="K3" s="155"/>
    </row>
    <row r="4" spans="2:11" x14ac:dyDescent="0.3">
      <c r="B4" s="168" t="s">
        <v>967</v>
      </c>
      <c r="C4" s="206" t="str">
        <f>""&amp;'Aim 1 - Newly Initiated IPs'!C7&amp;"("&amp;TEXT('Aim 1 - Newly Initiated IPs'!D7,"0%")&amp;")"</f>
        <v>0(-)</v>
      </c>
      <c r="D4" s="168"/>
      <c r="G4" s="155"/>
      <c r="H4" s="155"/>
      <c r="I4" s="155"/>
      <c r="J4" s="155"/>
      <c r="K4" s="155"/>
    </row>
    <row r="5" spans="2:11" x14ac:dyDescent="0.3">
      <c r="B5" s="168" t="s">
        <v>926</v>
      </c>
      <c r="C5" s="206" t="str">
        <f>""&amp;'Aim 1 - Newly Initiated IPs'!D32&amp;"("&amp;TEXT('Aim 1 - Newly Initiated IPs'!E32,"0%")&amp;")"</f>
        <v>(0%)</v>
      </c>
      <c r="D5" s="168"/>
      <c r="G5" s="155"/>
      <c r="H5" s="155"/>
      <c r="I5" s="155"/>
      <c r="J5" s="155"/>
      <c r="K5" s="155"/>
    </row>
    <row r="6" spans="2:11" x14ac:dyDescent="0.3">
      <c r="B6" s="168" t="s">
        <v>927</v>
      </c>
      <c r="C6" s="206" t="str">
        <f>""&amp;'Aim 1 - Newly Initiated IPs'!D31&amp;"("&amp;TEXT('Aim 1 - Newly Initiated IPs'!E31,"0%")&amp;")"</f>
        <v>0(-)</v>
      </c>
      <c r="D6" s="168"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G6" s="155"/>
      <c r="H6" s="155"/>
      <c r="I6" s="155"/>
      <c r="J6" s="155"/>
      <c r="K6" s="155"/>
    </row>
    <row r="7" spans="2:11" x14ac:dyDescent="0.3">
      <c r="B7" s="168" t="s">
        <v>928</v>
      </c>
      <c r="C7" s="206" t="str">
        <f>""&amp;'Aim 1 - Newly Initiated IPs'!D42&amp;"("&amp;TEXT('Aim 1 - Newly Initiated IPs'!E42,"0%")&amp;")"</f>
        <v>0(0%)</v>
      </c>
      <c r="D7" s="168"/>
      <c r="G7" s="155"/>
      <c r="H7" s="155"/>
      <c r="I7" s="155"/>
      <c r="J7" s="155"/>
      <c r="K7" s="155"/>
    </row>
    <row r="8" spans="2:11" x14ac:dyDescent="0.3">
      <c r="B8" s="168" t="s">
        <v>929</v>
      </c>
      <c r="C8" s="206" t="str">
        <f>""&amp;'Aim 1 - Index Patients'!L33&amp;"("&amp;TEXT('Aim 1 - Index Patients'!M33,"0%")&amp;")"</f>
        <v>0(-)</v>
      </c>
      <c r="D8" s="207"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8"/>
      <c r="G8" s="155"/>
      <c r="H8" s="155"/>
      <c r="I8" s="155"/>
      <c r="J8" s="155"/>
      <c r="K8" s="155"/>
    </row>
    <row r="9" spans="2:11" x14ac:dyDescent="0.3">
      <c r="B9" s="168" t="s">
        <v>920</v>
      </c>
      <c r="C9" s="206" t="str">
        <f>""&amp;'Aim 1 - Household Contacts'!P6</f>
        <v>0</v>
      </c>
      <c r="D9" s="209" t="str">
        <f>"Pending Household Visits = "&amp;'Aim 1 - Household Contacts'!P13&amp;"("&amp;TEXT('Aim 1 - Household Contacts'!Q13,"0%")&amp;")"</f>
        <v>Pending Household Visits = 0(-)</v>
      </c>
      <c r="E9" s="195"/>
      <c r="G9" s="155"/>
      <c r="H9" s="155"/>
      <c r="I9" s="155"/>
      <c r="J9" s="155"/>
      <c r="K9" s="155"/>
    </row>
    <row r="10" spans="2:11" x14ac:dyDescent="0.3">
      <c r="B10" s="168" t="s">
        <v>921</v>
      </c>
      <c r="C10" s="206" t="str">
        <f>""&amp;'Aim 1 - Household Contacts'!P27</f>
        <v>0</v>
      </c>
      <c r="D10" s="209"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5"/>
      <c r="G10" s="155"/>
      <c r="H10" s="155"/>
      <c r="I10" s="155"/>
      <c r="J10" s="155"/>
      <c r="K10" s="155"/>
    </row>
    <row r="11" spans="2:11" x14ac:dyDescent="0.3">
      <c r="B11" s="168" t="s">
        <v>930</v>
      </c>
      <c r="C11" s="168" t="str">
        <f>""&amp;'Aim 1 - Household Contacts'!P8&amp;"("&amp;TEXT('Aim 1 - Household Contacts'!Q8,"0%")&amp;")"</f>
        <v>0(-)</v>
      </c>
      <c r="D11" s="209"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5"/>
      <c r="G11" s="155"/>
      <c r="H11" s="155"/>
      <c r="I11" s="155"/>
      <c r="J11" s="155"/>
      <c r="K11" s="155"/>
    </row>
    <row r="12" spans="2:11" x14ac:dyDescent="0.3">
      <c r="B12" s="168" t="s">
        <v>931</v>
      </c>
      <c r="C12" s="168" t="str">
        <f>""&amp;'Aim 1 - Household Contacts'!P35&amp;"("&amp;TEXT('Aim 1 - Household Contacts'!Q35,"0%")&amp;")"</f>
        <v>0(-)</v>
      </c>
      <c r="D12" s="168"/>
      <c r="G12" s="155"/>
      <c r="H12" s="155"/>
      <c r="I12" s="155"/>
      <c r="J12" s="155"/>
      <c r="K12" s="155"/>
    </row>
    <row r="13" spans="2:11" x14ac:dyDescent="0.3">
      <c r="B13" s="168" t="s">
        <v>933</v>
      </c>
      <c r="C13" s="168" t="str">
        <f>""&amp;'Aim 1 - Household Contacts'!P17&amp;"("&amp;TEXT('Aim 1 - Household Contacts'!Q17,"0%")&amp;")"</f>
        <v>0(-)</v>
      </c>
      <c r="D13" s="168" t="str">
        <f>"Not Presented = "&amp;'Aim 1 - Index Patients'!X63&amp;"("&amp;TEXT('Aim 1 - Index Patients'!Y63,"0%")&amp;")"&amp;CHAR(10)&amp;
"Not Outcome Yet = "&amp;'Aim 1 - Index Patients'!X64&amp;"("&amp;TEXT('Aim 1 - Index Patients'!Y64,"0%")&amp;")"&amp;CHAR(10)</f>
        <v xml:space="preserve">Not Presented = (0%)
Not Outcome Yet = (0%)
</v>
      </c>
      <c r="G13" s="155"/>
      <c r="H13" s="155"/>
      <c r="I13" s="155"/>
      <c r="J13" s="155"/>
      <c r="K13" s="155"/>
    </row>
    <row r="14" spans="2:11" x14ac:dyDescent="0.3">
      <c r="B14" s="168" t="s">
        <v>934</v>
      </c>
      <c r="C14" s="168" t="str">
        <f>""&amp;'Aim 1 - Household Contacts'!P43&amp;"("&amp;TEXT('Aim 1 - Household Contacts'!Q43,"0%")&amp;")"</f>
        <v>0(-)</v>
      </c>
      <c r="D14" s="168"/>
      <c r="G14" s="155"/>
      <c r="H14" s="155"/>
      <c r="I14" s="155"/>
      <c r="J14" s="155"/>
      <c r="K14" s="155"/>
    </row>
    <row r="15" spans="2:11" x14ac:dyDescent="0.3">
      <c r="B15" s="168" t="s">
        <v>932</v>
      </c>
      <c r="C15" s="168" t="str">
        <f>""&amp;'Aim 1 - Household Contacts'!P17&amp;"("&amp;TEXT('Aim 1 - Household Contacts'!Q17,"0%")&amp;")"</f>
        <v>0(-)</v>
      </c>
      <c r="D15" s="168" t="str">
        <f>"Cannot Comprehend = "&amp;'Aim 1 - Index Patients'!X19&amp;"("&amp;TEXT('Aim 1 - Index Patients'!Y19,"0%")&amp;")"</f>
        <v>Cannot Comprehend = (0%)</v>
      </c>
      <c r="G15" s="155"/>
      <c r="H15" s="155"/>
      <c r="I15" s="155"/>
      <c r="J15" s="155"/>
      <c r="K15" s="155"/>
    </row>
    <row r="16" spans="2:11" x14ac:dyDescent="0.3">
      <c r="B16" s="168" t="s">
        <v>935</v>
      </c>
      <c r="C16" s="168" t="str">
        <f>""&amp;'Aim 1 - Household Contacts'!P44&amp;"("&amp;TEXT('Aim 1 - Household Contacts'!Q44,"0%")&amp;")"</f>
        <v>0(-)</v>
      </c>
      <c r="D16" s="168"/>
      <c r="G16" s="155"/>
      <c r="H16" s="155"/>
      <c r="I16" s="155"/>
      <c r="J16" s="155"/>
      <c r="K16" s="155"/>
    </row>
    <row r="17" spans="2:11" x14ac:dyDescent="0.3">
      <c r="B17" s="168" t="s">
        <v>968</v>
      </c>
      <c r="C17" s="168" t="str">
        <f>""&amp;'Aim 1 - Household Contacts'!P52&amp;"("&amp;TEXT('Aim 1 - Household Contacts'!Q52,"0%")&amp;")"</f>
        <v>0(-)</v>
      </c>
      <c r="D17" s="168"/>
      <c r="G17" s="155"/>
      <c r="H17" s="155"/>
      <c r="I17" s="155"/>
      <c r="J17" s="155"/>
      <c r="K17" s="155"/>
    </row>
    <row r="18" spans="2:11" x14ac:dyDescent="0.3">
      <c r="B18" s="168" t="s">
        <v>981</v>
      </c>
      <c r="C18" s="168" t="str">
        <f>""&amp;'Aim 1 - Household Contacts'!S59&amp;"("&amp;TEXT('Aim 1 - Household Contacts'!T59,"0%")&amp;")"</f>
        <v>0(-)</v>
      </c>
      <c r="D18" s="168"/>
      <c r="G18" s="155"/>
      <c r="H18" s="155"/>
      <c r="I18" s="155"/>
      <c r="J18" s="155"/>
      <c r="K18" s="155"/>
    </row>
    <row r="19" spans="2:11" x14ac:dyDescent="0.3">
      <c r="B19" s="168" t="s">
        <v>969</v>
      </c>
      <c r="C19" s="168" t="str">
        <f>""&amp;'Aim 1 - Household Contacts'!S60&amp;"("&amp;TEXT('Aim 1 - Household Contacts'!T60,"0%")&amp;")"</f>
        <v>0(-)</v>
      </c>
      <c r="D19" s="168"/>
      <c r="G19" s="155"/>
      <c r="H19" s="155"/>
      <c r="I19" s="155"/>
      <c r="J19" s="155"/>
      <c r="K19" s="155"/>
    </row>
    <row r="20" spans="2:11" x14ac:dyDescent="0.3">
      <c r="B20" s="168" t="s">
        <v>986</v>
      </c>
      <c r="C20" s="168" t="str">
        <f>"Did not provide sputum"&amp;"(N="&amp;'Aim 1 - Household Contacts'!S61&amp;"("&amp;TEXT('Aim 1 - Household Contacts'!T61,"0%")&amp;"))"</f>
        <v>Did not provide sputum(N=0(-))</v>
      </c>
      <c r="D20" s="168"/>
      <c r="G20" s="155"/>
      <c r="H20" s="155"/>
      <c r="I20" s="155"/>
      <c r="J20" s="155"/>
      <c r="K20" s="155"/>
    </row>
    <row r="21" spans="2:11" x14ac:dyDescent="0.3">
      <c r="B21" s="168" t="s">
        <v>970</v>
      </c>
      <c r="C21" s="168" t="str">
        <f>""&amp;B21&amp;CHAR(10)&amp;"(N="&amp;'Aim 1 - Household Contacts'!S62&amp;")"</f>
        <v xml:space="preserve">    Provided sputum
(N=0)</v>
      </c>
      <c r="D21" s="168" t="str">
        <f>"Did not present = "&amp;'Aim 1 - Household Contacts'!P68&amp;"("&amp;TEXT('Aim 1 - Household Contacts'!Q68,"0%")&amp;")"</f>
        <v>Did not present = 0(-)</v>
      </c>
      <c r="G21" s="155"/>
      <c r="H21" s="155"/>
      <c r="I21" s="155"/>
      <c r="J21" s="155"/>
      <c r="K21" s="155"/>
    </row>
    <row r="22" spans="2:11" x14ac:dyDescent="0.3">
      <c r="B22" s="168" t="s">
        <v>971</v>
      </c>
      <c r="C22" s="168" t="str">
        <f>""&amp;'Aim 1 - Household Contacts'!S63&amp;"("&amp;TEXT('Aim 1 - Household Contacts'!T63,"0%")&amp;")"</f>
        <v>0(-)</v>
      </c>
      <c r="D22" s="168"/>
      <c r="G22" s="155"/>
      <c r="H22" s="155"/>
      <c r="I22" s="155"/>
      <c r="J22" s="155"/>
      <c r="K22" s="155"/>
    </row>
    <row r="23" spans="2:11" x14ac:dyDescent="0.3">
      <c r="B23" s="168" t="s">
        <v>972</v>
      </c>
      <c r="C23" s="168" t="str">
        <f>""&amp;'Aim 1 - Household Contacts'!S64&amp;"("&amp;TEXT('Aim 1 - Household Contacts'!T64,"0%")&amp;")"</f>
        <v>0(-)</v>
      </c>
      <c r="D23" s="168"/>
      <c r="G23" s="155"/>
      <c r="H23" s="155"/>
      <c r="I23" s="155"/>
      <c r="J23" s="155"/>
      <c r="K23" s="155"/>
    </row>
    <row r="24" spans="2:11" x14ac:dyDescent="0.3">
      <c r="B24" s="168" t="s">
        <v>973</v>
      </c>
      <c r="C24" s="168" t="str">
        <f>""&amp;'Aim 1 - Household Contacts'!S65&amp;"("&amp;TEXT('Aim 1 - Household Contacts'!T65,"0%")&amp;")"</f>
        <v>0(-)</v>
      </c>
      <c r="D24" s="168"/>
      <c r="G24" s="155"/>
      <c r="H24" s="155"/>
      <c r="I24" s="155"/>
      <c r="J24" s="155"/>
      <c r="K24" s="155"/>
    </row>
    <row r="25" spans="2:11" x14ac:dyDescent="0.3">
      <c r="B25" s="168" t="s">
        <v>974</v>
      </c>
      <c r="C25" s="168" t="str">
        <f>""&amp;'Aim 1 - Household Contacts'!Y59&amp;"("&amp;TEXT('Aim 1 - Household Contacts'!Z59,"0%")&amp;")"</f>
        <v>45(-)</v>
      </c>
      <c r="D25" s="168"/>
      <c r="G25" s="155"/>
      <c r="H25" s="155"/>
      <c r="I25" s="155"/>
      <c r="J25" s="155"/>
      <c r="K25" s="155"/>
    </row>
    <row r="26" spans="2:11" x14ac:dyDescent="0.3">
      <c r="B26" s="168" t="s">
        <v>982</v>
      </c>
      <c r="C26" s="168" t="str">
        <f>""&amp;'Aim 1 - Household Contacts'!P53&amp;"("&amp;TEXT('Aim 1 - Household Contacts'!Q53,"0%")&amp;")"</f>
        <v>0(-)</v>
      </c>
      <c r="D26" s="168" t="str">
        <f>"Not Outcome Yet = "&amp;'Aim 1 - Household Contacts'!Y79&amp;"("&amp;TEXT('Aim 1 - Household Contacts'!Z79,"0%")&amp;")"&amp;CHAR(10)&amp;
"Discordant = "&amp;'Aim 1 - Household Contacts'!V78&amp;"("&amp;TEXT('Aim 1 - Household Contacts'!W78,"0%")&amp;")"</f>
        <v>Not Outcome Yet = 0(-)
Discordant = 0(-)</v>
      </c>
      <c r="G26" s="155"/>
      <c r="H26" s="155"/>
      <c r="I26" s="155"/>
      <c r="J26" s="155"/>
      <c r="K26" s="155"/>
    </row>
    <row r="27" spans="2:11" x14ac:dyDescent="0.3">
      <c r="B27" s="168" t="s">
        <v>981</v>
      </c>
      <c r="C27" s="168" t="str">
        <f>""&amp;'Aim 1 - Household Contacts'!P67&amp;"("&amp;TEXT('Aim 1 - Household Contacts'!Q67,"0%")&amp;")"</f>
        <v>0(-)</v>
      </c>
      <c r="D27" s="168"/>
      <c r="G27" s="155"/>
      <c r="H27" s="155"/>
      <c r="I27" s="155"/>
      <c r="J27" s="155"/>
      <c r="K27" s="155"/>
    </row>
    <row r="28" spans="2:11" x14ac:dyDescent="0.3">
      <c r="B28" s="168" t="s">
        <v>975</v>
      </c>
      <c r="C28" s="168" t="str">
        <f>""&amp;'Aim 1 - Household Contacts'!P68&amp;"("&amp;TEXT('Aim 1 - Household Contacts'!Q68,"0%")&amp;")"</f>
        <v>0(-)</v>
      </c>
      <c r="D28" s="168" t="str">
        <f>"Did not present = "&amp;'Aim 1 - Household Contacts'!P68&amp;"("&amp;TEXT('Aim 1 - Household Contacts'!Q68,"0%")&amp;")"</f>
        <v>Did not present = 0(-)</v>
      </c>
      <c r="G28" s="155"/>
      <c r="H28" s="155"/>
      <c r="I28" s="155"/>
      <c r="J28" s="155"/>
      <c r="K28" s="155"/>
    </row>
    <row r="29" spans="2:11" x14ac:dyDescent="0.3">
      <c r="B29" s="168" t="s">
        <v>969</v>
      </c>
      <c r="C29" s="168" t="str">
        <f>""&amp;'Aim 1 - Household Contacts'!P69&amp;"("&amp;TEXT('Aim 1 - Household Contacts'!Q69,"0%")&amp;")"</f>
        <v>0(-)</v>
      </c>
      <c r="D29" s="168" t="str">
        <f>"Presented (N="&amp;'Aim 1 - Household Contacts'!P69&amp;"("&amp;TEXT('Aim 1 - Household Contacts'!Q69,"0%")&amp;"))"</f>
        <v>Presented (N=0(-))</v>
      </c>
      <c r="G29" s="155"/>
      <c r="H29" s="155"/>
      <c r="I29" s="155"/>
      <c r="J29" s="155"/>
      <c r="K29" s="155"/>
    </row>
    <row r="30" spans="2:11" x14ac:dyDescent="0.3">
      <c r="B30" s="168" t="s">
        <v>976</v>
      </c>
      <c r="C30" s="168" t="str">
        <f>""&amp;'Aim 1 - Household Contacts'!P70&amp;"("&amp;TEXT('Aim 1 - Household Contacts'!Q70,"0%")&amp;")"</f>
        <v>0(-)</v>
      </c>
      <c r="D30" s="168"/>
      <c r="G30" s="155"/>
      <c r="H30" s="155"/>
      <c r="I30" s="155"/>
      <c r="J30" s="155"/>
      <c r="K30" s="155"/>
    </row>
    <row r="31" spans="2:11" x14ac:dyDescent="0.3">
      <c r="B31" s="168" t="s">
        <v>977</v>
      </c>
      <c r="C31" s="168" t="str">
        <f>""&amp;'Aim 1 - Household Contacts'!P71&amp;"("&amp;TEXT('Aim 1 - Household Contacts'!Q71,"0%")&amp;")"</f>
        <v>0(-)</v>
      </c>
      <c r="D31" s="168"/>
      <c r="F31" s="195"/>
      <c r="G31" s="204"/>
      <c r="H31" s="155"/>
      <c r="I31" s="155"/>
      <c r="J31" s="155"/>
      <c r="K31" s="155"/>
    </row>
    <row r="32" spans="2:11" x14ac:dyDescent="0.3">
      <c r="B32" s="168" t="s">
        <v>978</v>
      </c>
      <c r="C32" s="168" t="str">
        <f>""&amp;'Aim 1 - Household Contacts'!P72&amp;"("&amp;TEXT('Aim 1 - Household Contacts'!Q72,"0%")&amp;")"</f>
        <v>0(-)</v>
      </c>
      <c r="D32" s="168"/>
      <c r="F32" s="195"/>
      <c r="G32" s="204"/>
      <c r="H32" s="155"/>
      <c r="I32" s="155"/>
      <c r="J32" s="155"/>
      <c r="K32" s="155"/>
    </row>
    <row r="33" spans="2:12" x14ac:dyDescent="0.3">
      <c r="B33" s="168" t="s">
        <v>986</v>
      </c>
      <c r="C33" s="168" t="str">
        <f>"Did not provide sputum"&amp;"(N="&amp;'Aim 1 - Household Contacts'!P73&amp;"("&amp;TEXT('Aim 1 - Household Contacts'!Q73,"0%")&amp;"))"</f>
        <v>Did not provide sputum(N=0(-))</v>
      </c>
      <c r="D33" s="168"/>
      <c r="F33" s="195"/>
      <c r="G33" s="204"/>
      <c r="H33" s="155"/>
      <c r="I33" s="155"/>
      <c r="J33" s="155"/>
      <c r="K33" s="155"/>
    </row>
    <row r="34" spans="2:12" x14ac:dyDescent="0.3">
      <c r="B34" s="168" t="s">
        <v>970</v>
      </c>
      <c r="C34" s="168" t="str">
        <f>""&amp;B34&amp;CHAR(10)&amp;"(N="&amp;'Aim 1 - Household Contacts'!P74&amp;")"</f>
        <v xml:space="preserve">    Provided sputum
(N=0)</v>
      </c>
      <c r="D34" s="168" t="str">
        <f>"Missing Data = "&amp;'Aim 1 - Household Contacts'!P67&amp;"("&amp;TEXT('Aim 1 - Household Contacts'!Q67,"0%")&amp;")"</f>
        <v>Missing Data = 0(-)</v>
      </c>
      <c r="F34" s="195"/>
      <c r="G34" s="204"/>
      <c r="H34" s="155"/>
      <c r="I34" s="155"/>
      <c r="J34" s="155"/>
      <c r="K34" s="155"/>
    </row>
    <row r="35" spans="2:12" x14ac:dyDescent="0.3">
      <c r="B35" s="168" t="s">
        <v>971</v>
      </c>
      <c r="C35" s="168" t="str">
        <f>""&amp;'Aim 1 - Household Contacts'!P75&amp;"("&amp;TEXT('Aim 1 - Household Contacts'!Q75,"0%")&amp;")"</f>
        <v>0(-)</v>
      </c>
      <c r="D35" s="168"/>
      <c r="F35" s="195"/>
      <c r="G35" s="204"/>
      <c r="H35" s="155"/>
      <c r="I35" s="155"/>
      <c r="J35" s="155"/>
      <c r="K35" s="155"/>
    </row>
    <row r="36" spans="2:12" x14ac:dyDescent="0.3">
      <c r="B36" s="168" t="s">
        <v>972</v>
      </c>
      <c r="C36" s="168" t="str">
        <f>""&amp;'Aim 1 - Household Contacts'!P76&amp;"("&amp;TEXT('Aim 1 - Household Contacts'!Q76,"0%")&amp;")"</f>
        <v>0(-)</v>
      </c>
      <c r="D36" s="168"/>
      <c r="F36" s="195"/>
      <c r="G36" s="204"/>
      <c r="H36" s="155"/>
      <c r="I36" s="155"/>
      <c r="J36" s="155"/>
      <c r="K36" s="155"/>
    </row>
    <row r="37" spans="2:12" x14ac:dyDescent="0.3">
      <c r="B37" s="168" t="s">
        <v>979</v>
      </c>
      <c r="C37" s="168" t="str">
        <f>""&amp;'Aim 1 - Household Contacts'!P77&amp;"("&amp;TEXT('Aim 1 - Household Contacts'!Q77,"0%")&amp;")"</f>
        <v>0(-)</v>
      </c>
      <c r="D37" s="168"/>
      <c r="F37" s="195"/>
      <c r="G37" s="204"/>
      <c r="H37" s="155"/>
      <c r="I37" s="155"/>
      <c r="J37" s="155"/>
      <c r="K37" s="155"/>
    </row>
    <row r="38" spans="2:12" x14ac:dyDescent="0.3">
      <c r="B38" s="168" t="s">
        <v>982</v>
      </c>
      <c r="C38" s="168"/>
      <c r="D38" s="168"/>
      <c r="F38" s="195"/>
      <c r="G38" s="204"/>
      <c r="H38" s="155"/>
      <c r="I38" s="155"/>
      <c r="J38" s="155"/>
      <c r="K38" s="155"/>
      <c r="L38" s="154"/>
    </row>
    <row r="39" spans="2:12" x14ac:dyDescent="0.3">
      <c r="B39" s="168" t="s">
        <v>983</v>
      </c>
      <c r="C39" s="168" t="str">
        <f>""&amp;'Aim 1 - Household Contacts'!S67&amp;"("&amp;TEXT('Aim 1 - Household Contacts'!T67,"0%")&amp;")"</f>
        <v>0(-)</v>
      </c>
      <c r="D39" s="168"/>
      <c r="F39" s="195"/>
      <c r="G39" s="204"/>
      <c r="H39" s="155"/>
      <c r="I39" s="155"/>
      <c r="J39" s="155"/>
      <c r="K39" s="155"/>
      <c r="L39" s="154"/>
    </row>
    <row r="40" spans="2:12" x14ac:dyDescent="0.3">
      <c r="B40" s="168" t="s">
        <v>975</v>
      </c>
      <c r="C40" s="168" t="str">
        <f>""&amp;'Aim 1 - Household Contacts'!S68&amp;"("&amp;TEXT('Aim 1 - Household Contacts'!T68,"0%")&amp;")"</f>
        <v>0(-)</v>
      </c>
      <c r="D40" s="168" t="str">
        <f>"Did not present = "&amp;'Aim 1 - Household Contacts'!S68&amp;"("&amp;TEXT('Aim 1 - Household Contacts'!T68,"0%")&amp;")"</f>
        <v>Did not present = 0(-)</v>
      </c>
      <c r="F40" s="195"/>
      <c r="G40" s="155"/>
      <c r="H40" s="155"/>
      <c r="I40" s="155"/>
      <c r="J40" s="155"/>
      <c r="K40" s="155"/>
      <c r="L40" s="154"/>
    </row>
    <row r="41" spans="2:12" x14ac:dyDescent="0.3">
      <c r="B41" s="168" t="s">
        <v>969</v>
      </c>
      <c r="C41" s="168" t="str">
        <f>""&amp;'Aim 1 - Household Contacts'!S69&amp;"("&amp;TEXT('Aim 1 - Household Contacts'!T69,"0%")&amp;")"</f>
        <v>0(-)</v>
      </c>
      <c r="D41" s="168" t="str">
        <f>"Presented (N="&amp;'Aim 1 - Household Contacts'!S69&amp;"("&amp;TEXT('Aim 1 - Household Contacts'!T69,"0%")&amp;"))"</f>
        <v>Presented (N=0(-))</v>
      </c>
      <c r="F41" s="195"/>
      <c r="G41" s="155"/>
      <c r="H41" s="155"/>
      <c r="I41" s="155"/>
      <c r="J41" s="155"/>
      <c r="K41" s="155"/>
      <c r="L41" s="154"/>
    </row>
    <row r="42" spans="2:12" x14ac:dyDescent="0.3">
      <c r="B42" s="168" t="s">
        <v>976</v>
      </c>
      <c r="C42" s="168" t="str">
        <f>""&amp;'Aim 1 - Household Contacts'!S70&amp;"("&amp;TEXT('Aim 1 - Household Contacts'!T70,"0%")&amp;")"</f>
        <v>0(-)</v>
      </c>
      <c r="D42" s="168"/>
      <c r="F42" s="195"/>
      <c r="G42" s="155"/>
      <c r="H42" s="155"/>
      <c r="I42" s="155"/>
      <c r="J42" s="155"/>
      <c r="K42" s="155"/>
      <c r="L42" s="154"/>
    </row>
    <row r="43" spans="2:12" x14ac:dyDescent="0.3">
      <c r="B43" s="168" t="s">
        <v>977</v>
      </c>
      <c r="C43" s="168" t="str">
        <f>""&amp;'Aim 1 - Household Contacts'!S71&amp;"("&amp;TEXT('Aim 1 - Household Contacts'!T71,"0%")&amp;")"</f>
        <v>0(-)</v>
      </c>
      <c r="D43" s="168"/>
      <c r="F43" s="195"/>
      <c r="G43" s="155"/>
      <c r="H43" s="155"/>
      <c r="I43" s="155"/>
      <c r="J43" s="155"/>
      <c r="K43" s="155"/>
      <c r="L43" s="154"/>
    </row>
    <row r="44" spans="2:12" x14ac:dyDescent="0.3">
      <c r="B44" s="168" t="s">
        <v>978</v>
      </c>
      <c r="C44" s="168" t="str">
        <f>""&amp;'Aim 1 - Household Contacts'!S72&amp;"("&amp;TEXT('Aim 1 - Household Contacts'!T72,"0%")&amp;")"</f>
        <v>0(-)</v>
      </c>
      <c r="D44" s="168"/>
      <c r="F44" s="195"/>
      <c r="G44" s="155"/>
      <c r="H44" s="155"/>
      <c r="I44" s="155"/>
      <c r="J44" s="155"/>
      <c r="K44" s="155"/>
      <c r="L44" s="154"/>
    </row>
    <row r="45" spans="2:12" x14ac:dyDescent="0.3">
      <c r="B45" s="168" t="s">
        <v>986</v>
      </c>
      <c r="C45" s="168" t="str">
        <f>"Did not provide sputum"&amp;"(N="&amp;'Aim 1 - Household Contacts'!S73&amp;"("&amp;TEXT('Aim 1 - Household Contacts'!T73,"0%")&amp;"))"</f>
        <v>Did not provide sputum(N=0(-))</v>
      </c>
      <c r="D45" s="168"/>
      <c r="F45" s="195"/>
      <c r="G45" s="155"/>
      <c r="H45" s="155"/>
      <c r="I45" s="155"/>
      <c r="J45" s="155"/>
      <c r="K45" s="155"/>
      <c r="L45" s="154"/>
    </row>
    <row r="46" spans="2:12" x14ac:dyDescent="0.3">
      <c r="B46" s="168" t="s">
        <v>970</v>
      </c>
      <c r="C46" s="168" t="str">
        <f>""&amp;B46&amp;CHAR(10)&amp;"(N="&amp;'Aim 1 - Household Contacts'!S74&amp;")"</f>
        <v xml:space="preserve">    Provided sputum
(N=0)</v>
      </c>
      <c r="D46" s="168"/>
      <c r="F46" s="195"/>
      <c r="G46" s="155"/>
      <c r="H46" s="155"/>
      <c r="I46" s="155"/>
      <c r="J46" s="155"/>
      <c r="K46" s="155"/>
    </row>
    <row r="47" spans="2:12" x14ac:dyDescent="0.3">
      <c r="B47" s="168" t="s">
        <v>971</v>
      </c>
      <c r="C47" s="168" t="str">
        <f>""&amp;'Aim 1 - Household Contacts'!S75&amp;"("&amp;TEXT('Aim 1 - Household Contacts'!T75,"0%")&amp;")"</f>
        <v>0(-)</v>
      </c>
      <c r="D47" s="168"/>
      <c r="F47" s="195"/>
      <c r="G47" s="204"/>
      <c r="H47" s="155"/>
      <c r="I47" s="155"/>
      <c r="J47" s="155"/>
      <c r="K47" s="155"/>
    </row>
    <row r="48" spans="2:12" x14ac:dyDescent="0.3">
      <c r="B48" s="168" t="s">
        <v>972</v>
      </c>
      <c r="C48" s="168" t="str">
        <f>""&amp;'Aim 1 - Household Contacts'!S76&amp;"("&amp;TEXT('Aim 1 - Household Contacts'!T76,"0%")&amp;")"</f>
        <v>0(-)</v>
      </c>
      <c r="D48" s="168"/>
      <c r="F48" s="195"/>
      <c r="G48" s="204"/>
      <c r="H48" s="155"/>
      <c r="I48" s="155"/>
      <c r="J48" s="155"/>
      <c r="K48" s="155"/>
    </row>
    <row r="49" spans="2:14" x14ac:dyDescent="0.3">
      <c r="B49" s="168" t="s">
        <v>979</v>
      </c>
      <c r="C49" s="168" t="str">
        <f>""&amp;'Aim 1 - Household Contacts'!S77&amp;"("&amp;TEXT('Aim 1 - Household Contacts'!T77,"0%")&amp;")"</f>
        <v>0(-)</v>
      </c>
      <c r="F49" s="195"/>
      <c r="G49" s="204"/>
      <c r="H49" s="155"/>
      <c r="I49" s="155"/>
      <c r="J49" s="155"/>
      <c r="K49" s="155"/>
      <c r="N49" t="s">
        <v>988</v>
      </c>
    </row>
    <row r="50" spans="2:14" x14ac:dyDescent="0.3">
      <c r="B50" s="168" t="s">
        <v>980</v>
      </c>
      <c r="C50" s="168" t="str">
        <f>""&amp;'Aim 1 - Household Contacts'!P75&amp;"("&amp;TEXT('Aim 1 - Household Contacts'!Q75,"0%")&amp;")"</f>
        <v>0(-)</v>
      </c>
      <c r="F50" s="195"/>
      <c r="G50" s="204"/>
      <c r="H50" s="155"/>
      <c r="I50" s="155"/>
      <c r="J50" s="155"/>
      <c r="K50" s="155"/>
    </row>
    <row r="51" spans="2:14" x14ac:dyDescent="0.3">
      <c r="B51" s="168" t="s">
        <v>984</v>
      </c>
      <c r="C51" s="168" t="str">
        <f>""&amp;'Aim 1 - Household Contacts'!V67&amp;"("&amp;TEXT('Aim 1 - Household Contacts'!W67,"0%")&amp;")"</f>
        <v>0(-)</v>
      </c>
      <c r="F51" s="195"/>
      <c r="G51" s="204"/>
      <c r="H51" s="155"/>
      <c r="I51" s="155"/>
      <c r="J51" s="155"/>
      <c r="K51" s="155"/>
    </row>
    <row r="52" spans="2:14" x14ac:dyDescent="0.3">
      <c r="B52" s="168" t="s">
        <v>975</v>
      </c>
      <c r="C52" s="168" t="str">
        <f>""&amp;'Aim 1 - Household Contacts'!V68&amp;"("&amp;TEXT('Aim 1 - Household Contacts'!W68,"0%")&amp;")"</f>
        <v>0(-)</v>
      </c>
      <c r="D52" s="194" t="str">
        <f>"Did not present = "&amp;'Aim 1 - Household Contacts'!V68&amp;"("&amp;TEXT('Aim 1 - Household Contacts'!W68,"0%")&amp;")"</f>
        <v>Did not present = 0(-)</v>
      </c>
      <c r="F52" s="195"/>
      <c r="G52" s="204"/>
      <c r="H52" s="155"/>
      <c r="I52" s="155"/>
      <c r="J52" s="155"/>
      <c r="K52" s="155"/>
    </row>
    <row r="53" spans="2:14" x14ac:dyDescent="0.3">
      <c r="B53" s="168" t="s">
        <v>969</v>
      </c>
      <c r="C53" s="168" t="str">
        <f>""&amp;'Aim 1 - Household Contacts'!V69&amp;"("&amp;TEXT('Aim 1 - Household Contacts'!W69,"0%")&amp;")"</f>
        <v>0(-)</v>
      </c>
      <c r="D53" s="194" t="str">
        <f>"Presented (N="&amp;'Aim 1 - Household Contacts'!V69&amp;"("&amp;TEXT('Aim 1 - Household Contacts'!W69,"0%")&amp;"))"</f>
        <v>Presented (N=0(-))</v>
      </c>
      <c r="F53" s="195"/>
      <c r="G53" s="204"/>
      <c r="H53" s="155"/>
      <c r="I53" s="155"/>
      <c r="J53" s="155"/>
      <c r="K53" s="155"/>
    </row>
    <row r="54" spans="2:14" x14ac:dyDescent="0.3">
      <c r="B54" s="168" t="s">
        <v>976</v>
      </c>
      <c r="C54" s="168" t="str">
        <f>""&amp;'Aim 1 - Household Contacts'!V70&amp;"("&amp;TEXT('Aim 1 - Household Contacts'!W70,"0%")&amp;")"</f>
        <v>0(-)</v>
      </c>
      <c r="F54" s="195"/>
      <c r="G54" s="204"/>
      <c r="H54" s="155"/>
      <c r="I54" s="155"/>
      <c r="J54" s="155"/>
      <c r="K54" s="155"/>
    </row>
    <row r="55" spans="2:14" x14ac:dyDescent="0.3">
      <c r="B55" s="168" t="s">
        <v>977</v>
      </c>
      <c r="C55" s="168" t="str">
        <f>""&amp;'Aim 1 - Household Contacts'!V71&amp;"("&amp;TEXT('Aim 1 - Household Contacts'!W71,"0%")&amp;")"</f>
        <v>0(-)</v>
      </c>
      <c r="F55" s="195"/>
      <c r="G55" s="204"/>
      <c r="H55" s="155"/>
      <c r="I55" s="155"/>
      <c r="J55" s="155"/>
      <c r="K55" s="155"/>
    </row>
    <row r="56" spans="2:14" x14ac:dyDescent="0.3">
      <c r="B56" s="168" t="s">
        <v>978</v>
      </c>
      <c r="C56" s="168" t="str">
        <f>""&amp;'Aim 1 - Household Contacts'!I72&amp;"("&amp;TEXT('Aim 1 - Household Contacts'!J72,"0%")&amp;")"</f>
        <v>0(-)</v>
      </c>
      <c r="F56" s="195"/>
      <c r="G56" s="204"/>
      <c r="H56" s="155"/>
      <c r="I56" s="155"/>
      <c r="J56" s="155"/>
      <c r="K56" s="155"/>
    </row>
    <row r="57" spans="2:14" x14ac:dyDescent="0.3">
      <c r="B57" s="168" t="s">
        <v>986</v>
      </c>
      <c r="C57" s="168" t="str">
        <f>"Did not provide sputum"&amp;"(N="&amp;'Aim 1 - Household Contacts'!I73&amp;"("&amp;TEXT('Aim 1 - Household Contacts'!J73,"0%")&amp;"))"</f>
        <v>Did not provide sputum(N=0(-))</v>
      </c>
      <c r="F57" s="195"/>
      <c r="G57" s="204"/>
      <c r="H57" s="155"/>
      <c r="I57" s="155"/>
      <c r="J57" s="155"/>
      <c r="K57" s="155"/>
    </row>
    <row r="58" spans="2:14" x14ac:dyDescent="0.3">
      <c r="B58" s="168" t="s">
        <v>970</v>
      </c>
      <c r="C58" s="168" t="str">
        <f>""&amp;B58&amp;CHAR(10)&amp;"(N="&amp;'Aim 1 - Household Contacts'!I74&amp;")"</f>
        <v xml:space="preserve">    Provided sputum
(N=0)</v>
      </c>
      <c r="F58" s="195"/>
      <c r="G58" s="204"/>
      <c r="H58" s="155"/>
      <c r="I58" s="155"/>
      <c r="J58" s="155"/>
      <c r="K58" s="155"/>
    </row>
    <row r="59" spans="2:14" x14ac:dyDescent="0.3">
      <c r="B59" s="168" t="s">
        <v>971</v>
      </c>
      <c r="C59" s="168" t="str">
        <f>""&amp;'Aim 1 - Household Contacts'!I75&amp;"("&amp;TEXT('Aim 1 - Household Contacts'!J75,"0%")&amp;")"</f>
        <v>0(-)</v>
      </c>
      <c r="F59" s="195"/>
      <c r="G59" s="155"/>
      <c r="H59" s="155"/>
      <c r="I59" s="155"/>
      <c r="J59" s="155"/>
      <c r="K59" s="155"/>
    </row>
    <row r="60" spans="2:14" x14ac:dyDescent="0.3">
      <c r="B60" s="168" t="s">
        <v>972</v>
      </c>
      <c r="C60" s="168" t="str">
        <f>""&amp;'Aim 1 - Household Contacts'!I76&amp;"("&amp;TEXT('Aim 1 - Household Contacts'!J76,"0%")&amp;")"</f>
        <v>0(-)</v>
      </c>
      <c r="F60" s="195"/>
      <c r="G60" s="155"/>
      <c r="H60" s="155"/>
      <c r="I60" s="155"/>
      <c r="J60" s="155"/>
      <c r="K60" s="155"/>
    </row>
    <row r="61" spans="2:14" x14ac:dyDescent="0.3">
      <c r="B61" s="168" t="s">
        <v>979</v>
      </c>
      <c r="C61" s="168" t="str">
        <f>""&amp;'Aim 1 - Household Contacts'!I77&amp;"("&amp;TEXT('Aim 1 - Household Contacts'!J77,"0%")&amp;")"</f>
        <v>0(-)</v>
      </c>
      <c r="G61" s="155"/>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N61"/>
  <sheetViews>
    <sheetView showGridLines="0" topLeftCell="E64" zoomScaleNormal="100" workbookViewId="0">
      <selection activeCell="B1" sqref="B1:E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55" customWidth="1"/>
    <col min="7" max="7" width="32.21875" style="155" customWidth="1" collapsed="1"/>
    <col min="8" max="8" width="4.44140625" customWidth="1"/>
  </cols>
  <sheetData>
    <row r="1" spans="2:11" x14ac:dyDescent="0.3">
      <c r="H1" s="155"/>
      <c r="I1" s="155"/>
      <c r="J1" s="155"/>
      <c r="K1" s="155"/>
    </row>
    <row r="2" spans="2:11" x14ac:dyDescent="0.3">
      <c r="B2" s="168" t="s">
        <v>916</v>
      </c>
      <c r="C2" s="206" t="str">
        <f>""&amp;'Aim 1 - Index Patients'!S4</f>
        <v>2</v>
      </c>
      <c r="D2" s="168"/>
      <c r="H2" s="155"/>
      <c r="I2" s="155"/>
      <c r="J2" s="155"/>
      <c r="K2" s="155"/>
    </row>
    <row r="3" spans="2:11" x14ac:dyDescent="0.3">
      <c r="B3" s="168" t="s">
        <v>917</v>
      </c>
      <c r="C3" s="206" t="str">
        <f>""&amp;'Aim 1 - Index Patients'!S5&amp;"("&amp;TEXT('Aim 1 - Index Patients'!T5,"0%")&amp;")"</f>
        <v>1(50%)</v>
      </c>
      <c r="D3" s="168" t="str">
        <f>"Not Eligible (excl. &lt;18) = "&amp;'Aim 1 - Index Patients'!S13&amp;"("&amp;TEXT('Aim 1 - Index Patients'!T13,"0%")&amp;")"&amp;CHAR(10)&amp;"     Lives outside study communities = "&amp;'Aim 1 - Index Patients'!S8&amp;"("&amp;TEXT('Aim 1 - Index Patients'!T8,"0%")&amp;")"&amp;CHAR(10)&amp;"     Not Pulmonary TB Positive = "&amp;'Aim 1 - Index Patients'!S9&amp;"("&amp;TEXT('Aim 1 - Index Patients'!T9,"0%")&amp;")"&amp;CHAR(10)&amp;"     Not fluent in Xhosa or English = "&amp;'Aim 1 - Index Patients'!S10&amp;"("&amp;TEXT('Aim 1 - Index Patients'!T10,"0%")&amp;")"&amp;CHAR(10)&amp;"     No household contacts = "&amp;'Aim 1 - Index Patients'!S11&amp;"("&amp;TEXT('Aim 1 - Index Patients'!T11,"0%")&amp;")"&amp;CHAR(10)&amp;"     Enrolled on other Cohort / HHC = "&amp;'Aim 1 - Index Patients'!S12&amp;"("&amp;TEXT('Aim 1 - Index Patients'!T12,"0%")&amp;")"&amp;CHAR(10)</f>
        <v xml:space="preserve">Not Eligible (excl. &lt;18) = 0(-)
     Lives outside study communities = 1(100%)
     Not Pulmonary TB Positive = 1(100%)
     Not fluent in Xhosa or English = 1(100%)
     No household contacts = 1(100%)
     Enrolled on other Cohort / HHC = 1(100%)
</v>
      </c>
      <c r="E3" s="194" t="str">
        <f>"Age &lt;18 years = "&amp;'Aim 1 - Index Patients'!C7&amp;"("&amp;TEXT('Aim 1 - Index Patients'!D7,"0%")&amp;")"</f>
        <v>Age &lt;18 years = 1(100%)</v>
      </c>
      <c r="H3" s="155"/>
      <c r="I3" s="155"/>
      <c r="J3" s="155"/>
      <c r="K3" s="155"/>
    </row>
    <row r="4" spans="2:11" x14ac:dyDescent="0.3">
      <c r="B4" s="168" t="s">
        <v>967</v>
      </c>
      <c r="C4" s="206" t="str">
        <f>""&amp;'Aim 1 - Index Patients'!S7&amp;"("&amp;TEXT('Aim 1 - Index Patients'!T7,"0%")&amp;")"</f>
        <v>1(100%)</v>
      </c>
      <c r="D4" s="168"/>
      <c r="H4" s="155"/>
      <c r="I4" s="155"/>
      <c r="J4" s="155"/>
      <c r="K4" s="155"/>
    </row>
    <row r="5" spans="2:11" x14ac:dyDescent="0.3">
      <c r="B5" s="168" t="s">
        <v>926</v>
      </c>
      <c r="C5" s="206" t="str">
        <f>""&amp;'Aim 1 - Index Patients'!T32&amp;"("&amp;TEXT('Aim 1 - Index Patients'!U32,"0%")&amp;")"</f>
        <v>0(-)</v>
      </c>
      <c r="D5" s="168"/>
      <c r="H5" s="155"/>
      <c r="I5" s="155"/>
      <c r="J5" s="155"/>
      <c r="K5" s="155"/>
    </row>
    <row r="6" spans="2:11" x14ac:dyDescent="0.3">
      <c r="B6" s="168" t="s">
        <v>927</v>
      </c>
      <c r="C6" s="206" t="str">
        <f>""&amp;'Aim 1 - Index Patients'!T41&amp;"("&amp;TEXT('Aim 1 - Index Patients'!U41,"0%")&amp;")"</f>
        <v>0(-)</v>
      </c>
      <c r="D6" s="168" t="str">
        <f>"Not Enrolled = "&amp;'Aim 1 - Index Patients'!S26&amp;"("&amp;TEXT('Aim 1 - Index Patients'!T26,"0%")&amp;")"&amp;CHAR(10)&amp;
"     Cannot Comprehend = "&amp;'Aim 1 - Index Patients'!S19&amp;"("&amp;TEXT('Aim 1 - Index Patients'!T19,"0%")&amp;")"&amp;CHAR(10)&amp;
"     Refused to participate = "&amp;'Aim 1 - Index Patients'!S20&amp;"("&amp;TEXT('Aim 1 - Index Patients'!T20,"0%")&amp;")"</f>
        <v>Not Enrolled = (0%)
     Cannot Comprehend = 1(100%)
     Refused to participate = 1(100%)</v>
      </c>
      <c r="H6" s="155"/>
      <c r="I6" s="155"/>
      <c r="J6" s="155"/>
      <c r="K6" s="155"/>
    </row>
    <row r="7" spans="2:11" x14ac:dyDescent="0.3">
      <c r="B7" s="168" t="s">
        <v>928</v>
      </c>
      <c r="C7" s="206" t="str">
        <f>""&amp;'Aim 1 - Index Patients'!T42&amp;"("&amp;TEXT('Aim 1 - Index Patients'!U42,"0%")&amp;")"</f>
        <v>0(-)</v>
      </c>
      <c r="D7" s="168"/>
      <c r="H7" s="155"/>
      <c r="I7" s="155"/>
      <c r="J7" s="155"/>
      <c r="K7" s="155"/>
    </row>
    <row r="8" spans="2:11" x14ac:dyDescent="0.3">
      <c r="B8" s="168" t="s">
        <v>929</v>
      </c>
      <c r="C8" s="206" t="str">
        <f>""&amp;'Aim 1 - Index Patients'!T33&amp;"("&amp;TEXT('Aim 1 - Index Patients'!U33,"0%")&amp;")"</f>
        <v>0(-)</v>
      </c>
      <c r="D8" s="207" t="str">
        <f>"Excluded:"&amp;CHAR(10)&amp;"Caregiver Not Present = "&amp;'Aim 1 - Index Patients'!T31&amp;"("&amp;TEXT('Aim 1 - Index Patients'!U31,"0%")&amp;")"&amp;CHAR(10)&amp;
"Caregiver Permission Not Granted = "&amp;'Aim 1 - Index Patients'!T34&amp;"("&amp;TEXT('Aim 1 - Index Patients'!U34,"0%")&amp;")"&amp;CHAR(10)</f>
        <v xml:space="preserve">Excluded:
Caregiver Not Present = 0(-)
Caregiver Permission Not Granted = 0(-)
</v>
      </c>
      <c r="E8" s="208"/>
      <c r="H8" s="155"/>
      <c r="I8" s="155"/>
      <c r="J8" s="155"/>
      <c r="K8" s="155"/>
    </row>
    <row r="9" spans="2:11" x14ac:dyDescent="0.3">
      <c r="B9" s="168" t="s">
        <v>920</v>
      </c>
      <c r="C9" s="206" t="str">
        <f>""&amp;'Aim 1 - Household Contacts'!AC6</f>
        <v>0</v>
      </c>
      <c r="D9" s="209" t="str">
        <f>"Pending Household Visits = "&amp;'Aim 1 - Household Contacts'!K13&amp;"("&amp;TEXT('Aim 1 - Household Contacts'!L13,"0%")&amp;")"</f>
        <v>Pending Household Visits = (0%)</v>
      </c>
      <c r="E9" s="195"/>
      <c r="H9" s="155"/>
      <c r="I9" s="155"/>
      <c r="J9" s="155"/>
      <c r="K9" s="155"/>
    </row>
    <row r="10" spans="2:11" x14ac:dyDescent="0.3">
      <c r="B10" s="168" t="s">
        <v>921</v>
      </c>
      <c r="C10" s="206" t="str">
        <f>""&amp;'Aim 1 - Household Contacts'!AC27</f>
        <v>0</v>
      </c>
      <c r="D10" s="209"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5"/>
      <c r="H10" s="155"/>
      <c r="I10" s="155"/>
      <c r="J10" s="155"/>
      <c r="K10" s="155"/>
    </row>
    <row r="11" spans="2:11" x14ac:dyDescent="0.3">
      <c r="B11" s="168" t="s">
        <v>930</v>
      </c>
      <c r="C11" s="168" t="str">
        <f>""&amp;'Aim 1 - Household Contacts'!AC8&amp;"("&amp;TEXT('Aim 1 - Household Contacts'!AD8,"0%")&amp;")"</f>
        <v>0(-)</v>
      </c>
      <c r="D11" s="209"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5"/>
      <c r="H11" s="155"/>
      <c r="I11" s="155"/>
      <c r="J11" s="155"/>
      <c r="K11" s="155"/>
    </row>
    <row r="12" spans="2:11" x14ac:dyDescent="0.3">
      <c r="B12" s="168" t="s">
        <v>931</v>
      </c>
      <c r="C12" s="168" t="str">
        <f>""&amp;'Aim 1 - Household Contacts'!AC35&amp;"("&amp;TEXT('Aim 1 - Household Contacts'!AD35,"0%")&amp;")"</f>
        <v>0(-)</v>
      </c>
      <c r="D12" s="168"/>
      <c r="H12" s="155"/>
      <c r="I12" s="155"/>
      <c r="J12" s="155"/>
      <c r="K12" s="155"/>
    </row>
    <row r="13" spans="2:11" x14ac:dyDescent="0.3">
      <c r="B13" s="168" t="s">
        <v>933</v>
      </c>
      <c r="C13" s="168" t="str">
        <f>""&amp;'Aim 1 - Household Contacts'!AC17&amp;"("&amp;TEXT('Aim 1 - Household Contacts'!AD17,"0%")&amp;")"</f>
        <v>0(-)</v>
      </c>
      <c r="D13" s="168" t="str">
        <f>"Not Presented = "&amp;'Aim 1 - Index Patients'!AK63&amp;"("&amp;TEXT('Aim 1 - Index Patients'!AL63,"0%")&amp;")"&amp;CHAR(10)&amp;
"Not Outcome Yet = "&amp;'Aim 1 - Index Patients'!AK64&amp;"("&amp;TEXT('Aim 1 - Index Patients'!AL64,"0%")&amp;")"&amp;CHAR(10)</f>
        <v xml:space="preserve">Not Presented = (0%)
Not Outcome Yet = (0%)
</v>
      </c>
      <c r="H13" s="155"/>
      <c r="I13" s="155"/>
      <c r="J13" s="155"/>
      <c r="K13" s="155"/>
    </row>
    <row r="14" spans="2:11" x14ac:dyDescent="0.3">
      <c r="B14" s="168" t="s">
        <v>934</v>
      </c>
      <c r="C14" s="168" t="str">
        <f>""&amp;'Aim 1 - Household Contacts'!AC43&amp;"("&amp;TEXT('Aim 1 - Household Contacts'!AD43,"0%")&amp;")"</f>
        <v>0(-)</v>
      </c>
      <c r="D14" s="168"/>
      <c r="H14" s="155"/>
      <c r="I14" s="155"/>
      <c r="J14" s="155"/>
      <c r="K14" s="155"/>
    </row>
    <row r="15" spans="2:11" x14ac:dyDescent="0.3">
      <c r="B15" s="168" t="s">
        <v>932</v>
      </c>
      <c r="C15" s="168" t="str">
        <f>""&amp;'Aim 1 - Household Contacts'!AC17&amp;"("&amp;TEXT('Aim 1 - Household Contacts'!AD17,"0%")&amp;")"</f>
        <v>0(-)</v>
      </c>
      <c r="D15" s="168" t="str">
        <f>"Cannot Comprehend = "&amp;'Aim 1 - Index Patients'!AK19&amp;"("&amp;TEXT('Aim 1 - Index Patients'!AL19,"0%")&amp;")"</f>
        <v>Cannot Comprehend = (0%)</v>
      </c>
      <c r="H15" s="155"/>
      <c r="I15" s="155"/>
      <c r="J15" s="155"/>
      <c r="K15" s="155"/>
    </row>
    <row r="16" spans="2:11" x14ac:dyDescent="0.3">
      <c r="B16" s="168" t="s">
        <v>935</v>
      </c>
      <c r="C16" s="168" t="str">
        <f>""&amp;'Aim 1 - Household Contacts'!AC44&amp;"("&amp;TEXT('Aim 1 - Household Contacts'!AD44,"0%")&amp;")"</f>
        <v>0(-)</v>
      </c>
      <c r="D16" s="168"/>
      <c r="H16" s="155"/>
      <c r="I16" s="155"/>
      <c r="J16" s="155"/>
      <c r="K16" s="155"/>
    </row>
    <row r="17" spans="2:11" x14ac:dyDescent="0.3">
      <c r="B17" s="168" t="s">
        <v>968</v>
      </c>
      <c r="C17" s="168" t="str">
        <f>""&amp;'Aim 1 - Household Contacts'!AC52&amp;"("&amp;TEXT('Aim 1 - Household Contacts'!AD52,"0%")&amp;")"</f>
        <v>0(-)</v>
      </c>
      <c r="D17" s="168"/>
      <c r="H17" s="155"/>
      <c r="I17" s="155"/>
      <c r="J17" s="155"/>
      <c r="K17" s="155"/>
    </row>
    <row r="18" spans="2:11" x14ac:dyDescent="0.3">
      <c r="B18" s="168" t="s">
        <v>981</v>
      </c>
      <c r="C18" s="168" t="str">
        <f>""&amp;'Aim 1 - Household Contacts'!AF59&amp;"("&amp;TEXT('Aim 1 - Household Contacts'!AG59,"0%")&amp;")"</f>
        <v>0(-)</v>
      </c>
      <c r="D18" s="168"/>
      <c r="H18" s="155"/>
      <c r="I18" s="155"/>
      <c r="J18" s="155"/>
      <c r="K18" s="155"/>
    </row>
    <row r="19" spans="2:11" x14ac:dyDescent="0.3">
      <c r="B19" s="168" t="s">
        <v>969</v>
      </c>
      <c r="C19" s="168" t="str">
        <f>""&amp;'Aim 1 - Household Contacts'!AF60&amp;"("&amp;TEXT('Aim 1 - Household Contacts'!AG60,"0%")&amp;")"</f>
        <v>0(-)</v>
      </c>
      <c r="D19" s="168"/>
      <c r="H19" s="155"/>
      <c r="I19" s="155"/>
      <c r="J19" s="155"/>
      <c r="K19" s="155"/>
    </row>
    <row r="20" spans="2:11" x14ac:dyDescent="0.3">
      <c r="B20" s="168" t="s">
        <v>986</v>
      </c>
      <c r="C20" s="168" t="str">
        <f>"Did not provide sputum"&amp;"(N="&amp;'Aim 1 - Household Contacts'!AF61&amp;"("&amp;TEXT('Aim 1 - Household Contacts'!AG61,"0%")&amp;"))"</f>
        <v>Did not provide sputum(N=0(-))</v>
      </c>
      <c r="D20" s="168"/>
      <c r="H20" s="155"/>
      <c r="I20" s="155"/>
      <c r="J20" s="155"/>
      <c r="K20" s="155"/>
    </row>
    <row r="21" spans="2:11" x14ac:dyDescent="0.3">
      <c r="B21" s="168" t="s">
        <v>970</v>
      </c>
      <c r="C21" s="168" t="s">
        <v>993</v>
      </c>
      <c r="D21" s="168" t="str">
        <f>"Did not present = "&amp;'Aim 1 - Household Contacts'!AC68&amp;"("&amp;TEXT('Aim 1 - Household Contacts'!AD68,"0%")&amp;")"</f>
        <v>Did not present = 0(-)</v>
      </c>
      <c r="H21" s="155"/>
      <c r="I21" s="155"/>
      <c r="J21" s="155"/>
      <c r="K21" s="155"/>
    </row>
    <row r="22" spans="2:11" x14ac:dyDescent="0.3">
      <c r="B22" s="168" t="s">
        <v>971</v>
      </c>
      <c r="C22" s="168" t="str">
        <f>""&amp;'Aim 1 - Household Contacts'!AF63&amp;"("&amp;TEXT('Aim 1 - Household Contacts'!AG63,"0%")&amp;")"</f>
        <v>0(-)</v>
      </c>
      <c r="D22" s="168"/>
      <c r="H22" s="155"/>
      <c r="I22" s="155"/>
      <c r="J22" s="155"/>
      <c r="K22" s="155"/>
    </row>
    <row r="23" spans="2:11" x14ac:dyDescent="0.3">
      <c r="B23" s="168" t="s">
        <v>972</v>
      </c>
      <c r="C23" s="168" t="str">
        <f>""&amp;'Aim 1 - Household Contacts'!AF64&amp;"("&amp;TEXT('Aim 1 - Household Contacts'!AG64,"0%")&amp;")"</f>
        <v>0(-)</v>
      </c>
      <c r="D23" s="168"/>
      <c r="H23" s="155"/>
      <c r="I23" s="155"/>
      <c r="J23" s="155"/>
      <c r="K23" s="155"/>
    </row>
    <row r="24" spans="2:11" x14ac:dyDescent="0.3">
      <c r="B24" s="168" t="s">
        <v>973</v>
      </c>
      <c r="C24" s="168" t="str">
        <f>""&amp;'Aim 1 - Household Contacts'!AF65&amp;"("&amp;TEXT('Aim 1 - Household Contacts'!AG65,"0%")&amp;")"</f>
        <v>0(-)</v>
      </c>
      <c r="D24" s="168"/>
      <c r="H24" s="155"/>
      <c r="I24" s="155"/>
      <c r="J24" s="155"/>
      <c r="K24" s="155"/>
    </row>
    <row r="25" spans="2:11" x14ac:dyDescent="0.3">
      <c r="B25" s="168" t="s">
        <v>974</v>
      </c>
      <c r="C25" s="168" t="str">
        <f>""&amp;'Aim 1 - Household Contacts'!AL59&amp;"("&amp;TEXT('Aim 1 - Household Contacts'!AM59,"0%")&amp;")"</f>
        <v>45(-)</v>
      </c>
      <c r="D25" s="168"/>
      <c r="H25" s="155"/>
      <c r="I25" s="155"/>
      <c r="J25" s="155"/>
      <c r="K25" s="155"/>
    </row>
    <row r="26" spans="2:11" x14ac:dyDescent="0.3">
      <c r="B26" s="168" t="s">
        <v>982</v>
      </c>
      <c r="C26" s="168" t="str">
        <f>""&amp;'Aim 1 - Household Contacts'!AC53&amp;"("&amp;TEXT('Aim 1 - Household Contacts'!AD53,"0%")&amp;")"</f>
        <v>0(-)</v>
      </c>
      <c r="D26" s="168" t="str">
        <f>"Not Outcome Yet = "&amp;'Aim 1 - Household Contacts'!AL79&amp;"("&amp;TEXT('Aim 1 - Household Contacts'!AM79,"0%")&amp;")"&amp;CHAR(10)&amp;
"Discordant = "&amp;'Aim 1 - Household Contacts'!AI78&amp;"("&amp;TEXT('Aim 1 - Household Contacts'!AJ78,"0%")&amp;")"</f>
        <v>Not Outcome Yet = 0(-)
Discordant = 0(-)</v>
      </c>
      <c r="H26" s="155"/>
      <c r="I26" s="155"/>
      <c r="J26" s="155"/>
      <c r="K26" s="155"/>
    </row>
    <row r="27" spans="2:11" x14ac:dyDescent="0.3">
      <c r="B27" s="168" t="s">
        <v>981</v>
      </c>
      <c r="C27" s="168" t="str">
        <f>""&amp;'Aim 1 - Household Contacts'!AC67&amp;"("&amp;TEXT('Aim 1 - Household Contacts'!AD67,"0%")&amp;")"</f>
        <v>0(-)</v>
      </c>
      <c r="D27" s="168"/>
      <c r="H27" s="155"/>
      <c r="I27" s="155"/>
      <c r="J27" s="155"/>
      <c r="K27" s="155"/>
    </row>
    <row r="28" spans="2:11" x14ac:dyDescent="0.3">
      <c r="B28" s="168" t="s">
        <v>975</v>
      </c>
      <c r="C28" s="168" t="str">
        <f>""&amp;'Aim 1 - Household Contacts'!AC68&amp;"("&amp;TEXT('Aim 1 - Household Contacts'!AD68,"0%")&amp;")"</f>
        <v>0(-)</v>
      </c>
      <c r="D28" s="168" t="str">
        <f>"Did not present = "&amp;'Aim 1 - Household Contacts'!AC68&amp;"("&amp;TEXT('Aim 1 - Household Contacts'!AD68,"0%")&amp;")"</f>
        <v>Did not present = 0(-)</v>
      </c>
      <c r="H28" s="155"/>
      <c r="I28" s="155"/>
      <c r="J28" s="155"/>
      <c r="K28" s="155"/>
    </row>
    <row r="29" spans="2:11" x14ac:dyDescent="0.3">
      <c r="B29" s="168" t="s">
        <v>969</v>
      </c>
      <c r="C29" s="168" t="str">
        <f>""&amp;'Aim 1 - Household Contacts'!AC69&amp;"("&amp;TEXT('Aim 1 - Household Contacts'!AD69,"0%")&amp;")"</f>
        <v>0(-)</v>
      </c>
      <c r="D29" s="168" t="str">
        <f>"Presented (N="&amp;'Aim 1 - Household Contacts'!AC69&amp;"("&amp;TEXT('Aim 1 - Household Contacts'!AD69,"0%")&amp;"))"</f>
        <v>Presented (N=0(-))</v>
      </c>
      <c r="H29" s="155"/>
      <c r="I29" s="155"/>
      <c r="J29" s="155"/>
      <c r="K29" s="155"/>
    </row>
    <row r="30" spans="2:11" x14ac:dyDescent="0.3">
      <c r="B30" s="168" t="s">
        <v>976</v>
      </c>
      <c r="C30" s="168" t="str">
        <f>""&amp;'Aim 1 - Household Contacts'!AC70&amp;"("&amp;TEXT('Aim 1 - Household Contacts'!AD70,"0%")&amp;")"</f>
        <v>0(-)</v>
      </c>
      <c r="D30" s="168"/>
      <c r="H30" s="155"/>
      <c r="I30" s="155"/>
      <c r="J30" s="155"/>
      <c r="K30" s="155"/>
    </row>
    <row r="31" spans="2:11" x14ac:dyDescent="0.3">
      <c r="B31" s="168" t="s">
        <v>977</v>
      </c>
      <c r="C31" s="168" t="str">
        <f>""&amp;'Aim 1 - Household Contacts'!AC71&amp;"("&amp;TEXT('Aim 1 - Household Contacts'!AD71,"0%")&amp;")"</f>
        <v>0(-)</v>
      </c>
      <c r="D31" s="168"/>
      <c r="F31" s="204"/>
      <c r="G31" s="204"/>
      <c r="H31" s="155"/>
      <c r="I31" s="155"/>
      <c r="J31" s="155"/>
      <c r="K31" s="155"/>
    </row>
    <row r="32" spans="2:11" x14ac:dyDescent="0.3">
      <c r="B32" s="168" t="s">
        <v>978</v>
      </c>
      <c r="C32" s="168" t="str">
        <f>""&amp;'Aim 1 - Household Contacts'!AC72&amp;"("&amp;TEXT('Aim 1 - Household Contacts'!AD72,"0%")&amp;")"</f>
        <v>0(-)</v>
      </c>
      <c r="D32" s="168"/>
      <c r="F32" s="204"/>
      <c r="G32" s="204"/>
      <c r="H32" s="155"/>
      <c r="I32" s="155"/>
      <c r="J32" s="155"/>
      <c r="K32" s="155"/>
    </row>
    <row r="33" spans="2:12" x14ac:dyDescent="0.3">
      <c r="B33" s="168" t="s">
        <v>986</v>
      </c>
      <c r="C33" s="168" t="str">
        <f>"Did not provide sputum"&amp;"(N="&amp;'Aim 1 - Household Contacts'!AC73&amp;"("&amp;TEXT('Aim 1 - Household Contacts'!AD73,"0%")&amp;"))"</f>
        <v>Did not provide sputum(N=0(-))</v>
      </c>
      <c r="D33" s="168"/>
      <c r="F33" s="204"/>
      <c r="G33" s="204"/>
      <c r="H33" s="155"/>
      <c r="I33" s="155"/>
      <c r="J33" s="155"/>
      <c r="K33" s="155"/>
    </row>
    <row r="34" spans="2:12" x14ac:dyDescent="0.3">
      <c r="B34" s="168" t="s">
        <v>970</v>
      </c>
      <c r="C34" s="168" t="str">
        <f>""&amp;B34&amp;CHAR(10)&amp;"(N="&amp;'Aim 1 - Household Contacts'!AC74&amp;")"</f>
        <v xml:space="preserve">    Provided sputum
(N=0)</v>
      </c>
      <c r="D34" s="168" t="str">
        <f>"Missing Data = "&amp;'Aim 1 - Household Contacts'!AC67&amp;"("&amp;TEXT('Aim 1 - Household Contacts'!AD67,"0%")&amp;")"</f>
        <v>Missing Data = 0(-)</v>
      </c>
      <c r="F34" s="204"/>
      <c r="G34" s="204"/>
      <c r="H34" s="155"/>
      <c r="I34" s="155"/>
      <c r="J34" s="155"/>
      <c r="K34" s="155"/>
    </row>
    <row r="35" spans="2:12" x14ac:dyDescent="0.3">
      <c r="B35" s="168" t="s">
        <v>971</v>
      </c>
      <c r="C35" s="168" t="str">
        <f>""&amp;'Aim 1 - Household Contacts'!AC75&amp;"("&amp;TEXT('Aim 1 - Household Contacts'!AD75,"0%")&amp;")"</f>
        <v>0(-)</v>
      </c>
      <c r="D35" s="168"/>
      <c r="F35" s="204"/>
      <c r="G35" s="204"/>
      <c r="H35" s="155"/>
      <c r="I35" s="155"/>
      <c r="J35" s="155"/>
      <c r="K35" s="155"/>
    </row>
    <row r="36" spans="2:12" x14ac:dyDescent="0.3">
      <c r="B36" s="168" t="s">
        <v>972</v>
      </c>
      <c r="C36" s="168" t="str">
        <f>""&amp;'Aim 1 - Household Contacts'!AC76&amp;"("&amp;TEXT('Aim 1 - Household Contacts'!AD76,"0%")&amp;")"</f>
        <v>0(-)</v>
      </c>
      <c r="D36" s="168"/>
      <c r="F36" s="204"/>
      <c r="G36" s="204"/>
      <c r="H36" s="155"/>
      <c r="I36" s="155"/>
      <c r="J36" s="155"/>
      <c r="K36" s="155"/>
    </row>
    <row r="37" spans="2:12" x14ac:dyDescent="0.3">
      <c r="B37" s="168" t="s">
        <v>979</v>
      </c>
      <c r="C37" s="168" t="str">
        <f>""&amp;'Aim 1 - Household Contacts'!AC77&amp;"("&amp;TEXT('Aim 1 - Household Contacts'!AD77,"0%")&amp;")"</f>
        <v>0(-)</v>
      </c>
      <c r="D37" s="168"/>
      <c r="F37" s="204"/>
      <c r="G37" s="204"/>
      <c r="H37" s="155"/>
      <c r="I37" s="155"/>
      <c r="J37" s="155"/>
      <c r="K37" s="155"/>
    </row>
    <row r="38" spans="2:12" x14ac:dyDescent="0.3">
      <c r="B38" s="168" t="s">
        <v>982</v>
      </c>
      <c r="C38" s="168"/>
      <c r="D38" s="168"/>
      <c r="F38" s="204"/>
      <c r="G38" s="204"/>
      <c r="H38" s="155"/>
      <c r="I38" s="155"/>
      <c r="J38" s="155"/>
      <c r="K38" s="155"/>
      <c r="L38" s="154"/>
    </row>
    <row r="39" spans="2:12" x14ac:dyDescent="0.3">
      <c r="B39" s="168" t="s">
        <v>983</v>
      </c>
      <c r="C39" s="168" t="str">
        <f>""&amp;'Aim 1 - Household Contacts'!AF67&amp;"("&amp;TEXT('Aim 1 - Household Contacts'!AG67,"0%")&amp;")"</f>
        <v>0(-)</v>
      </c>
      <c r="D39" s="168"/>
      <c r="F39" s="204"/>
      <c r="G39" s="204"/>
      <c r="H39" s="155"/>
      <c r="I39" s="155"/>
      <c r="J39" s="155"/>
      <c r="K39" s="155"/>
      <c r="L39" s="154"/>
    </row>
    <row r="40" spans="2:12" x14ac:dyDescent="0.3">
      <c r="B40" s="168" t="s">
        <v>975</v>
      </c>
      <c r="C40" s="168" t="str">
        <f>""&amp;'Aim 1 - Household Contacts'!AF68&amp;"("&amp;TEXT('Aim 1 - Household Contacts'!AG68,"0%")&amp;")"</f>
        <v>0(-)</v>
      </c>
      <c r="D40" s="168" t="str">
        <f>"Did not present = "&amp;'Aim 1 - Household Contacts'!AF68&amp;"("&amp;TEXT('Aim 1 - Household Contacts'!AG68,"0%")&amp;")"</f>
        <v>Did not present = 0(-)</v>
      </c>
      <c r="F40" s="204"/>
      <c r="H40" s="155"/>
      <c r="I40" s="155"/>
      <c r="J40" s="155"/>
      <c r="K40" s="155"/>
      <c r="L40" s="154"/>
    </row>
    <row r="41" spans="2:12" x14ac:dyDescent="0.3">
      <c r="B41" s="168" t="s">
        <v>969</v>
      </c>
      <c r="C41" s="168" t="str">
        <f>""&amp;'Aim 1 - Household Contacts'!AF69&amp;"("&amp;TEXT('Aim 1 - Household Contacts'!AG69,"0%")&amp;")"</f>
        <v>0(-)</v>
      </c>
      <c r="D41" s="168" t="str">
        <f>"Presented (N="&amp;'Aim 1 - Household Contacts'!AF69&amp;"("&amp;TEXT('Aim 1 - Household Contacts'!AG69,"0%")&amp;"))"</f>
        <v>Presented (N=0(-))</v>
      </c>
      <c r="F41" s="204"/>
      <c r="H41" s="155"/>
      <c r="I41" s="155"/>
      <c r="J41" s="155"/>
      <c r="K41" s="155"/>
      <c r="L41" s="154"/>
    </row>
    <row r="42" spans="2:12" x14ac:dyDescent="0.3">
      <c r="B42" s="168" t="s">
        <v>976</v>
      </c>
      <c r="C42" s="168" t="str">
        <f>""&amp;'Aim 1 - Household Contacts'!AF70&amp;"("&amp;TEXT('Aim 1 - Household Contacts'!AG70,"0%")&amp;")"</f>
        <v>0(-)</v>
      </c>
      <c r="D42" s="168"/>
      <c r="F42" s="204"/>
      <c r="H42" s="155"/>
      <c r="I42" s="155"/>
      <c r="J42" s="155"/>
      <c r="K42" s="155"/>
      <c r="L42" s="154"/>
    </row>
    <row r="43" spans="2:12" x14ac:dyDescent="0.3">
      <c r="B43" s="168" t="s">
        <v>977</v>
      </c>
      <c r="C43" s="168" t="str">
        <f>""&amp;'Aim 1 - Household Contacts'!AF71&amp;"("&amp;TEXT('Aim 1 - Household Contacts'!AG71,"0%")&amp;")"</f>
        <v>0(-)</v>
      </c>
      <c r="D43" s="168"/>
      <c r="F43" s="204"/>
      <c r="H43" s="155"/>
      <c r="I43" s="155"/>
      <c r="J43" s="155"/>
      <c r="K43" s="155"/>
      <c r="L43" s="154"/>
    </row>
    <row r="44" spans="2:12" x14ac:dyDescent="0.3">
      <c r="B44" s="168" t="s">
        <v>978</v>
      </c>
      <c r="C44" s="168" t="str">
        <f>""&amp;'Aim 1 - Household Contacts'!AF72&amp;"("&amp;TEXT('Aim 1 - Household Contacts'!AG72,"0%")&amp;")"</f>
        <v>0(-)</v>
      </c>
      <c r="D44" s="168"/>
      <c r="F44" s="204"/>
      <c r="H44" s="155"/>
      <c r="I44" s="155"/>
      <c r="J44" s="155"/>
      <c r="K44" s="155"/>
      <c r="L44" s="154"/>
    </row>
    <row r="45" spans="2:12" x14ac:dyDescent="0.3">
      <c r="B45" s="168" t="s">
        <v>986</v>
      </c>
      <c r="C45" s="168" t="str">
        <f>"Did not provide sputum"&amp;"(N="&amp;'Aim 1 - Household Contacts'!AF73&amp;"("&amp;TEXT('Aim 1 - Household Contacts'!AG73,"0%")&amp;"))"</f>
        <v>Did not provide sputum(N=0(-))</v>
      </c>
      <c r="D45" s="168"/>
      <c r="F45" s="204"/>
      <c r="H45" s="155"/>
      <c r="I45" s="155"/>
      <c r="J45" s="155"/>
      <c r="K45" s="155"/>
      <c r="L45" s="154"/>
    </row>
    <row r="46" spans="2:12" x14ac:dyDescent="0.3">
      <c r="B46" s="168" t="s">
        <v>970</v>
      </c>
      <c r="C46" s="168" t="str">
        <f>""&amp;B46&amp;CHAR(10)&amp;"(N="&amp;'Aim 1 - Household Contacts'!AF74&amp;")"</f>
        <v xml:space="preserve">    Provided sputum
(N=0)</v>
      </c>
      <c r="D46" s="168"/>
      <c r="F46" s="204"/>
      <c r="H46" s="155"/>
      <c r="I46" s="155"/>
      <c r="J46" s="155"/>
      <c r="K46" s="155"/>
    </row>
    <row r="47" spans="2:12" x14ac:dyDescent="0.3">
      <c r="B47" s="168" t="s">
        <v>971</v>
      </c>
      <c r="C47" s="168" t="str">
        <f>""&amp;'Aim 1 - Household Contacts'!AF75&amp;"("&amp;TEXT('Aim 1 - Household Contacts'!AG75,"0%")&amp;")"</f>
        <v>0(-)</v>
      </c>
      <c r="D47" s="168"/>
      <c r="F47" s="204"/>
      <c r="G47" s="204"/>
      <c r="H47" s="155"/>
      <c r="I47" s="155"/>
      <c r="J47" s="155"/>
      <c r="K47" s="155"/>
    </row>
    <row r="48" spans="2:12" x14ac:dyDescent="0.3">
      <c r="B48" s="168" t="s">
        <v>972</v>
      </c>
      <c r="C48" s="168" t="str">
        <f>""&amp;'Aim 1 - Household Contacts'!AF76&amp;"("&amp;TEXT('Aim 1 - Household Contacts'!AG76,"0%")&amp;")"</f>
        <v>0(-)</v>
      </c>
      <c r="D48" s="168"/>
      <c r="F48" s="204"/>
      <c r="G48" s="204"/>
      <c r="H48" s="155"/>
      <c r="I48" s="155"/>
      <c r="J48" s="155"/>
      <c r="K48" s="155"/>
    </row>
    <row r="49" spans="2:14" x14ac:dyDescent="0.3">
      <c r="B49" s="168" t="s">
        <v>979</v>
      </c>
      <c r="C49" s="168" t="str">
        <f>""&amp;'Aim 1 - Household Contacts'!AF77&amp;"("&amp;TEXT('Aim 1 - Household Contacts'!AG77,"0%")&amp;")"</f>
        <v>0(-)</v>
      </c>
      <c r="F49" s="204"/>
      <c r="G49" s="204"/>
      <c r="H49" s="155"/>
      <c r="I49" s="155"/>
      <c r="J49" s="155"/>
      <c r="K49" s="155"/>
      <c r="N49" t="s">
        <v>988</v>
      </c>
    </row>
    <row r="50" spans="2:14" x14ac:dyDescent="0.3">
      <c r="B50" s="168" t="s">
        <v>980</v>
      </c>
      <c r="C50" s="168" t="str">
        <f>""&amp;'Aim 1 - Household Contacts'!AC75&amp;"("&amp;TEXT('Aim 1 - Household Contacts'!AD75,"0%")&amp;")"</f>
        <v>0(-)</v>
      </c>
      <c r="F50" s="204"/>
      <c r="G50" s="204"/>
      <c r="H50" s="155"/>
      <c r="I50" s="155"/>
      <c r="J50" s="155"/>
      <c r="K50" s="155"/>
    </row>
    <row r="51" spans="2:14" x14ac:dyDescent="0.3">
      <c r="B51" s="168" t="s">
        <v>984</v>
      </c>
      <c r="C51" s="168" t="str">
        <f>""&amp;'Aim 1 - Household Contacts'!AI67&amp;"("&amp;TEXT('Aim 1 - Household Contacts'!AJ67,"0%")&amp;")"</f>
        <v>0(-)</v>
      </c>
      <c r="F51" s="204"/>
      <c r="G51" s="204"/>
      <c r="H51" s="155"/>
      <c r="I51" s="155"/>
      <c r="J51" s="155"/>
      <c r="K51" s="155"/>
    </row>
    <row r="52" spans="2:14" x14ac:dyDescent="0.3">
      <c r="B52" s="168" t="s">
        <v>975</v>
      </c>
      <c r="C52" s="168" t="str">
        <f>""&amp;'Aim 1 - Household Contacts'!AI68&amp;"("&amp;TEXT('Aim 1 - Household Contacts'!AJ68,"0%")&amp;")"</f>
        <v>0(-)</v>
      </c>
      <c r="D52" s="194" t="str">
        <f>"Did not present = "&amp;'Aim 1 - Household Contacts'!AI68&amp;"("&amp;TEXT('Aim 1 - Household Contacts'!AJ68,"0%")&amp;")"</f>
        <v>Did not present = 0(-)</v>
      </c>
      <c r="F52" s="204"/>
      <c r="G52" s="204"/>
      <c r="H52" s="155"/>
      <c r="I52" s="155"/>
      <c r="J52" s="155"/>
      <c r="K52" s="155"/>
    </row>
    <row r="53" spans="2:14" x14ac:dyDescent="0.3">
      <c r="B53" s="168" t="s">
        <v>969</v>
      </c>
      <c r="C53" s="168" t="str">
        <f>""&amp;'Aim 1 - Household Contacts'!AI69&amp;"("&amp;TEXT('Aim 1 - Household Contacts'!AJ69,"0%")&amp;")"</f>
        <v>0(-)</v>
      </c>
      <c r="D53" s="194" t="str">
        <f>"Presented (N="&amp;'Aim 1 - Household Contacts'!AI69&amp;"("&amp;TEXT('Aim 1 - Household Contacts'!AJ69,"0%")&amp;"))"</f>
        <v>Presented (N=0(-))</v>
      </c>
      <c r="F53" s="204"/>
      <c r="G53" s="204"/>
      <c r="H53" s="155"/>
      <c r="I53" s="155"/>
      <c r="J53" s="155"/>
      <c r="K53" s="155"/>
    </row>
    <row r="54" spans="2:14" x14ac:dyDescent="0.3">
      <c r="B54" s="168" t="s">
        <v>976</v>
      </c>
      <c r="C54" s="168" t="str">
        <f>""&amp;'Aim 1 - Household Contacts'!AI70&amp;"("&amp;TEXT('Aim 1 - Household Contacts'!AJ70,"0%")&amp;")"</f>
        <v>0(-)</v>
      </c>
      <c r="F54" s="204"/>
      <c r="G54" s="204"/>
      <c r="H54" s="155"/>
      <c r="I54" s="155"/>
      <c r="J54" s="155"/>
      <c r="K54" s="155"/>
    </row>
    <row r="55" spans="2:14" x14ac:dyDescent="0.3">
      <c r="B55" s="168" t="s">
        <v>977</v>
      </c>
      <c r="C55" s="168" t="str">
        <f>""&amp;'Aim 1 - Household Contacts'!AI71&amp;"("&amp;TEXT('Aim 1 - Household Contacts'!AJ71,"0%")&amp;")"</f>
        <v>0(-)</v>
      </c>
      <c r="F55" s="204"/>
      <c r="G55" s="204"/>
      <c r="H55" s="155"/>
      <c r="I55" s="155"/>
      <c r="J55" s="155"/>
      <c r="K55" s="155"/>
    </row>
    <row r="56" spans="2:14" x14ac:dyDescent="0.3">
      <c r="B56" s="168" t="s">
        <v>978</v>
      </c>
      <c r="C56" s="168" t="str">
        <f>""&amp;'Aim 1 - Household Contacts'!AI72&amp;"("&amp;TEXT('Aim 1 - Household Contacts'!AJ72,"0%")&amp;")"</f>
        <v>0(-)</v>
      </c>
      <c r="F56" s="204"/>
      <c r="G56" s="204"/>
      <c r="H56" s="155"/>
      <c r="I56" s="155"/>
      <c r="J56" s="155"/>
      <c r="K56" s="155"/>
    </row>
    <row r="57" spans="2:14" x14ac:dyDescent="0.3">
      <c r="B57" s="168" t="s">
        <v>986</v>
      </c>
      <c r="C57" s="168" t="str">
        <f>"Did not provide sputum"&amp;"(N="&amp;'Aim 1 - Household Contacts'!AI73&amp;"("&amp;TEXT('Aim 1 - Household Contacts'!AJ73,"0%")&amp;"))"</f>
        <v>Did not provide sputum(N=0(-))</v>
      </c>
      <c r="F57" s="204"/>
      <c r="G57" s="204"/>
      <c r="H57" s="155"/>
      <c r="I57" s="155"/>
      <c r="J57" s="155"/>
      <c r="K57" s="155"/>
    </row>
    <row r="58" spans="2:14" x14ac:dyDescent="0.3">
      <c r="B58" s="168" t="s">
        <v>970</v>
      </c>
      <c r="C58" s="168" t="str">
        <f>""&amp;B58&amp;CHAR(10)&amp;"(N="&amp;'Aim 1 - Household Contacts'!AI74&amp;")"</f>
        <v xml:space="preserve">    Provided sputum
(N=0)</v>
      </c>
      <c r="F58" s="204"/>
      <c r="G58" s="204"/>
      <c r="H58" s="155"/>
      <c r="I58" s="155"/>
      <c r="J58" s="155"/>
      <c r="K58" s="155"/>
    </row>
    <row r="59" spans="2:14" x14ac:dyDescent="0.3">
      <c r="B59" s="168" t="s">
        <v>971</v>
      </c>
      <c r="C59" s="168" t="str">
        <f>""&amp;'Aim 1 - Household Contacts'!AI75&amp;"("&amp;TEXT('Aim 1 - Household Contacts'!AJ75,"0%")&amp;")"</f>
        <v>0(-)</v>
      </c>
      <c r="F59" s="204"/>
      <c r="H59" s="155"/>
      <c r="I59" s="155"/>
      <c r="J59" s="155"/>
      <c r="K59" s="155"/>
    </row>
    <row r="60" spans="2:14" x14ac:dyDescent="0.3">
      <c r="B60" s="168" t="s">
        <v>972</v>
      </c>
      <c r="C60" s="168" t="str">
        <f>""&amp;'Aim 1 - Household Contacts'!AI76&amp;"("&amp;TEXT('Aim 1 - Household Contacts'!AJ76,"0%")&amp;")"</f>
        <v>0(-)</v>
      </c>
      <c r="H60" s="155"/>
      <c r="I60" s="155"/>
      <c r="J60" s="155"/>
      <c r="K60" s="155"/>
    </row>
    <row r="61" spans="2:14" x14ac:dyDescent="0.3">
      <c r="B61" s="168" t="s">
        <v>979</v>
      </c>
      <c r="C61" s="168" t="str">
        <f>""&amp;'Aim 1 - Household Contacts'!AI77&amp;"("&amp;TEXT('Aim 1 - Household Contacts'!AJ77,"0%")&amp;")"</f>
        <v>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8"/>
  <sheetViews>
    <sheetView topLeftCell="A35" zoomScale="62" zoomScaleNormal="62" workbookViewId="0">
      <selection activeCell="L31" sqref="L31"/>
    </sheetView>
  </sheetViews>
  <sheetFormatPr defaultColWidth="9.109375" defaultRowHeight="14.4" x14ac:dyDescent="0.3"/>
  <cols>
    <col min="1" max="1" width="3.33203125" style="1" customWidth="1"/>
    <col min="2" max="2" width="34" style="1" customWidth="1"/>
    <col min="3" max="3" width="10.44140625" style="5" customWidth="1"/>
    <col min="4" max="4" width="10.44140625" style="15" customWidth="1"/>
    <col min="5" max="5" width="14.88671875" style="15" customWidth="1"/>
    <col min="6" max="6" width="15.5546875" style="15" customWidth="1"/>
    <col min="7" max="9" width="14.109375" style="15" customWidth="1"/>
    <col min="10" max="10" width="34" style="15" customWidth="1"/>
    <col min="11" max="12" width="10.44140625" style="15" customWidth="1"/>
    <col min="13" max="13" width="14.109375" style="15" customWidth="1"/>
    <col min="14" max="14" width="15.5546875" style="15" customWidth="1"/>
    <col min="15" max="17" width="14.109375" style="15" customWidth="1"/>
    <col min="18" max="18" width="34" style="15" customWidth="1"/>
    <col min="19" max="20" width="10.44140625" style="15" customWidth="1"/>
    <col min="21" max="21" width="14.88671875" style="15" customWidth="1"/>
    <col min="22" max="22" width="15.5546875" style="15" customWidth="1"/>
    <col min="23" max="24" width="14.109375" style="15" customWidth="1"/>
    <col min="25" max="26" width="14.109375" style="1" customWidth="1"/>
    <col min="27" max="27" width="21.44140625" style="1" customWidth="1"/>
    <col min="28" max="29" width="14.109375" style="1" customWidth="1"/>
    <col min="30" max="30" width="14.109375" style="37" customWidth="1"/>
    <col min="31" max="31" width="14.109375" style="1" customWidth="1"/>
    <col min="32" max="32" width="5.5546875" style="1" customWidth="1"/>
    <col min="33" max="33" width="8.5546875" style="1" customWidth="1"/>
    <col min="34" max="34" width="10.88671875" style="1" customWidth="1"/>
    <col min="35" max="36" width="11.44140625" style="1" customWidth="1"/>
    <col min="37" max="37" width="7.44140625" style="1" customWidth="1"/>
    <col min="38" max="38" width="5.88671875" style="1" customWidth="1"/>
    <col min="39" max="39" width="11.88671875" style="1" customWidth="1"/>
    <col min="40" max="40" width="7.88671875" style="1" customWidth="1"/>
    <col min="41" max="41" width="6.5546875" style="1" customWidth="1"/>
    <col min="42" max="46" width="14.109375" style="1" customWidth="1"/>
    <col min="47" max="16384" width="9.109375" style="1"/>
  </cols>
  <sheetData>
    <row r="1" spans="2:25" ht="15" thickBot="1" x14ac:dyDescent="0.35">
      <c r="B1" s="241"/>
      <c r="C1" s="241"/>
      <c r="D1" s="241"/>
      <c r="E1" s="241"/>
      <c r="F1" s="241"/>
      <c r="G1" s="241"/>
      <c r="H1" s="241"/>
      <c r="J1" s="242" t="s">
        <v>992</v>
      </c>
      <c r="K1" s="242"/>
      <c r="L1" s="242"/>
      <c r="M1" s="242"/>
      <c r="N1" s="242"/>
      <c r="O1" s="242"/>
      <c r="P1" s="242"/>
      <c r="R1" s="242" t="s">
        <v>991</v>
      </c>
      <c r="S1" s="242"/>
      <c r="T1" s="242"/>
      <c r="U1" s="242"/>
      <c r="V1" s="242"/>
      <c r="W1" s="242"/>
      <c r="X1" s="242"/>
      <c r="Y1" s="15"/>
    </row>
    <row r="2" spans="2:25" ht="15" thickBot="1" x14ac:dyDescent="0.35">
      <c r="B2" s="222" t="s">
        <v>781</v>
      </c>
      <c r="C2" s="223"/>
      <c r="D2" s="224"/>
      <c r="E2" s="1"/>
      <c r="F2" s="24"/>
      <c r="G2" s="24"/>
      <c r="H2" s="24"/>
      <c r="I2" s="24"/>
      <c r="J2" s="222" t="s">
        <v>781</v>
      </c>
      <c r="K2" s="223"/>
      <c r="L2" s="224"/>
      <c r="M2" s="1"/>
      <c r="N2" s="24"/>
      <c r="O2" s="24"/>
      <c r="P2" s="24"/>
      <c r="Q2" s="24"/>
      <c r="R2" s="222" t="s">
        <v>781</v>
      </c>
      <c r="S2" s="223"/>
      <c r="T2" s="224"/>
      <c r="U2" s="1"/>
      <c r="V2" s="24"/>
      <c r="W2" s="24"/>
      <c r="X2" s="24"/>
    </row>
    <row r="3" spans="2:25" x14ac:dyDescent="0.3">
      <c r="B3" s="88"/>
      <c r="C3" s="71" t="s">
        <v>28</v>
      </c>
      <c r="D3" s="89" t="s">
        <v>29</v>
      </c>
      <c r="E3" s="1"/>
      <c r="F3" s="1"/>
      <c r="G3" s="5"/>
      <c r="H3" s="24"/>
      <c r="I3" s="24"/>
      <c r="J3" s="88"/>
      <c r="K3" s="71" t="s">
        <v>28</v>
      </c>
      <c r="L3" s="89" t="s">
        <v>29</v>
      </c>
      <c r="M3" s="1"/>
      <c r="N3" s="1"/>
      <c r="O3" s="5"/>
      <c r="P3" s="24"/>
      <c r="Q3" s="24"/>
      <c r="R3" s="88"/>
      <c r="S3" s="71" t="s">
        <v>28</v>
      </c>
      <c r="T3" s="89" t="s">
        <v>29</v>
      </c>
      <c r="U3" s="1"/>
      <c r="V3" s="1"/>
      <c r="W3" s="5"/>
      <c r="X3" s="24"/>
    </row>
    <row r="4" spans="2:25" x14ac:dyDescent="0.3">
      <c r="B4" s="97" t="s">
        <v>759</v>
      </c>
      <c r="C4" s="5">
        <v>2</v>
      </c>
      <c r="D4" s="143"/>
      <c r="E4" s="1"/>
      <c r="F4" s="1"/>
      <c r="G4" s="5"/>
      <c r="H4" s="24"/>
      <c r="I4" s="24"/>
      <c r="J4" s="97" t="s">
        <v>759</v>
      </c>
      <c r="K4" s="5">
        <v>2</v>
      </c>
      <c r="L4" s="143"/>
      <c r="M4" s="1"/>
      <c r="N4" s="1"/>
      <c r="O4" s="5"/>
      <c r="P4" s="24"/>
      <c r="Q4" s="24"/>
      <c r="R4" s="97" t="s">
        <v>759</v>
      </c>
      <c r="S4" s="5">
        <v>2</v>
      </c>
      <c r="T4" s="143"/>
      <c r="U4" s="1"/>
      <c r="V4" s="1"/>
      <c r="W4" s="5"/>
      <c r="X4" s="24"/>
    </row>
    <row r="5" spans="2:25" x14ac:dyDescent="0.3">
      <c r="B5" s="4" t="s">
        <v>883</v>
      </c>
      <c r="C5" s="5">
        <v>1</v>
      </c>
      <c r="D5" s="6">
        <f>IF(C5=0, "-", C5/C4)</f>
        <v>0.5</v>
      </c>
      <c r="E5" s="1"/>
      <c r="F5" s="1"/>
      <c r="G5" s="5"/>
      <c r="H5" s="1"/>
      <c r="I5" s="1"/>
      <c r="J5" s="4" t="s">
        <v>883</v>
      </c>
      <c r="K5" s="5">
        <v>1</v>
      </c>
      <c r="L5" s="6">
        <f>IF(K5=0, "-", K5/K4)</f>
        <v>0.5</v>
      </c>
      <c r="M5" s="1"/>
      <c r="N5" s="1"/>
      <c r="O5" s="5"/>
      <c r="P5" s="1"/>
      <c r="Q5" s="1"/>
      <c r="R5" s="4" t="s">
        <v>883</v>
      </c>
      <c r="S5" s="5">
        <v>1</v>
      </c>
      <c r="T5" s="6">
        <f>IF(S5=0, "-", S5/S4)</f>
        <v>0.5</v>
      </c>
      <c r="U5" s="1"/>
      <c r="V5" s="1"/>
      <c r="W5" s="5"/>
      <c r="X5" s="1"/>
    </row>
    <row r="6" spans="2:25" x14ac:dyDescent="0.3">
      <c r="B6" s="4" t="s">
        <v>894</v>
      </c>
      <c r="C6" s="5">
        <v>1</v>
      </c>
      <c r="D6" s="6">
        <f>IF(C6=0, "-", C6/C4)</f>
        <v>0.5</v>
      </c>
      <c r="E6" s="1"/>
      <c r="F6" s="1"/>
      <c r="G6" s="1"/>
      <c r="H6" s="1"/>
      <c r="I6" s="1"/>
      <c r="J6" s="4" t="s">
        <v>894</v>
      </c>
      <c r="K6" s="5">
        <v>1</v>
      </c>
      <c r="L6" s="6">
        <f>IF(K6=0, "-", K6/K4)</f>
        <v>0.5</v>
      </c>
      <c r="M6" s="1"/>
      <c r="N6" s="1"/>
      <c r="O6" s="1"/>
      <c r="P6" s="1"/>
      <c r="Q6" s="1"/>
      <c r="R6" s="4" t="s">
        <v>894</v>
      </c>
      <c r="S6" s="5">
        <v>1</v>
      </c>
      <c r="T6" s="6">
        <f>IF(S6=0, "-", S6/S4)</f>
        <v>0.5</v>
      </c>
      <c r="U6" s="1"/>
      <c r="V6" s="1"/>
      <c r="W6" s="1"/>
      <c r="X6" s="1"/>
    </row>
    <row r="7" spans="2:25" x14ac:dyDescent="0.3">
      <c r="B7" s="72" t="s">
        <v>895</v>
      </c>
      <c r="C7" s="70">
        <v>1</v>
      </c>
      <c r="D7" s="6">
        <f>IF(C7=0, "-", C7/C6)</f>
        <v>1</v>
      </c>
      <c r="E7" s="5"/>
      <c r="F7" s="59"/>
      <c r="G7" s="5"/>
      <c r="H7" s="5"/>
      <c r="I7" s="5"/>
      <c r="J7" s="72" t="s">
        <v>895</v>
      </c>
      <c r="K7" s="70">
        <v>1</v>
      </c>
      <c r="L7" s="6">
        <f>IF(K7=0, "-", K7/K6)</f>
        <v>1</v>
      </c>
      <c r="M7" s="5"/>
      <c r="N7" s="59"/>
      <c r="O7" s="5"/>
      <c r="P7" s="5"/>
      <c r="Q7" s="5"/>
      <c r="R7" s="72" t="s">
        <v>895</v>
      </c>
      <c r="S7" s="70">
        <v>1</v>
      </c>
      <c r="T7" s="6">
        <f>IF(S7=0, "-", S7/S6)</f>
        <v>1</v>
      </c>
      <c r="U7" s="5"/>
      <c r="V7" s="59"/>
      <c r="W7" s="5"/>
      <c r="X7" s="5"/>
    </row>
    <row r="8" spans="2:25" x14ac:dyDescent="0.3">
      <c r="B8" s="72" t="s">
        <v>896</v>
      </c>
      <c r="C8" s="70">
        <v>1</v>
      </c>
      <c r="D8" s="6">
        <f>IF(C8=0, "-", C8/C6)</f>
        <v>1</v>
      </c>
      <c r="E8" s="5"/>
      <c r="F8" s="59"/>
      <c r="G8" s="5"/>
      <c r="H8" s="5"/>
      <c r="I8" s="5"/>
      <c r="J8" s="72" t="s">
        <v>896</v>
      </c>
      <c r="K8" s="70">
        <v>1</v>
      </c>
      <c r="L8" s="6">
        <f>IF(K8=0, "-", K8/K6)</f>
        <v>1</v>
      </c>
      <c r="M8" s="5"/>
      <c r="N8" s="59"/>
      <c r="O8" s="5"/>
      <c r="P8" s="5"/>
      <c r="Q8" s="5"/>
      <c r="R8" s="72" t="s">
        <v>896</v>
      </c>
      <c r="S8" s="70">
        <v>1</v>
      </c>
      <c r="T8" s="6">
        <f>IF(S8=0, "-", S8/S6)</f>
        <v>1</v>
      </c>
      <c r="U8" s="5"/>
      <c r="V8" s="59"/>
      <c r="W8" s="5"/>
      <c r="X8" s="5"/>
    </row>
    <row r="9" spans="2:25" x14ac:dyDescent="0.3">
      <c r="B9" s="72" t="s">
        <v>897</v>
      </c>
      <c r="C9" s="70">
        <v>1</v>
      </c>
      <c r="D9" s="6">
        <f>IF(C9=0, "-", C9/C6)</f>
        <v>1</v>
      </c>
      <c r="E9" s="5"/>
      <c r="F9" s="59"/>
      <c r="G9" s="5"/>
      <c r="H9" s="5"/>
      <c r="I9" s="5"/>
      <c r="J9" s="72" t="s">
        <v>897</v>
      </c>
      <c r="K9" s="70">
        <v>1</v>
      </c>
      <c r="L9" s="6">
        <f>IF(K9=0, "-", K9/K6)</f>
        <v>1</v>
      </c>
      <c r="M9" s="5"/>
      <c r="N9" s="59"/>
      <c r="O9" s="5"/>
      <c r="P9" s="5"/>
      <c r="Q9" s="5"/>
      <c r="R9" s="72" t="s">
        <v>897</v>
      </c>
      <c r="S9" s="70">
        <v>1</v>
      </c>
      <c r="T9" s="6">
        <f>IF(S9=0, "-", S9/S6)</f>
        <v>1</v>
      </c>
      <c r="U9" s="5"/>
      <c r="V9" s="59"/>
      <c r="W9" s="5"/>
      <c r="X9" s="5"/>
    </row>
    <row r="10" spans="2:25" x14ac:dyDescent="0.3">
      <c r="B10" s="72" t="s">
        <v>910</v>
      </c>
      <c r="C10" s="70">
        <v>1</v>
      </c>
      <c r="D10" s="6">
        <f>IF(C10=0, "-", C10/C6)</f>
        <v>1</v>
      </c>
      <c r="E10" s="5"/>
      <c r="F10" s="59"/>
      <c r="G10" s="5"/>
      <c r="H10" s="5"/>
      <c r="I10" s="5"/>
      <c r="J10" s="72" t="s">
        <v>910</v>
      </c>
      <c r="K10" s="70">
        <v>1</v>
      </c>
      <c r="L10" s="6">
        <f>IF(K10=0, "-", K10/K6)</f>
        <v>1</v>
      </c>
      <c r="M10" s="5"/>
      <c r="N10" s="59"/>
      <c r="O10" s="5"/>
      <c r="P10" s="5"/>
      <c r="Q10" s="5"/>
      <c r="R10" s="72" t="s">
        <v>910</v>
      </c>
      <c r="S10" s="70">
        <v>1</v>
      </c>
      <c r="T10" s="6">
        <f>IF(S10=0, "-", S10/S6)</f>
        <v>1</v>
      </c>
      <c r="U10" s="5"/>
      <c r="V10" s="59"/>
      <c r="W10" s="5"/>
      <c r="X10" s="5"/>
    </row>
    <row r="11" spans="2:25" x14ac:dyDescent="0.3">
      <c r="B11" s="72" t="s">
        <v>909</v>
      </c>
      <c r="C11" s="70">
        <v>1</v>
      </c>
      <c r="D11" s="6">
        <f>IF(C11=0, "-", C11/C6)</f>
        <v>1</v>
      </c>
      <c r="E11" s="5"/>
      <c r="F11" s="59"/>
      <c r="G11" s="5"/>
      <c r="H11" s="5"/>
      <c r="I11" s="5"/>
      <c r="J11" s="72" t="s">
        <v>909</v>
      </c>
      <c r="K11" s="70">
        <v>1</v>
      </c>
      <c r="L11" s="6">
        <f>IF(K11=0, "-", K11/K6)</f>
        <v>1</v>
      </c>
      <c r="M11" s="5"/>
      <c r="N11" s="59"/>
      <c r="O11" s="5"/>
      <c r="P11" s="5"/>
      <c r="Q11" s="5"/>
      <c r="R11" s="72" t="s">
        <v>909</v>
      </c>
      <c r="S11" s="70">
        <v>1</v>
      </c>
      <c r="T11" s="6">
        <f>IF(S11=0, "-", S11/S6)</f>
        <v>1</v>
      </c>
      <c r="U11" s="5"/>
      <c r="V11" s="59"/>
      <c r="W11" s="5"/>
      <c r="X11" s="5"/>
    </row>
    <row r="12" spans="2:25" ht="15" thickBot="1" x14ac:dyDescent="0.35">
      <c r="B12" s="73" t="s">
        <v>911</v>
      </c>
      <c r="C12" s="144">
        <v>1</v>
      </c>
      <c r="D12" s="21">
        <f>IF(C12=0, "-", C12/C6)</f>
        <v>1</v>
      </c>
      <c r="E12" s="5"/>
      <c r="F12" s="59"/>
      <c r="G12" s="5"/>
      <c r="H12" s="5"/>
      <c r="I12" s="5"/>
      <c r="J12" s="73" t="s">
        <v>911</v>
      </c>
      <c r="K12" s="144">
        <v>1</v>
      </c>
      <c r="L12" s="21">
        <f>IF(K12=0, "-", K12/K6)</f>
        <v>1</v>
      </c>
      <c r="M12" s="5"/>
      <c r="N12" s="59"/>
      <c r="O12" s="5"/>
      <c r="P12" s="5"/>
      <c r="Q12" s="5"/>
      <c r="R12" s="73" t="s">
        <v>911</v>
      </c>
      <c r="S12" s="144">
        <v>1</v>
      </c>
      <c r="T12" s="21">
        <f>IF(S12=0, "-", S12/S6)</f>
        <v>1</v>
      </c>
      <c r="U12" s="5"/>
      <c r="V12" s="59"/>
      <c r="W12" s="5"/>
      <c r="X12" s="5"/>
    </row>
    <row r="13" spans="2:25" x14ac:dyDescent="0.3">
      <c r="B13" s="168" t="s">
        <v>954</v>
      </c>
      <c r="C13" s="169">
        <f>C6-C7</f>
        <v>0</v>
      </c>
      <c r="D13" s="170" t="str">
        <f>IF(OR($C$6=0,C13=0),"-",C13/$C$6)</f>
        <v>-</v>
      </c>
      <c r="E13" s="5"/>
      <c r="F13" s="5"/>
      <c r="G13" s="5"/>
      <c r="H13" s="5"/>
      <c r="I13" s="5"/>
      <c r="J13" s="168" t="s">
        <v>954</v>
      </c>
      <c r="K13" s="169">
        <f>K6-K7</f>
        <v>0</v>
      </c>
      <c r="L13" s="170" t="str">
        <f>IF(OR($C$6=0,K13=0),"-",K13/$C$6)</f>
        <v>-</v>
      </c>
      <c r="M13" s="5"/>
      <c r="N13" s="5"/>
      <c r="O13" s="5"/>
      <c r="P13" s="5"/>
      <c r="Q13" s="5"/>
      <c r="R13" s="168" t="s">
        <v>954</v>
      </c>
      <c r="S13" s="169">
        <f>S6-S7</f>
        <v>0</v>
      </c>
      <c r="T13" s="170" t="str">
        <f>IF(OR($C$6=0,S13=0),"-",S13/$C$6)</f>
        <v>-</v>
      </c>
      <c r="U13" s="5"/>
      <c r="V13" s="5"/>
      <c r="W13" s="5"/>
      <c r="X13" s="5"/>
    </row>
    <row r="14" spans="2:25" ht="15" thickBot="1" x14ac:dyDescent="0.35">
      <c r="C14" s="59"/>
      <c r="E14" s="5"/>
      <c r="F14" s="5"/>
      <c r="G14" s="5"/>
      <c r="H14" s="5"/>
      <c r="I14" s="5"/>
      <c r="J14" s="1"/>
      <c r="K14" s="59"/>
      <c r="M14" s="5"/>
      <c r="N14" s="5"/>
      <c r="O14" s="5"/>
      <c r="P14" s="5"/>
      <c r="Q14" s="5"/>
      <c r="R14" s="1"/>
      <c r="S14" s="59"/>
      <c r="U14" s="5"/>
      <c r="V14" s="5"/>
      <c r="W14" s="5"/>
      <c r="X14" s="5"/>
    </row>
    <row r="15" spans="2:25" ht="15" customHeight="1" thickBot="1" x14ac:dyDescent="0.35">
      <c r="B15" s="222" t="s">
        <v>870</v>
      </c>
      <c r="C15" s="223"/>
      <c r="D15" s="224"/>
      <c r="G15" s="5"/>
      <c r="H15" s="5"/>
      <c r="I15" s="5"/>
      <c r="J15" s="222" t="s">
        <v>870</v>
      </c>
      <c r="K15" s="223"/>
      <c r="L15" s="224"/>
      <c r="O15" s="5"/>
      <c r="P15" s="5"/>
      <c r="Q15" s="5"/>
      <c r="R15" s="222" t="s">
        <v>870</v>
      </c>
      <c r="S15" s="223"/>
      <c r="T15" s="224"/>
      <c r="W15" s="5"/>
      <c r="X15" s="5"/>
    </row>
    <row r="16" spans="2:25" x14ac:dyDescent="0.3">
      <c r="B16" s="30"/>
      <c r="C16" s="16" t="s">
        <v>28</v>
      </c>
      <c r="D16" s="105" t="s">
        <v>29</v>
      </c>
      <c r="G16" s="5"/>
      <c r="H16" s="5"/>
      <c r="I16" s="5"/>
      <c r="J16" s="30"/>
      <c r="K16" s="16" t="s">
        <v>28</v>
      </c>
      <c r="L16" s="105" t="s">
        <v>29</v>
      </c>
      <c r="O16" s="5"/>
      <c r="P16" s="5"/>
      <c r="Q16" s="5"/>
      <c r="R16" s="30"/>
      <c r="S16" s="16" t="s">
        <v>28</v>
      </c>
      <c r="T16" s="105" t="s">
        <v>29</v>
      </c>
      <c r="W16" s="5"/>
      <c r="X16" s="5"/>
    </row>
    <row r="17" spans="1:24" x14ac:dyDescent="0.3">
      <c r="B17" s="97" t="s">
        <v>752</v>
      </c>
      <c r="C17" s="5">
        <v>2</v>
      </c>
      <c r="D17" s="143"/>
      <c r="G17" s="5"/>
      <c r="H17" s="5"/>
      <c r="I17" s="5"/>
      <c r="J17" s="97" t="s">
        <v>752</v>
      </c>
      <c r="K17" s="5">
        <v>2</v>
      </c>
      <c r="L17" s="143"/>
      <c r="O17" s="5"/>
      <c r="P17" s="5"/>
      <c r="Q17" s="5"/>
      <c r="R17" s="97" t="s">
        <v>752</v>
      </c>
      <c r="S17" s="5">
        <v>2</v>
      </c>
      <c r="T17" s="143"/>
      <c r="W17" s="5"/>
      <c r="X17" s="5"/>
    </row>
    <row r="18" spans="1:24" x14ac:dyDescent="0.3">
      <c r="B18" s="4" t="s">
        <v>898</v>
      </c>
      <c r="C18" s="59">
        <v>1</v>
      </c>
      <c r="D18" s="6">
        <f>IF(OR($C$5=0,C18=0),"-",C18/$C$5)</f>
        <v>1</v>
      </c>
      <c r="G18" s="5"/>
      <c r="H18" s="5"/>
      <c r="I18" s="5"/>
      <c r="J18" s="4" t="s">
        <v>898</v>
      </c>
      <c r="K18" s="59">
        <v>1</v>
      </c>
      <c r="L18" s="6">
        <f>IF(OR($C$5=0,K18=0),"-",K18/$C$5)</f>
        <v>1</v>
      </c>
      <c r="O18" s="5"/>
      <c r="P18" s="5"/>
      <c r="Q18" s="5"/>
      <c r="R18" s="4" t="s">
        <v>898</v>
      </c>
      <c r="S18" s="59">
        <v>1</v>
      </c>
      <c r="T18" s="6">
        <f>IF(OR($C$5=0,S18=0),"-",S18/$C$5)</f>
        <v>1</v>
      </c>
      <c r="W18" s="5"/>
      <c r="X18" s="5"/>
    </row>
    <row r="19" spans="1:24" x14ac:dyDescent="0.3">
      <c r="B19" s="4" t="s">
        <v>913</v>
      </c>
      <c r="C19" s="59">
        <v>1</v>
      </c>
      <c r="D19" s="6">
        <f>IF(OR($C$5=0,C19=0),"-",C19/$C$5)</f>
        <v>1</v>
      </c>
      <c r="G19" s="5"/>
      <c r="H19" s="5"/>
      <c r="I19" s="5"/>
      <c r="J19" s="4" t="s">
        <v>913</v>
      </c>
      <c r="K19" s="59">
        <v>1</v>
      </c>
      <c r="L19" s="6">
        <f>IF(OR($C$5=0,K19=0),"-",K19/$C$5)</f>
        <v>1</v>
      </c>
      <c r="O19" s="5"/>
      <c r="P19" s="5"/>
      <c r="Q19" s="5"/>
      <c r="R19" s="4" t="s">
        <v>913</v>
      </c>
      <c r="S19" s="59">
        <v>1</v>
      </c>
      <c r="T19" s="6">
        <f>IF(OR($C$5=0,S19=0),"-",S19/$C$5)</f>
        <v>1</v>
      </c>
      <c r="W19" s="5"/>
      <c r="X19" s="5"/>
    </row>
    <row r="20" spans="1:24" x14ac:dyDescent="0.3">
      <c r="B20" s="4" t="s">
        <v>899</v>
      </c>
      <c r="C20" s="59">
        <v>1</v>
      </c>
      <c r="D20" s="6">
        <f>IF(OR($C$5=0,C20=0),"-",C20/$C$5)</f>
        <v>1</v>
      </c>
      <c r="G20" s="5"/>
      <c r="H20" s="5"/>
      <c r="I20" s="5"/>
      <c r="J20" s="4" t="s">
        <v>899</v>
      </c>
      <c r="K20" s="59">
        <v>1</v>
      </c>
      <c r="L20" s="6">
        <f>IF(OR($C$5=0,K20=0),"-",K20/$C$5)</f>
        <v>1</v>
      </c>
      <c r="O20" s="5"/>
      <c r="P20" s="5"/>
      <c r="Q20" s="5"/>
      <c r="R20" s="4" t="s">
        <v>899</v>
      </c>
      <c r="S20" s="59">
        <v>1</v>
      </c>
      <c r="T20" s="6">
        <f>IF(OR($C$5=0,S20=0),"-",S20/$C$5)</f>
        <v>1</v>
      </c>
      <c r="W20" s="5"/>
      <c r="X20" s="5"/>
    </row>
    <row r="21" spans="1:24" x14ac:dyDescent="0.3">
      <c r="B21" s="72" t="s">
        <v>900</v>
      </c>
      <c r="C21" s="99">
        <v>1</v>
      </c>
      <c r="D21" s="6">
        <f>IF(OR($C$20=0,C21=0),"-",C21/$C$20)</f>
        <v>1</v>
      </c>
      <c r="G21" s="5"/>
      <c r="H21" s="5"/>
      <c r="I21" s="5"/>
      <c r="J21" s="72" t="s">
        <v>900</v>
      </c>
      <c r="K21" s="99">
        <v>1</v>
      </c>
      <c r="L21" s="6">
        <f>IF(OR($C$20=0,K21=0),"-",K21/$C$20)</f>
        <v>1</v>
      </c>
      <c r="O21" s="5"/>
      <c r="P21" s="5"/>
      <c r="Q21" s="5"/>
      <c r="R21" s="72" t="s">
        <v>900</v>
      </c>
      <c r="S21" s="99">
        <v>1</v>
      </c>
      <c r="T21" s="6">
        <f>IF(OR($C$20=0,S21=0),"-",S21/$C$20)</f>
        <v>1</v>
      </c>
      <c r="W21" s="5"/>
      <c r="X21" s="5"/>
    </row>
    <row r="22" spans="1:24" x14ac:dyDescent="0.3">
      <c r="B22" s="72" t="s">
        <v>901</v>
      </c>
      <c r="C22" s="99">
        <v>1</v>
      </c>
      <c r="D22" s="6">
        <f t="shared" ref="D22:D25" si="0">IF(OR($C$20=0,C22=0),"-",C22/$C$20)</f>
        <v>1</v>
      </c>
      <c r="G22" s="5"/>
      <c r="H22" s="5"/>
      <c r="I22" s="5"/>
      <c r="J22" s="72" t="s">
        <v>901</v>
      </c>
      <c r="K22" s="99">
        <v>1</v>
      </c>
      <c r="L22" s="6">
        <f>IF(OR($C$20=0,K22=0),"-",K22/$C$20)</f>
        <v>1</v>
      </c>
      <c r="O22" s="5"/>
      <c r="P22" s="5"/>
      <c r="Q22" s="5"/>
      <c r="R22" s="72" t="s">
        <v>901</v>
      </c>
      <c r="S22" s="99">
        <v>1</v>
      </c>
      <c r="T22" s="6">
        <f t="shared" ref="T22:T25" si="1">IF(OR($C$20=0,S22=0),"-",S22/$C$20)</f>
        <v>1</v>
      </c>
      <c r="W22" s="5"/>
      <c r="X22" s="5"/>
    </row>
    <row r="23" spans="1:24" x14ac:dyDescent="0.3">
      <c r="B23" s="72" t="s">
        <v>902</v>
      </c>
      <c r="C23" s="99">
        <v>1</v>
      </c>
      <c r="D23" s="6">
        <f t="shared" si="0"/>
        <v>1</v>
      </c>
      <c r="G23" s="5"/>
      <c r="H23" s="5"/>
      <c r="I23" s="5"/>
      <c r="J23" s="72" t="s">
        <v>902</v>
      </c>
      <c r="K23" s="99">
        <v>1</v>
      </c>
      <c r="L23" s="6">
        <f>IF(OR($C$20=0,K23=0),"-",K23/$C$20)</f>
        <v>1</v>
      </c>
      <c r="O23" s="5"/>
      <c r="P23" s="5"/>
      <c r="Q23" s="5"/>
      <c r="R23" s="72" t="s">
        <v>902</v>
      </c>
      <c r="S23" s="99">
        <v>1</v>
      </c>
      <c r="T23" s="6">
        <f t="shared" si="1"/>
        <v>1</v>
      </c>
      <c r="W23" s="5"/>
      <c r="X23" s="5"/>
    </row>
    <row r="24" spans="1:24" x14ac:dyDescent="0.3">
      <c r="B24" s="72" t="s">
        <v>903</v>
      </c>
      <c r="C24" s="99">
        <v>1</v>
      </c>
      <c r="D24" s="6">
        <f t="shared" si="0"/>
        <v>1</v>
      </c>
      <c r="G24" s="5"/>
      <c r="H24" s="5"/>
      <c r="I24" s="5"/>
      <c r="J24" s="72" t="s">
        <v>903</v>
      </c>
      <c r="K24" s="99">
        <v>1</v>
      </c>
      <c r="L24" s="6">
        <f>IF(OR($C$20=0,K24=0),"-",K24/$C$20)</f>
        <v>1</v>
      </c>
      <c r="O24" s="5"/>
      <c r="P24" s="5"/>
      <c r="Q24" s="5"/>
      <c r="R24" s="72" t="s">
        <v>903</v>
      </c>
      <c r="S24" s="99">
        <v>1</v>
      </c>
      <c r="T24" s="6">
        <f t="shared" si="1"/>
        <v>1</v>
      </c>
      <c r="W24" s="5"/>
      <c r="X24" s="5"/>
    </row>
    <row r="25" spans="1:24" ht="15" thickBot="1" x14ac:dyDescent="0.35">
      <c r="A25" s="1" t="s">
        <v>871</v>
      </c>
      <c r="B25" s="73" t="s">
        <v>904</v>
      </c>
      <c r="C25" s="100">
        <v>1</v>
      </c>
      <c r="D25" s="21">
        <f t="shared" si="0"/>
        <v>1</v>
      </c>
      <c r="G25" s="5"/>
      <c r="H25" s="5"/>
      <c r="I25" s="5"/>
      <c r="J25" s="73" t="s">
        <v>904</v>
      </c>
      <c r="K25" s="100">
        <v>1</v>
      </c>
      <c r="L25" s="21">
        <f>IF(OR($C$20=0,K25=0),"-",K25/$C$20)</f>
        <v>1</v>
      </c>
      <c r="O25" s="5"/>
      <c r="P25" s="5"/>
      <c r="Q25" s="5"/>
      <c r="R25" s="73" t="s">
        <v>904</v>
      </c>
      <c r="S25" s="100">
        <v>1</v>
      </c>
      <c r="T25" s="21">
        <f t="shared" si="1"/>
        <v>1</v>
      </c>
      <c r="W25" s="5"/>
      <c r="X25" s="5"/>
    </row>
    <row r="26" spans="1:24" x14ac:dyDescent="0.3">
      <c r="C26" s="59"/>
      <c r="E26" s="5"/>
      <c r="F26" s="5"/>
      <c r="G26" s="5"/>
      <c r="H26" s="5"/>
      <c r="I26" s="5"/>
      <c r="J26" s="1"/>
      <c r="K26" s="59"/>
      <c r="M26" s="5"/>
      <c r="N26" s="5"/>
      <c r="O26" s="5"/>
      <c r="P26" s="5"/>
      <c r="Q26" s="5"/>
      <c r="R26" s="1"/>
      <c r="S26" s="59"/>
      <c r="U26" s="5"/>
      <c r="V26" s="5"/>
      <c r="W26" s="5"/>
      <c r="X26" s="5"/>
    </row>
    <row r="27" spans="1:24" ht="15" thickBot="1" x14ac:dyDescent="0.35">
      <c r="C27" s="8"/>
      <c r="D27" s="5"/>
      <c r="E27" s="5"/>
      <c r="F27" s="5"/>
      <c r="G27" s="5"/>
      <c r="H27" s="5"/>
      <c r="I27" s="5"/>
      <c r="J27" s="1"/>
      <c r="K27" s="1"/>
      <c r="L27" s="1"/>
      <c r="M27" s="1"/>
      <c r="N27" s="37"/>
      <c r="O27" s="1"/>
      <c r="P27" s="1"/>
      <c r="Q27" s="5"/>
      <c r="R27" s="1"/>
      <c r="S27" s="8"/>
      <c r="T27" s="5"/>
      <c r="U27" s="5"/>
      <c r="V27" s="5"/>
      <c r="W27" s="5"/>
      <c r="X27" s="5"/>
    </row>
    <row r="28" spans="1:24" ht="15" thickBot="1" x14ac:dyDescent="0.35">
      <c r="B28" s="229" t="s">
        <v>869</v>
      </c>
      <c r="C28" s="230"/>
      <c r="D28" s="230"/>
      <c r="E28" s="231"/>
      <c r="F28" s="24"/>
      <c r="G28" s="24"/>
      <c r="H28" s="24"/>
      <c r="I28" s="24"/>
      <c r="J28" s="229" t="s">
        <v>869</v>
      </c>
      <c r="K28" s="230"/>
      <c r="L28" s="230"/>
      <c r="M28" s="231"/>
      <c r="N28" s="37"/>
      <c r="O28" s="1"/>
      <c r="P28" s="1"/>
      <c r="Q28" s="24"/>
      <c r="R28" s="229" t="s">
        <v>869</v>
      </c>
      <c r="S28" s="230"/>
      <c r="T28" s="230"/>
      <c r="U28" s="231"/>
      <c r="V28" s="24"/>
      <c r="W28" s="24"/>
      <c r="X28" s="24"/>
    </row>
    <row r="29" spans="1:24" x14ac:dyDescent="0.3">
      <c r="B29" s="33"/>
      <c r="C29" s="2"/>
      <c r="D29" s="2" t="s">
        <v>28</v>
      </c>
      <c r="E29" s="74" t="s">
        <v>29</v>
      </c>
      <c r="F29" s="24"/>
      <c r="G29" s="24"/>
      <c r="H29" s="24"/>
      <c r="I29" s="24"/>
      <c r="J29" s="33"/>
      <c r="K29" s="2"/>
      <c r="L29" s="2" t="s">
        <v>28</v>
      </c>
      <c r="M29" s="74" t="s">
        <v>29</v>
      </c>
      <c r="N29" s="37"/>
      <c r="O29" s="1"/>
      <c r="P29" s="1"/>
      <c r="Q29" s="24"/>
      <c r="R29" s="33"/>
      <c r="S29" s="2"/>
      <c r="T29" s="2" t="s">
        <v>28</v>
      </c>
      <c r="U29" s="74" t="s">
        <v>29</v>
      </c>
      <c r="V29" s="24"/>
      <c r="W29" s="24"/>
      <c r="X29" s="24"/>
    </row>
    <row r="30" spans="1:24" x14ac:dyDescent="0.3">
      <c r="B30" s="97" t="s">
        <v>890</v>
      </c>
      <c r="D30" s="5">
        <v>0</v>
      </c>
      <c r="E30" s="143"/>
      <c r="F30" s="24"/>
      <c r="G30" s="24"/>
      <c r="H30" s="24"/>
      <c r="I30" s="24"/>
      <c r="J30" s="97" t="s">
        <v>890</v>
      </c>
      <c r="K30" s="5"/>
      <c r="L30" s="5">
        <v>0</v>
      </c>
      <c r="M30" s="143"/>
      <c r="N30" s="37"/>
      <c r="O30" s="1"/>
      <c r="P30" s="1"/>
      <c r="Q30" s="24"/>
      <c r="R30" s="97" t="s">
        <v>890</v>
      </c>
      <c r="S30" s="5"/>
      <c r="T30" s="5">
        <v>0</v>
      </c>
      <c r="U30" s="143"/>
      <c r="V30" s="24"/>
      <c r="W30" s="24"/>
      <c r="X30" s="24"/>
    </row>
    <row r="31" spans="1:24" x14ac:dyDescent="0.3">
      <c r="B31" s="97" t="s">
        <v>905</v>
      </c>
      <c r="C31" s="2"/>
      <c r="D31" s="98">
        <v>0</v>
      </c>
      <c r="E31" s="125" t="str">
        <f>IF(OR(D31=0,D30=0),"-",D31/D30)</f>
        <v>-</v>
      </c>
      <c r="F31" s="24"/>
      <c r="G31" s="24"/>
      <c r="H31" s="24"/>
      <c r="I31" s="24"/>
      <c r="J31" s="97" t="s">
        <v>905</v>
      </c>
      <c r="K31" s="2"/>
      <c r="L31" s="98">
        <v>0</v>
      </c>
      <c r="M31" s="125" t="str">
        <f>IF(OR(L31=0,L30=0),"-",L31/L30)</f>
        <v>-</v>
      </c>
      <c r="N31" s="37"/>
      <c r="O31" s="1"/>
      <c r="P31" s="1"/>
      <c r="Q31" s="24"/>
      <c r="R31" s="97" t="s">
        <v>905</v>
      </c>
      <c r="S31" s="2"/>
      <c r="T31" s="98">
        <v>0</v>
      </c>
      <c r="U31" s="125" t="str">
        <f>IF(OR(T31=0,T30=0),"-",T31/T30)</f>
        <v>-</v>
      </c>
      <c r="V31" s="24"/>
      <c r="W31" s="24"/>
      <c r="X31" s="24"/>
    </row>
    <row r="32" spans="1:24" x14ac:dyDescent="0.3">
      <c r="B32" s="97" t="s">
        <v>906</v>
      </c>
      <c r="C32" s="2"/>
      <c r="D32" s="98">
        <v>0</v>
      </c>
      <c r="E32" s="125" t="str">
        <f>IF(OR(D32=0,D30=0),"-",D32/D30)</f>
        <v>-</v>
      </c>
      <c r="F32" s="24"/>
      <c r="G32" s="24"/>
      <c r="H32" s="24"/>
      <c r="I32" s="24"/>
      <c r="J32" s="97" t="s">
        <v>906</v>
      </c>
      <c r="K32" s="2"/>
      <c r="L32" s="98">
        <v>0</v>
      </c>
      <c r="M32" s="125" t="str">
        <f>IF(OR(L32=0,L30=0),"-",L32/L30)</f>
        <v>-</v>
      </c>
      <c r="N32" s="37"/>
      <c r="O32" s="1"/>
      <c r="P32" s="1"/>
      <c r="Q32" s="24"/>
      <c r="R32" s="97" t="s">
        <v>906</v>
      </c>
      <c r="S32" s="2"/>
      <c r="T32" s="98">
        <v>0</v>
      </c>
      <c r="U32" s="125" t="str">
        <f>IF(OR(T32=0,T30=0),"-",T32/T30)</f>
        <v>-</v>
      </c>
      <c r="V32" s="24"/>
      <c r="W32" s="24"/>
      <c r="X32" s="24"/>
    </row>
    <row r="33" spans="2:24" x14ac:dyDescent="0.3">
      <c r="B33" s="72" t="s">
        <v>907</v>
      </c>
      <c r="C33" s="8"/>
      <c r="D33" s="5">
        <v>0</v>
      </c>
      <c r="E33" s="125" t="str">
        <f>IF(OR($D$32=0,D33=0),"-",D33/D32)</f>
        <v>-</v>
      </c>
      <c r="F33" s="5"/>
      <c r="G33" s="5"/>
      <c r="H33" s="5"/>
      <c r="I33" s="5"/>
      <c r="J33" s="72" t="s">
        <v>907</v>
      </c>
      <c r="K33" s="8"/>
      <c r="L33" s="5">
        <v>0</v>
      </c>
      <c r="M33" s="125" t="str">
        <f>IF(OR($D$32=0,L33=0),"-",L33/L32)</f>
        <v>-</v>
      </c>
      <c r="N33" s="37"/>
      <c r="O33" s="1"/>
      <c r="P33" s="1"/>
      <c r="Q33" s="5"/>
      <c r="R33" s="72" t="s">
        <v>907</v>
      </c>
      <c r="S33" s="8"/>
      <c r="T33" s="5">
        <v>0</v>
      </c>
      <c r="U33" s="125" t="str">
        <f>IF(OR($D$32=0,T33=0),"-",T33/T32)</f>
        <v>-</v>
      </c>
      <c r="V33" s="5"/>
      <c r="W33" s="5"/>
      <c r="X33" s="5"/>
    </row>
    <row r="34" spans="2:24" ht="15" thickBot="1" x14ac:dyDescent="0.35">
      <c r="B34" s="73" t="s">
        <v>908</v>
      </c>
      <c r="C34" s="68"/>
      <c r="D34" s="17">
        <v>0</v>
      </c>
      <c r="E34" s="126" t="str">
        <f>IF(OR($D$32=0,D34=0),"-",D34/D33)</f>
        <v>-</v>
      </c>
      <c r="F34" s="5"/>
      <c r="G34" s="59"/>
      <c r="H34" s="5"/>
      <c r="I34" s="5"/>
      <c r="J34" s="73" t="s">
        <v>908</v>
      </c>
      <c r="K34" s="68"/>
      <c r="L34" s="17">
        <v>0</v>
      </c>
      <c r="M34" s="126" t="str">
        <f>IF(OR($D$32=0,L34=0),"-",L34/L33)</f>
        <v>-</v>
      </c>
      <c r="N34" s="37"/>
      <c r="O34" s="1"/>
      <c r="P34" s="1"/>
      <c r="Q34" s="5"/>
      <c r="R34" s="73" t="s">
        <v>908</v>
      </c>
      <c r="S34" s="68"/>
      <c r="T34" s="17">
        <v>0</v>
      </c>
      <c r="U34" s="126" t="str">
        <f>IF(OR($D$32=0,T34=0),"-",T34/T33)</f>
        <v>-</v>
      </c>
      <c r="V34" s="5"/>
      <c r="W34" s="59"/>
      <c r="X34" s="5"/>
    </row>
    <row r="35" spans="2:24" x14ac:dyDescent="0.3">
      <c r="C35" s="8"/>
      <c r="D35" s="5"/>
      <c r="E35" s="5"/>
      <c r="F35" s="5"/>
      <c r="G35" s="5"/>
      <c r="H35" s="5"/>
      <c r="I35" s="5"/>
      <c r="J35" s="1"/>
      <c r="K35" s="1"/>
      <c r="L35" s="1"/>
      <c r="M35" s="1"/>
      <c r="N35" s="37"/>
      <c r="O35" s="1"/>
      <c r="P35" s="1"/>
      <c r="Q35" s="5"/>
      <c r="R35" s="1"/>
      <c r="S35" s="8"/>
      <c r="T35" s="5"/>
      <c r="U35" s="5"/>
      <c r="V35" s="5"/>
      <c r="W35" s="5"/>
      <c r="X35" s="5"/>
    </row>
    <row r="36" spans="2:24" ht="15" thickBot="1" x14ac:dyDescent="0.35">
      <c r="I36" s="1"/>
      <c r="J36" s="1"/>
      <c r="K36" s="5"/>
      <c r="R36" s="1"/>
      <c r="S36" s="5"/>
    </row>
    <row r="37" spans="2:24" ht="15" thickBot="1" x14ac:dyDescent="0.35">
      <c r="B37" s="229" t="s">
        <v>777</v>
      </c>
      <c r="C37" s="230"/>
      <c r="D37" s="230"/>
      <c r="E37" s="230"/>
      <c r="F37" s="231"/>
      <c r="G37" s="1"/>
      <c r="H37" s="1"/>
      <c r="I37" s="1"/>
      <c r="J37" s="229" t="s">
        <v>777</v>
      </c>
      <c r="K37" s="230"/>
      <c r="L37" s="230"/>
      <c r="M37" s="230"/>
      <c r="N37" s="231"/>
      <c r="O37" s="1"/>
      <c r="P37" s="1"/>
      <c r="Q37" s="1"/>
      <c r="R37" s="229" t="s">
        <v>777</v>
      </c>
      <c r="S37" s="230"/>
      <c r="T37" s="230"/>
      <c r="U37" s="230"/>
      <c r="V37" s="231"/>
      <c r="W37" s="1"/>
      <c r="X37" s="1"/>
    </row>
    <row r="38" spans="2:24" ht="15" customHeight="1" x14ac:dyDescent="0.3">
      <c r="B38" s="30"/>
      <c r="C38" s="227" t="s">
        <v>752</v>
      </c>
      <c r="D38" s="225" t="s">
        <v>753</v>
      </c>
      <c r="E38" s="225"/>
      <c r="F38" s="235" t="s">
        <v>758</v>
      </c>
      <c r="G38" s="1"/>
      <c r="H38" s="1"/>
      <c r="I38" s="1"/>
      <c r="J38" s="30"/>
      <c r="K38" s="227" t="s">
        <v>752</v>
      </c>
      <c r="L38" s="225" t="s">
        <v>753</v>
      </c>
      <c r="M38" s="225"/>
      <c r="N38" s="235" t="s">
        <v>758</v>
      </c>
      <c r="O38" s="1"/>
      <c r="P38" s="1"/>
      <c r="Q38" s="1"/>
      <c r="R38" s="30"/>
      <c r="S38" s="227" t="s">
        <v>752</v>
      </c>
      <c r="T38" s="225" t="s">
        <v>753</v>
      </c>
      <c r="U38" s="225"/>
      <c r="V38" s="235" t="s">
        <v>758</v>
      </c>
      <c r="W38" s="1"/>
      <c r="X38" s="1"/>
    </row>
    <row r="39" spans="2:24" x14ac:dyDescent="0.3">
      <c r="B39" s="3"/>
      <c r="C39" s="228"/>
      <c r="D39" s="226"/>
      <c r="E39" s="226"/>
      <c r="F39" s="236"/>
      <c r="G39" s="1"/>
      <c r="H39" s="1"/>
      <c r="I39" s="1"/>
      <c r="J39" s="3"/>
      <c r="K39" s="228"/>
      <c r="L39" s="226"/>
      <c r="M39" s="226"/>
      <c r="N39" s="236"/>
      <c r="O39" s="1"/>
      <c r="P39" s="1"/>
      <c r="Q39" s="1"/>
      <c r="R39" s="3"/>
      <c r="S39" s="228"/>
      <c r="T39" s="226"/>
      <c r="U39" s="226"/>
      <c r="V39" s="236"/>
      <c r="W39" s="1"/>
      <c r="X39" s="1"/>
    </row>
    <row r="40" spans="2:24" x14ac:dyDescent="0.3">
      <c r="B40" s="3"/>
      <c r="C40" s="78" t="s">
        <v>28</v>
      </c>
      <c r="D40" s="65" t="s">
        <v>28</v>
      </c>
      <c r="E40" s="65" t="s">
        <v>29</v>
      </c>
      <c r="F40" s="79" t="s">
        <v>28</v>
      </c>
      <c r="G40" s="1"/>
      <c r="H40" s="1"/>
      <c r="I40" s="1"/>
      <c r="J40" s="3"/>
      <c r="K40" s="78" t="s">
        <v>28</v>
      </c>
      <c r="L40" s="65" t="s">
        <v>28</v>
      </c>
      <c r="M40" s="65" t="s">
        <v>29</v>
      </c>
      <c r="N40" s="79" t="s">
        <v>28</v>
      </c>
      <c r="O40" s="1"/>
      <c r="P40" s="1"/>
      <c r="Q40" s="1"/>
      <c r="R40" s="3"/>
      <c r="S40" s="78" t="s">
        <v>28</v>
      </c>
      <c r="T40" s="65" t="s">
        <v>28</v>
      </c>
      <c r="U40" s="65" t="s">
        <v>29</v>
      </c>
      <c r="V40" s="79" t="s">
        <v>28</v>
      </c>
      <c r="W40" s="1"/>
      <c r="X40" s="1"/>
    </row>
    <row r="41" spans="2:24" x14ac:dyDescent="0.3">
      <c r="B41" s="4" t="s">
        <v>755</v>
      </c>
      <c r="C41" s="69">
        <v>0</v>
      </c>
      <c r="D41" s="5">
        <v>0</v>
      </c>
      <c r="E41" s="15" t="str">
        <f>IF(OR($C$41=0,D41=0),"-",D41/C41)</f>
        <v>-</v>
      </c>
      <c r="F41" s="76">
        <v>0</v>
      </c>
      <c r="G41" s="1"/>
      <c r="H41" s="1"/>
      <c r="I41" s="1"/>
      <c r="J41" s="4" t="s">
        <v>755</v>
      </c>
      <c r="K41" s="69">
        <v>0</v>
      </c>
      <c r="L41" s="5">
        <v>0</v>
      </c>
      <c r="M41" s="15" t="str">
        <f>IF(OR($C$41=0,L41=0),"-",L41/K41)</f>
        <v>-</v>
      </c>
      <c r="N41" s="76">
        <v>0</v>
      </c>
      <c r="O41" s="1"/>
      <c r="P41" s="1"/>
      <c r="Q41" s="1"/>
      <c r="R41" s="4" t="s">
        <v>755</v>
      </c>
      <c r="S41" s="69">
        <v>0</v>
      </c>
      <c r="T41" s="5">
        <v>0</v>
      </c>
      <c r="U41" s="15" t="str">
        <f>IF(OR($C$41=0,T41=0),"-",T41/S41)</f>
        <v>-</v>
      </c>
      <c r="V41" s="76">
        <v>0</v>
      </c>
      <c r="W41" s="1"/>
      <c r="X41" s="1"/>
    </row>
    <row r="42" spans="2:24" x14ac:dyDescent="0.3">
      <c r="B42" s="4" t="s">
        <v>756</v>
      </c>
      <c r="C42" s="69">
        <v>0</v>
      </c>
      <c r="D42" s="5">
        <v>0</v>
      </c>
      <c r="E42" s="15" t="str">
        <f>IF(OR($C$41=0,D42=0),"-",D42/C42)</f>
        <v>-</v>
      </c>
      <c r="F42" s="76">
        <v>0</v>
      </c>
      <c r="G42" s="1"/>
      <c r="H42" s="1"/>
      <c r="I42" s="1"/>
      <c r="J42" s="4" t="s">
        <v>756</v>
      </c>
      <c r="K42" s="69">
        <v>0</v>
      </c>
      <c r="L42" s="5">
        <v>0</v>
      </c>
      <c r="M42" s="15" t="str">
        <f>IF(OR($C$41=0,L42=0),"-",L42/K42)</f>
        <v>-</v>
      </c>
      <c r="N42" s="76">
        <v>0</v>
      </c>
      <c r="O42" s="1"/>
      <c r="P42" s="1"/>
      <c r="Q42" s="1"/>
      <c r="R42" s="4" t="s">
        <v>756</v>
      </c>
      <c r="S42" s="69">
        <v>0</v>
      </c>
      <c r="T42" s="5">
        <v>0</v>
      </c>
      <c r="U42" s="15" t="str">
        <f>IF(OR($C$41=0,T42=0),"-",T42/S42)</f>
        <v>-</v>
      </c>
      <c r="V42" s="76">
        <v>0</v>
      </c>
      <c r="W42" s="1"/>
      <c r="X42" s="1"/>
    </row>
    <row r="43" spans="2:24" x14ac:dyDescent="0.3">
      <c r="B43" s="4" t="s">
        <v>890</v>
      </c>
      <c r="C43" s="141" t="s">
        <v>874</v>
      </c>
      <c r="D43" s="5" t="s">
        <v>874</v>
      </c>
      <c r="E43" s="15" t="s">
        <v>874</v>
      </c>
      <c r="F43" s="76">
        <v>0</v>
      </c>
      <c r="G43" s="1"/>
      <c r="H43" s="1"/>
      <c r="I43" s="1"/>
      <c r="J43" s="4" t="s">
        <v>890</v>
      </c>
      <c r="K43" s="141" t="s">
        <v>874</v>
      </c>
      <c r="L43" s="5" t="s">
        <v>874</v>
      </c>
      <c r="M43" s="15" t="s">
        <v>874</v>
      </c>
      <c r="N43" s="76">
        <v>0</v>
      </c>
      <c r="O43" s="1"/>
      <c r="P43" s="1"/>
      <c r="Q43" s="1"/>
      <c r="R43" s="4" t="s">
        <v>890</v>
      </c>
      <c r="S43" s="141" t="s">
        <v>874</v>
      </c>
      <c r="T43" s="5" t="s">
        <v>874</v>
      </c>
      <c r="U43" s="15" t="s">
        <v>874</v>
      </c>
      <c r="V43" s="76">
        <v>0</v>
      </c>
      <c r="W43" s="1"/>
      <c r="X43" s="1"/>
    </row>
    <row r="44" spans="2:24" ht="15" thickBot="1" x14ac:dyDescent="0.35">
      <c r="B44" s="13" t="s">
        <v>754</v>
      </c>
      <c r="C44" s="75">
        <v>0</v>
      </c>
      <c r="D44" s="17">
        <f>SUM(D41:D42)</f>
        <v>0</v>
      </c>
      <c r="E44" s="50" t="str">
        <f>IF(OR($C$41=0,D44=0),"-",D44/D44)</f>
        <v>-</v>
      </c>
      <c r="F44" s="77">
        <f>SUM(F41:F43)</f>
        <v>0</v>
      </c>
      <c r="G44" s="1"/>
      <c r="H44" s="1"/>
      <c r="J44" s="13" t="s">
        <v>754</v>
      </c>
      <c r="K44" s="75">
        <v>0</v>
      </c>
      <c r="L44" s="17">
        <f>SUM(L41:L42)</f>
        <v>0</v>
      </c>
      <c r="M44" s="50" t="str">
        <f>IF(OR($C$41=0,L44=0),"-",L44/L44)</f>
        <v>-</v>
      </c>
      <c r="N44" s="77">
        <f>SUM(N41:N43)</f>
        <v>0</v>
      </c>
      <c r="O44" s="1"/>
      <c r="P44" s="1"/>
      <c r="Q44" s="1"/>
      <c r="R44" s="13" t="s">
        <v>754</v>
      </c>
      <c r="S44" s="75">
        <v>0</v>
      </c>
      <c r="T44" s="17">
        <f>SUM(T41:T42)</f>
        <v>0</v>
      </c>
      <c r="U44" s="50" t="str">
        <f>IF(OR($C$41=0,T44=0),"-",T44/T44)</f>
        <v>-</v>
      </c>
      <c r="V44" s="77">
        <f>SUM(V41:V43)</f>
        <v>0</v>
      </c>
      <c r="W44" s="1"/>
      <c r="X44" s="1"/>
    </row>
    <row r="45" spans="2:24" x14ac:dyDescent="0.3">
      <c r="J45" s="1"/>
      <c r="K45" s="5"/>
      <c r="R45" s="1"/>
      <c r="S45" s="5"/>
    </row>
    <row r="46" spans="2:24" ht="15" thickBot="1" x14ac:dyDescent="0.35">
      <c r="J46" s="1"/>
      <c r="K46" s="5"/>
      <c r="R46" s="1"/>
      <c r="S46" s="5"/>
    </row>
    <row r="47" spans="2:24" ht="15" thickBot="1" x14ac:dyDescent="0.35">
      <c r="B47" s="229" t="s">
        <v>792</v>
      </c>
      <c r="C47" s="230"/>
      <c r="D47" s="230"/>
      <c r="E47" s="230"/>
      <c r="F47" s="231"/>
      <c r="G47" s="220" t="s">
        <v>915</v>
      </c>
      <c r="H47" s="221"/>
      <c r="J47" s="229" t="s">
        <v>792</v>
      </c>
      <c r="K47" s="230"/>
      <c r="L47" s="230"/>
      <c r="M47" s="230"/>
      <c r="N47" s="231"/>
      <c r="O47" s="220" t="s">
        <v>915</v>
      </c>
      <c r="P47" s="221"/>
      <c r="R47" s="229" t="s">
        <v>792</v>
      </c>
      <c r="S47" s="230"/>
      <c r="T47" s="230"/>
      <c r="U47" s="230"/>
      <c r="V47" s="231"/>
      <c r="W47" s="220" t="s">
        <v>915</v>
      </c>
      <c r="X47" s="221"/>
    </row>
    <row r="48" spans="2:24" ht="28.8" x14ac:dyDescent="0.3">
      <c r="B48" s="232" t="s">
        <v>782</v>
      </c>
      <c r="C48" s="226"/>
      <c r="D48" s="78" t="s">
        <v>759</v>
      </c>
      <c r="E48" s="65" t="s">
        <v>752</v>
      </c>
      <c r="F48" s="79" t="s">
        <v>783</v>
      </c>
      <c r="G48" s="146" t="s">
        <v>28</v>
      </c>
      <c r="H48" s="146" t="s">
        <v>29</v>
      </c>
      <c r="J48" s="232" t="s">
        <v>782</v>
      </c>
      <c r="K48" s="226"/>
      <c r="L48" s="78" t="s">
        <v>759</v>
      </c>
      <c r="M48" s="65" t="s">
        <v>752</v>
      </c>
      <c r="N48" s="79" t="s">
        <v>783</v>
      </c>
      <c r="O48" s="146" t="s">
        <v>28</v>
      </c>
      <c r="P48" s="146" t="s">
        <v>29</v>
      </c>
      <c r="R48" s="232" t="s">
        <v>782</v>
      </c>
      <c r="S48" s="226"/>
      <c r="T48" s="78" t="s">
        <v>759</v>
      </c>
      <c r="U48" s="65" t="s">
        <v>752</v>
      </c>
      <c r="V48" s="79" t="s">
        <v>783</v>
      </c>
      <c r="W48" s="146" t="s">
        <v>28</v>
      </c>
      <c r="X48" s="146" t="s">
        <v>29</v>
      </c>
    </row>
    <row r="49" spans="2:24" x14ac:dyDescent="0.3">
      <c r="B49" s="233" t="s">
        <v>784</v>
      </c>
      <c r="C49" s="234"/>
      <c r="D49" s="69">
        <v>0</v>
      </c>
      <c r="E49" s="5">
        <v>0</v>
      </c>
      <c r="F49" s="76">
        <v>0</v>
      </c>
      <c r="G49" s="145"/>
      <c r="H49" s="145"/>
      <c r="J49" s="233" t="s">
        <v>784</v>
      </c>
      <c r="K49" s="234"/>
      <c r="L49" s="69">
        <v>0</v>
      </c>
      <c r="M49" s="5">
        <v>0</v>
      </c>
      <c r="N49" s="76">
        <v>0</v>
      </c>
      <c r="O49" s="145"/>
      <c r="P49" s="145"/>
      <c r="R49" s="233" t="s">
        <v>784</v>
      </c>
      <c r="S49" s="234"/>
      <c r="T49" s="69">
        <v>0</v>
      </c>
      <c r="U49" s="5">
        <v>0</v>
      </c>
      <c r="V49" s="76">
        <v>0</v>
      </c>
      <c r="W49" s="145"/>
      <c r="X49" s="145"/>
    </row>
    <row r="50" spans="2:24" x14ac:dyDescent="0.3">
      <c r="B50" s="233" t="s">
        <v>765</v>
      </c>
      <c r="C50" s="234"/>
      <c r="D50" s="69">
        <v>0</v>
      </c>
      <c r="E50" s="5">
        <v>0</v>
      </c>
      <c r="F50" s="76">
        <v>0</v>
      </c>
      <c r="G50" s="145"/>
      <c r="H50" s="145"/>
      <c r="J50" s="233" t="s">
        <v>765</v>
      </c>
      <c r="K50" s="234"/>
      <c r="L50" s="69">
        <v>0</v>
      </c>
      <c r="M50" s="5">
        <v>0</v>
      </c>
      <c r="N50" s="76">
        <v>0</v>
      </c>
      <c r="O50" s="145"/>
      <c r="P50" s="145"/>
      <c r="R50" s="233" t="s">
        <v>765</v>
      </c>
      <c r="S50" s="234"/>
      <c r="T50" s="69">
        <v>0</v>
      </c>
      <c r="U50" s="5">
        <v>0</v>
      </c>
      <c r="V50" s="76">
        <v>0</v>
      </c>
      <c r="W50" s="145"/>
      <c r="X50" s="145"/>
    </row>
    <row r="51" spans="2:24" x14ac:dyDescent="0.3">
      <c r="B51" s="233" t="s">
        <v>785</v>
      </c>
      <c r="C51" s="234"/>
      <c r="D51" s="69">
        <v>0</v>
      </c>
      <c r="E51" s="5">
        <v>0</v>
      </c>
      <c r="F51" s="76">
        <v>0</v>
      </c>
      <c r="G51" s="145"/>
      <c r="H51" s="145"/>
      <c r="J51" s="233" t="s">
        <v>785</v>
      </c>
      <c r="K51" s="234"/>
      <c r="L51" s="69">
        <v>0</v>
      </c>
      <c r="M51" s="5">
        <v>0</v>
      </c>
      <c r="N51" s="76">
        <v>0</v>
      </c>
      <c r="O51" s="145"/>
      <c r="P51" s="145"/>
      <c r="R51" s="233" t="s">
        <v>785</v>
      </c>
      <c r="S51" s="234"/>
      <c r="T51" s="69">
        <v>0</v>
      </c>
      <c r="U51" s="5">
        <v>0</v>
      </c>
      <c r="V51" s="76">
        <v>0</v>
      </c>
      <c r="W51" s="145"/>
      <c r="X51" s="145"/>
    </row>
    <row r="52" spans="2:24" x14ac:dyDescent="0.3">
      <c r="B52" s="233" t="s">
        <v>766</v>
      </c>
      <c r="C52" s="234"/>
      <c r="D52" s="69">
        <v>0</v>
      </c>
      <c r="E52" s="5">
        <v>0</v>
      </c>
      <c r="F52" s="76">
        <v>0</v>
      </c>
      <c r="G52" s="145"/>
      <c r="H52" s="145"/>
      <c r="J52" s="233" t="s">
        <v>766</v>
      </c>
      <c r="K52" s="234"/>
      <c r="L52" s="69">
        <v>0</v>
      </c>
      <c r="M52" s="5">
        <v>0</v>
      </c>
      <c r="N52" s="76">
        <v>0</v>
      </c>
      <c r="O52" s="145"/>
      <c r="P52" s="145"/>
      <c r="R52" s="233" t="s">
        <v>766</v>
      </c>
      <c r="S52" s="234"/>
      <c r="T52" s="69">
        <v>0</v>
      </c>
      <c r="U52" s="5">
        <v>0</v>
      </c>
      <c r="V52" s="76">
        <v>0</v>
      </c>
      <c r="W52" s="145"/>
      <c r="X52" s="145"/>
    </row>
    <row r="53" spans="2:24" x14ac:dyDescent="0.3">
      <c r="B53" s="233" t="s">
        <v>772</v>
      </c>
      <c r="C53" s="234"/>
      <c r="D53" s="69">
        <v>0</v>
      </c>
      <c r="E53" s="5">
        <v>0</v>
      </c>
      <c r="F53" s="76">
        <v>0</v>
      </c>
      <c r="G53" s="145"/>
      <c r="H53" s="145"/>
      <c r="J53" s="233" t="s">
        <v>772</v>
      </c>
      <c r="K53" s="234"/>
      <c r="L53" s="69">
        <v>0</v>
      </c>
      <c r="M53" s="5">
        <v>0</v>
      </c>
      <c r="N53" s="76">
        <v>0</v>
      </c>
      <c r="O53" s="145"/>
      <c r="P53" s="145"/>
      <c r="R53" s="233" t="s">
        <v>772</v>
      </c>
      <c r="S53" s="234"/>
      <c r="T53" s="69">
        <v>0</v>
      </c>
      <c r="U53" s="5">
        <v>0</v>
      </c>
      <c r="V53" s="76">
        <v>0</v>
      </c>
      <c r="W53" s="145"/>
      <c r="X53" s="145"/>
    </row>
    <row r="54" spans="2:24" x14ac:dyDescent="0.3">
      <c r="B54" s="233" t="s">
        <v>770</v>
      </c>
      <c r="C54" s="234"/>
      <c r="D54" s="69">
        <v>0</v>
      </c>
      <c r="E54" s="5">
        <v>0</v>
      </c>
      <c r="F54" s="76">
        <v>0</v>
      </c>
      <c r="G54" s="145"/>
      <c r="H54" s="145"/>
      <c r="J54" s="233" t="s">
        <v>770</v>
      </c>
      <c r="K54" s="234"/>
      <c r="L54" s="69">
        <v>0</v>
      </c>
      <c r="M54" s="5">
        <v>0</v>
      </c>
      <c r="N54" s="76">
        <v>0</v>
      </c>
      <c r="O54" s="145"/>
      <c r="P54" s="145"/>
      <c r="R54" s="233" t="s">
        <v>770</v>
      </c>
      <c r="S54" s="234"/>
      <c r="T54" s="69">
        <v>0</v>
      </c>
      <c r="U54" s="5">
        <v>0</v>
      </c>
      <c r="V54" s="76">
        <v>0</v>
      </c>
      <c r="W54" s="145"/>
      <c r="X54" s="145"/>
    </row>
    <row r="55" spans="2:24" x14ac:dyDescent="0.3">
      <c r="B55" s="233" t="s">
        <v>764</v>
      </c>
      <c r="C55" s="234"/>
      <c r="D55" s="69">
        <v>0</v>
      </c>
      <c r="E55" s="5">
        <v>0</v>
      </c>
      <c r="F55" s="76">
        <v>0</v>
      </c>
      <c r="G55" s="145"/>
      <c r="H55" s="145"/>
      <c r="J55" s="233" t="s">
        <v>764</v>
      </c>
      <c r="K55" s="234"/>
      <c r="L55" s="69">
        <v>0</v>
      </c>
      <c r="M55" s="5">
        <v>0</v>
      </c>
      <c r="N55" s="76">
        <v>0</v>
      </c>
      <c r="O55" s="145"/>
      <c r="P55" s="145"/>
      <c r="R55" s="233" t="s">
        <v>764</v>
      </c>
      <c r="S55" s="234"/>
      <c r="T55" s="69">
        <v>0</v>
      </c>
      <c r="U55" s="5">
        <v>0</v>
      </c>
      <c r="V55" s="76">
        <v>0</v>
      </c>
      <c r="W55" s="145"/>
      <c r="X55" s="145"/>
    </row>
    <row r="56" spans="2:24" x14ac:dyDescent="0.3">
      <c r="B56" s="233" t="s">
        <v>768</v>
      </c>
      <c r="C56" s="234"/>
      <c r="D56" s="69">
        <v>0</v>
      </c>
      <c r="E56" s="5">
        <v>0</v>
      </c>
      <c r="F56" s="153">
        <v>0</v>
      </c>
      <c r="G56" s="143"/>
      <c r="H56" s="145"/>
      <c r="J56" s="233" t="s">
        <v>768</v>
      </c>
      <c r="K56" s="234"/>
      <c r="L56" s="69">
        <v>0</v>
      </c>
      <c r="M56" s="5">
        <v>0</v>
      </c>
      <c r="N56" s="153">
        <v>0</v>
      </c>
      <c r="O56" s="143"/>
      <c r="P56" s="145"/>
      <c r="R56" s="233" t="s">
        <v>768</v>
      </c>
      <c r="S56" s="234"/>
      <c r="T56" s="69">
        <v>0</v>
      </c>
      <c r="U56" s="5">
        <v>0</v>
      </c>
      <c r="V56" s="153">
        <v>0</v>
      </c>
      <c r="W56" s="143"/>
      <c r="X56" s="145"/>
    </row>
    <row r="57" spans="2:24" x14ac:dyDescent="0.3">
      <c r="B57" s="233" t="s">
        <v>786</v>
      </c>
      <c r="C57" s="234"/>
      <c r="D57" s="69">
        <v>0</v>
      </c>
      <c r="E57" s="5">
        <v>0</v>
      </c>
      <c r="F57" s="153">
        <v>0</v>
      </c>
      <c r="G57" s="151"/>
      <c r="H57" s="150"/>
      <c r="J57" s="233" t="s">
        <v>786</v>
      </c>
      <c r="K57" s="234"/>
      <c r="L57" s="69">
        <v>0</v>
      </c>
      <c r="M57" s="5">
        <v>0</v>
      </c>
      <c r="N57" s="153">
        <v>0</v>
      </c>
      <c r="O57" s="151"/>
      <c r="P57" s="150"/>
      <c r="R57" s="233" t="s">
        <v>786</v>
      </c>
      <c r="S57" s="234"/>
      <c r="T57" s="69">
        <v>0</v>
      </c>
      <c r="U57" s="5">
        <v>0</v>
      </c>
      <c r="V57" s="153">
        <v>0</v>
      </c>
      <c r="W57" s="151"/>
      <c r="X57" s="150"/>
    </row>
    <row r="58" spans="2:24" x14ac:dyDescent="0.3">
      <c r="B58" s="233" t="s">
        <v>787</v>
      </c>
      <c r="C58" s="234"/>
      <c r="D58" s="69">
        <v>0</v>
      </c>
      <c r="E58" s="5">
        <v>0</v>
      </c>
      <c r="F58" s="153">
        <v>0</v>
      </c>
      <c r="G58" s="150"/>
      <c r="H58" s="152"/>
      <c r="J58" s="233" t="s">
        <v>787</v>
      </c>
      <c r="K58" s="234"/>
      <c r="L58" s="69">
        <v>0</v>
      </c>
      <c r="M58" s="5">
        <v>0</v>
      </c>
      <c r="N58" s="153">
        <v>0</v>
      </c>
      <c r="O58" s="150"/>
      <c r="P58" s="152"/>
      <c r="R58" s="233" t="s">
        <v>787</v>
      </c>
      <c r="S58" s="234"/>
      <c r="T58" s="69">
        <v>0</v>
      </c>
      <c r="U58" s="5">
        <v>0</v>
      </c>
      <c r="V58" s="153">
        <v>0</v>
      </c>
      <c r="W58" s="150"/>
      <c r="X58" s="152"/>
    </row>
    <row r="59" spans="2:24" x14ac:dyDescent="0.3">
      <c r="B59" s="233" t="s">
        <v>771</v>
      </c>
      <c r="C59" s="234"/>
      <c r="D59" s="69">
        <v>0</v>
      </c>
      <c r="E59" s="5">
        <v>0</v>
      </c>
      <c r="F59" s="76">
        <v>0</v>
      </c>
      <c r="G59" s="147"/>
      <c r="H59" s="148"/>
      <c r="J59" s="233" t="s">
        <v>771</v>
      </c>
      <c r="K59" s="234"/>
      <c r="L59" s="69">
        <v>0</v>
      </c>
      <c r="M59" s="5">
        <v>0</v>
      </c>
      <c r="N59" s="76">
        <v>0</v>
      </c>
      <c r="O59" s="147"/>
      <c r="P59" s="148"/>
      <c r="R59" s="233" t="s">
        <v>771</v>
      </c>
      <c r="S59" s="234"/>
      <c r="T59" s="69">
        <v>0</v>
      </c>
      <c r="U59" s="5">
        <v>0</v>
      </c>
      <c r="V59" s="76">
        <v>0</v>
      </c>
      <c r="W59" s="147"/>
      <c r="X59" s="148"/>
    </row>
    <row r="60" spans="2:24" x14ac:dyDescent="0.3">
      <c r="B60" s="233" t="s">
        <v>788</v>
      </c>
      <c r="C60" s="234"/>
      <c r="D60" s="69">
        <v>0</v>
      </c>
      <c r="E60" s="5">
        <v>0</v>
      </c>
      <c r="F60" s="76">
        <v>0</v>
      </c>
      <c r="G60" s="147"/>
      <c r="H60" s="148"/>
      <c r="J60" s="233" t="s">
        <v>788</v>
      </c>
      <c r="K60" s="234"/>
      <c r="L60" s="69">
        <v>0</v>
      </c>
      <c r="M60" s="5">
        <v>0</v>
      </c>
      <c r="N60" s="76">
        <v>0</v>
      </c>
      <c r="O60" s="147"/>
      <c r="P60" s="148"/>
      <c r="R60" s="233" t="s">
        <v>788</v>
      </c>
      <c r="S60" s="234"/>
      <c r="T60" s="69">
        <v>0</v>
      </c>
      <c r="U60" s="5">
        <v>0</v>
      </c>
      <c r="V60" s="76">
        <v>0</v>
      </c>
      <c r="W60" s="147"/>
      <c r="X60" s="148"/>
    </row>
    <row r="61" spans="2:24" x14ac:dyDescent="0.3">
      <c r="B61" s="233" t="s">
        <v>789</v>
      </c>
      <c r="C61" s="234"/>
      <c r="D61" s="69">
        <v>0</v>
      </c>
      <c r="E61" s="5">
        <v>0</v>
      </c>
      <c r="F61" s="76">
        <v>0</v>
      </c>
      <c r="G61" s="147"/>
      <c r="H61" s="148"/>
      <c r="J61" s="233" t="s">
        <v>789</v>
      </c>
      <c r="K61" s="234"/>
      <c r="L61" s="69">
        <v>0</v>
      </c>
      <c r="M61" s="5">
        <v>0</v>
      </c>
      <c r="N61" s="76">
        <v>0</v>
      </c>
      <c r="O61" s="147"/>
      <c r="P61" s="148"/>
      <c r="R61" s="233" t="s">
        <v>789</v>
      </c>
      <c r="S61" s="234"/>
      <c r="T61" s="69">
        <v>0</v>
      </c>
      <c r="U61" s="5">
        <v>0</v>
      </c>
      <c r="V61" s="76">
        <v>0</v>
      </c>
      <c r="W61" s="147"/>
      <c r="X61" s="148"/>
    </row>
    <row r="62" spans="2:24" x14ac:dyDescent="0.3">
      <c r="B62" s="233" t="s">
        <v>763</v>
      </c>
      <c r="C62" s="234"/>
      <c r="D62" s="69">
        <v>0</v>
      </c>
      <c r="E62" s="5">
        <v>0</v>
      </c>
      <c r="F62" s="76">
        <v>0</v>
      </c>
      <c r="G62" s="147"/>
      <c r="H62" s="148"/>
      <c r="J62" s="233" t="s">
        <v>763</v>
      </c>
      <c r="K62" s="234"/>
      <c r="L62" s="69">
        <v>0</v>
      </c>
      <c r="M62" s="5">
        <v>0</v>
      </c>
      <c r="N62" s="76">
        <v>0</v>
      </c>
      <c r="O62" s="147"/>
      <c r="P62" s="148"/>
      <c r="R62" s="233" t="s">
        <v>763</v>
      </c>
      <c r="S62" s="234"/>
      <c r="T62" s="69">
        <v>0</v>
      </c>
      <c r="U62" s="5">
        <v>0</v>
      </c>
      <c r="V62" s="76">
        <v>0</v>
      </c>
      <c r="W62" s="147"/>
      <c r="X62" s="148"/>
    </row>
    <row r="63" spans="2:24" x14ac:dyDescent="0.3">
      <c r="B63" s="233" t="s">
        <v>767</v>
      </c>
      <c r="C63" s="234"/>
      <c r="D63" s="69">
        <v>0</v>
      </c>
      <c r="E63" s="5">
        <v>0</v>
      </c>
      <c r="F63" s="76">
        <v>0</v>
      </c>
      <c r="G63" s="147"/>
      <c r="H63" s="148"/>
      <c r="J63" s="233" t="s">
        <v>767</v>
      </c>
      <c r="K63" s="234"/>
      <c r="L63" s="69">
        <v>0</v>
      </c>
      <c r="M63" s="5">
        <v>0</v>
      </c>
      <c r="N63" s="76">
        <v>0</v>
      </c>
      <c r="O63" s="147"/>
      <c r="P63" s="148"/>
      <c r="R63" s="233" t="s">
        <v>767</v>
      </c>
      <c r="S63" s="234"/>
      <c r="T63" s="69">
        <v>0</v>
      </c>
      <c r="U63" s="5">
        <v>0</v>
      </c>
      <c r="V63" s="76">
        <v>0</v>
      </c>
      <c r="W63" s="147"/>
      <c r="X63" s="148"/>
    </row>
    <row r="64" spans="2:24" x14ac:dyDescent="0.3">
      <c r="B64" s="233" t="s">
        <v>790</v>
      </c>
      <c r="C64" s="234"/>
      <c r="D64" s="69">
        <v>0</v>
      </c>
      <c r="E64" s="5">
        <v>0</v>
      </c>
      <c r="F64" s="76">
        <v>0</v>
      </c>
      <c r="G64" s="147"/>
      <c r="H64" s="148"/>
      <c r="J64" s="233" t="s">
        <v>790</v>
      </c>
      <c r="K64" s="234"/>
      <c r="L64" s="69">
        <v>0</v>
      </c>
      <c r="M64" s="5">
        <v>0</v>
      </c>
      <c r="N64" s="76">
        <v>0</v>
      </c>
      <c r="O64" s="147"/>
      <c r="P64" s="148"/>
      <c r="R64" s="233" t="s">
        <v>790</v>
      </c>
      <c r="S64" s="234"/>
      <c r="T64" s="69">
        <v>0</v>
      </c>
      <c r="U64" s="5">
        <v>0</v>
      </c>
      <c r="V64" s="76">
        <v>0</v>
      </c>
      <c r="W64" s="147"/>
      <c r="X64" s="148"/>
    </row>
    <row r="65" spans="2:24" x14ac:dyDescent="0.3">
      <c r="B65" s="233" t="s">
        <v>791</v>
      </c>
      <c r="C65" s="234"/>
      <c r="D65" s="69">
        <v>0</v>
      </c>
      <c r="E65" s="5">
        <v>0</v>
      </c>
      <c r="F65" s="76">
        <v>0</v>
      </c>
      <c r="G65" s="147"/>
      <c r="H65" s="148"/>
      <c r="J65" s="233" t="s">
        <v>791</v>
      </c>
      <c r="K65" s="234"/>
      <c r="L65" s="69">
        <v>0</v>
      </c>
      <c r="M65" s="5">
        <v>0</v>
      </c>
      <c r="N65" s="76">
        <v>0</v>
      </c>
      <c r="O65" s="147"/>
      <c r="P65" s="148"/>
      <c r="R65" s="233" t="s">
        <v>791</v>
      </c>
      <c r="S65" s="234"/>
      <c r="T65" s="69">
        <v>0</v>
      </c>
      <c r="U65" s="5">
        <v>0</v>
      </c>
      <c r="V65" s="76">
        <v>0</v>
      </c>
      <c r="W65" s="147"/>
      <c r="X65" s="148"/>
    </row>
    <row r="66" spans="2:24" ht="15" thickBot="1" x14ac:dyDescent="0.35">
      <c r="B66" s="239" t="s">
        <v>769</v>
      </c>
      <c r="C66" s="240"/>
      <c r="D66" s="75">
        <v>0</v>
      </c>
      <c r="E66" s="17">
        <v>0</v>
      </c>
      <c r="F66" s="77">
        <v>0</v>
      </c>
      <c r="G66" s="135"/>
      <c r="H66" s="149"/>
      <c r="J66" s="239" t="s">
        <v>769</v>
      </c>
      <c r="K66" s="240"/>
      <c r="L66" s="75">
        <v>0</v>
      </c>
      <c r="M66" s="17">
        <v>0</v>
      </c>
      <c r="N66" s="77">
        <v>0</v>
      </c>
      <c r="O66" s="135"/>
      <c r="P66" s="149"/>
      <c r="R66" s="239" t="s">
        <v>769</v>
      </c>
      <c r="S66" s="240"/>
      <c r="T66" s="75">
        <v>0</v>
      </c>
      <c r="U66" s="17">
        <v>0</v>
      </c>
      <c r="V66" s="77">
        <v>0</v>
      </c>
      <c r="W66" s="135"/>
      <c r="X66" s="149"/>
    </row>
    <row r="67" spans="2:24" x14ac:dyDescent="0.3">
      <c r="I67" s="1"/>
      <c r="J67" s="1"/>
      <c r="K67" s="5"/>
      <c r="R67" s="1"/>
      <c r="S67" s="5"/>
    </row>
    <row r="68" spans="2:24" ht="15" thickBot="1" x14ac:dyDescent="0.35">
      <c r="C68" s="1"/>
      <c r="D68" s="1"/>
      <c r="E68" s="1"/>
      <c r="F68" s="1"/>
      <c r="G68" s="1"/>
      <c r="H68" s="1"/>
      <c r="J68" s="1"/>
      <c r="K68" s="1"/>
      <c r="L68" s="1"/>
      <c r="M68" s="1"/>
      <c r="N68" s="1"/>
      <c r="O68" s="1"/>
      <c r="P68" s="1"/>
      <c r="Q68" s="1"/>
      <c r="R68" s="1"/>
      <c r="S68" s="1"/>
      <c r="T68" s="1"/>
      <c r="U68" s="1"/>
      <c r="V68" s="1"/>
      <c r="W68" s="1"/>
      <c r="X68" s="1"/>
    </row>
    <row r="69" spans="2:24" ht="15" thickBot="1" x14ac:dyDescent="0.35">
      <c r="B69" s="237" t="s">
        <v>823</v>
      </c>
      <c r="C69" s="238"/>
      <c r="J69" s="237" t="s">
        <v>823</v>
      </c>
      <c r="K69" s="238"/>
      <c r="R69" s="237" t="s">
        <v>823</v>
      </c>
      <c r="S69" s="238"/>
    </row>
    <row r="70" spans="2:24" x14ac:dyDescent="0.3">
      <c r="B70" s="81"/>
      <c r="C70" s="82" t="s">
        <v>827</v>
      </c>
      <c r="J70" s="81"/>
      <c r="K70" s="82" t="s">
        <v>827</v>
      </c>
      <c r="R70" s="81"/>
      <c r="S70" s="82" t="s">
        <v>827</v>
      </c>
    </row>
    <row r="71" spans="2:24" x14ac:dyDescent="0.3">
      <c r="B71" s="4" t="s">
        <v>824</v>
      </c>
      <c r="C71" s="123">
        <v>0</v>
      </c>
      <c r="J71" s="4" t="s">
        <v>824</v>
      </c>
      <c r="K71" s="123">
        <v>0</v>
      </c>
      <c r="R71" s="4" t="s">
        <v>824</v>
      </c>
      <c r="S71" s="123">
        <v>0</v>
      </c>
    </row>
    <row r="72" spans="2:24" x14ac:dyDescent="0.3">
      <c r="B72" s="4" t="s">
        <v>825</v>
      </c>
      <c r="C72" s="123">
        <v>0</v>
      </c>
      <c r="J72" s="4" t="s">
        <v>825</v>
      </c>
      <c r="K72" s="123">
        <v>0</v>
      </c>
      <c r="R72" s="4" t="s">
        <v>825</v>
      </c>
      <c r="S72" s="123">
        <v>0</v>
      </c>
    </row>
    <row r="73" spans="2:24" ht="15" thickBot="1" x14ac:dyDescent="0.35">
      <c r="B73" s="13" t="s">
        <v>826</v>
      </c>
      <c r="C73" s="124">
        <v>0</v>
      </c>
      <c r="J73" s="13" t="s">
        <v>826</v>
      </c>
      <c r="K73" s="124">
        <v>0</v>
      </c>
      <c r="R73" s="13" t="s">
        <v>826</v>
      </c>
      <c r="S73" s="124">
        <v>0</v>
      </c>
    </row>
    <row r="74" spans="2:24" x14ac:dyDescent="0.3">
      <c r="J74" s="1"/>
      <c r="K74" s="1"/>
      <c r="L74" s="1"/>
      <c r="M74" s="1"/>
      <c r="N74" s="37"/>
      <c r="O74" s="1"/>
      <c r="P74" s="1"/>
    </row>
    <row r="85" spans="3:24" x14ac:dyDescent="0.3">
      <c r="C85" s="2"/>
      <c r="I85" s="27"/>
      <c r="J85" s="27"/>
      <c r="K85" s="27"/>
      <c r="L85" s="27"/>
      <c r="M85" s="27"/>
      <c r="N85" s="27"/>
      <c r="O85" s="27"/>
      <c r="P85" s="27"/>
    </row>
    <row r="86" spans="3:24" x14ac:dyDescent="0.3">
      <c r="C86" s="10"/>
      <c r="D86" s="27"/>
      <c r="E86" s="27"/>
      <c r="F86" s="27"/>
      <c r="G86" s="27"/>
      <c r="H86" s="27"/>
      <c r="Q86" s="27"/>
      <c r="R86" s="27"/>
      <c r="S86" s="27"/>
      <c r="T86" s="27"/>
      <c r="U86" s="27"/>
      <c r="V86" s="27"/>
      <c r="W86" s="27"/>
      <c r="X86" s="27"/>
    </row>
    <row r="87" spans="3:24" x14ac:dyDescent="0.3">
      <c r="C87" s="12"/>
      <c r="I87" s="12"/>
      <c r="J87" s="12"/>
      <c r="K87" s="12"/>
      <c r="L87" s="12"/>
      <c r="M87" s="12"/>
      <c r="N87" s="12"/>
      <c r="O87" s="12"/>
      <c r="P87" s="12"/>
    </row>
    <row r="88" spans="3:24" x14ac:dyDescent="0.3">
      <c r="C88" s="12"/>
      <c r="D88" s="12"/>
      <c r="E88" s="12"/>
      <c r="F88" s="12"/>
      <c r="G88" s="12"/>
      <c r="H88" s="12"/>
      <c r="I88" s="1"/>
      <c r="J88" s="1"/>
      <c r="K88" s="1"/>
      <c r="L88" s="1"/>
      <c r="M88" s="1"/>
      <c r="N88" s="1"/>
      <c r="O88" s="1"/>
      <c r="P88" s="1"/>
      <c r="Q88" s="12"/>
      <c r="R88" s="12"/>
      <c r="S88" s="12"/>
      <c r="T88" s="12"/>
      <c r="U88" s="12"/>
      <c r="V88" s="12"/>
      <c r="W88" s="12"/>
      <c r="X88" s="12"/>
    </row>
    <row r="89" spans="3:24" x14ac:dyDescent="0.3">
      <c r="C89" s="1"/>
      <c r="D89" s="1"/>
      <c r="E89" s="1"/>
      <c r="F89" s="1"/>
      <c r="G89" s="1"/>
      <c r="H89" s="1"/>
      <c r="I89" s="1"/>
      <c r="J89" s="1"/>
      <c r="K89" s="1"/>
      <c r="L89" s="1"/>
      <c r="M89" s="1"/>
      <c r="N89" s="1"/>
      <c r="O89" s="1"/>
      <c r="P89" s="1"/>
      <c r="Q89" s="1"/>
      <c r="R89" s="1"/>
      <c r="S89" s="1"/>
      <c r="T89" s="1"/>
      <c r="U89" s="1"/>
      <c r="V89" s="1"/>
      <c r="W89" s="1"/>
      <c r="X89" s="1"/>
    </row>
    <row r="90" spans="3:24" x14ac:dyDescent="0.3">
      <c r="C90" s="1"/>
      <c r="D90" s="1"/>
      <c r="E90" s="1"/>
      <c r="F90" s="1"/>
      <c r="G90" s="1"/>
      <c r="H90" s="1"/>
      <c r="I90" s="1"/>
      <c r="J90" s="1"/>
      <c r="K90" s="1"/>
      <c r="L90" s="1"/>
      <c r="M90" s="1"/>
      <c r="N90" s="1"/>
      <c r="O90" s="1"/>
      <c r="P90" s="1"/>
      <c r="Q90" s="1"/>
      <c r="R90" s="1"/>
      <c r="S90" s="1"/>
      <c r="T90" s="1"/>
      <c r="U90" s="1"/>
      <c r="V90" s="1"/>
      <c r="W90" s="1"/>
      <c r="X90" s="1"/>
    </row>
    <row r="91" spans="3:24" x14ac:dyDescent="0.3">
      <c r="C91" s="1"/>
      <c r="D91" s="1"/>
      <c r="E91" s="1"/>
      <c r="F91" s="1"/>
      <c r="G91" s="1"/>
      <c r="H91" s="1"/>
      <c r="I91" s="1"/>
      <c r="J91" s="1"/>
      <c r="K91" s="1"/>
      <c r="L91" s="1"/>
      <c r="M91" s="1"/>
      <c r="N91" s="1"/>
      <c r="O91" s="1"/>
      <c r="P91" s="1"/>
      <c r="Q91" s="1"/>
      <c r="R91" s="1"/>
      <c r="S91" s="1"/>
      <c r="T91" s="1"/>
      <c r="U91" s="1"/>
      <c r="V91" s="1"/>
      <c r="W91" s="1"/>
      <c r="X91" s="1"/>
    </row>
    <row r="92" spans="3:24" x14ac:dyDescent="0.3">
      <c r="C92" s="1"/>
      <c r="D92" s="1"/>
      <c r="E92" s="1"/>
      <c r="F92" s="1"/>
      <c r="G92" s="1"/>
      <c r="H92" s="1"/>
      <c r="I92" s="1"/>
      <c r="J92" s="1"/>
      <c r="K92" s="1"/>
      <c r="L92" s="1"/>
      <c r="M92" s="1"/>
      <c r="N92" s="1"/>
      <c r="O92" s="1"/>
      <c r="P92" s="1"/>
      <c r="Q92" s="1"/>
      <c r="R92" s="1"/>
      <c r="S92" s="1"/>
      <c r="T92" s="1"/>
      <c r="U92" s="1"/>
      <c r="V92" s="1"/>
      <c r="W92" s="1"/>
      <c r="X92" s="1"/>
    </row>
    <row r="93" spans="3:24" x14ac:dyDescent="0.3">
      <c r="C93" s="1"/>
      <c r="D93" s="1"/>
      <c r="E93" s="1"/>
      <c r="F93" s="1"/>
      <c r="G93" s="1"/>
      <c r="H93" s="1"/>
      <c r="I93" s="1"/>
      <c r="J93" s="1"/>
      <c r="K93" s="1"/>
      <c r="L93" s="1"/>
      <c r="M93" s="1"/>
      <c r="N93" s="1"/>
      <c r="O93" s="1"/>
      <c r="P93" s="1"/>
      <c r="Q93" s="1"/>
      <c r="R93" s="1"/>
      <c r="S93" s="1"/>
      <c r="T93" s="1"/>
      <c r="U93" s="1"/>
      <c r="V93" s="1"/>
      <c r="W93" s="1"/>
      <c r="X93" s="1"/>
    </row>
    <row r="94" spans="3:24" x14ac:dyDescent="0.3">
      <c r="C94" s="1"/>
      <c r="D94" s="1"/>
      <c r="E94" s="1"/>
      <c r="F94" s="1"/>
      <c r="G94" s="1"/>
      <c r="H94" s="1"/>
      <c r="I94" s="1"/>
      <c r="J94" s="1"/>
      <c r="K94" s="1"/>
      <c r="L94" s="1"/>
      <c r="M94" s="1"/>
      <c r="N94" s="1"/>
      <c r="O94" s="1"/>
      <c r="P94" s="1"/>
      <c r="Q94" s="1"/>
      <c r="R94" s="1"/>
      <c r="S94" s="1"/>
      <c r="T94" s="1"/>
      <c r="U94" s="1"/>
      <c r="V94" s="1"/>
      <c r="W94" s="1"/>
      <c r="X94" s="1"/>
    </row>
    <row r="95" spans="3:24" x14ac:dyDescent="0.3">
      <c r="C95" s="1"/>
      <c r="D95" s="1"/>
      <c r="E95" s="1"/>
      <c r="F95" s="1"/>
      <c r="G95" s="1"/>
      <c r="H95" s="1"/>
      <c r="I95" s="1"/>
      <c r="J95" s="1"/>
      <c r="K95" s="1"/>
      <c r="L95" s="1"/>
      <c r="M95" s="1"/>
      <c r="N95" s="1"/>
      <c r="O95" s="1"/>
      <c r="P95" s="1"/>
      <c r="Q95" s="1"/>
      <c r="R95" s="1"/>
      <c r="S95" s="1"/>
      <c r="T95" s="1"/>
      <c r="U95" s="1"/>
      <c r="V95" s="1"/>
      <c r="W95" s="1"/>
      <c r="X95" s="1"/>
    </row>
    <row r="96" spans="3:24" x14ac:dyDescent="0.3">
      <c r="C96" s="1"/>
      <c r="D96" s="1"/>
      <c r="E96" s="1"/>
      <c r="F96" s="1"/>
      <c r="G96" s="1"/>
      <c r="H96" s="1"/>
      <c r="I96" s="1"/>
      <c r="J96" s="1"/>
      <c r="K96" s="1"/>
      <c r="L96" s="1"/>
      <c r="M96" s="1"/>
      <c r="N96" s="1"/>
      <c r="O96" s="1"/>
      <c r="P96" s="1"/>
      <c r="Q96" s="1"/>
      <c r="R96" s="1"/>
      <c r="S96" s="1"/>
      <c r="T96" s="1"/>
      <c r="U96" s="1"/>
      <c r="V96" s="1"/>
      <c r="W96" s="1"/>
      <c r="X96" s="1"/>
    </row>
    <row r="97" spans="2:24" x14ac:dyDescent="0.3">
      <c r="C97" s="1"/>
      <c r="D97" s="1"/>
      <c r="E97" s="1"/>
      <c r="F97" s="1"/>
      <c r="G97" s="1"/>
      <c r="H97" s="1"/>
      <c r="I97" s="1"/>
      <c r="J97" s="1"/>
      <c r="K97" s="1"/>
      <c r="L97" s="1"/>
      <c r="M97" s="1"/>
      <c r="N97" s="1"/>
      <c r="O97" s="1"/>
      <c r="P97" s="1"/>
      <c r="Q97" s="1"/>
      <c r="R97" s="1"/>
      <c r="S97" s="1"/>
      <c r="T97" s="1"/>
      <c r="U97" s="1"/>
      <c r="V97" s="1"/>
      <c r="W97" s="1"/>
      <c r="X97" s="1"/>
    </row>
    <row r="98" spans="2:24" x14ac:dyDescent="0.3">
      <c r="C98" s="1"/>
      <c r="D98" s="1"/>
      <c r="E98" s="1"/>
      <c r="F98" s="1"/>
      <c r="G98" s="1"/>
      <c r="H98" s="1"/>
      <c r="I98" s="1"/>
      <c r="J98" s="1"/>
      <c r="K98" s="1"/>
      <c r="L98" s="1"/>
      <c r="M98" s="1"/>
      <c r="N98" s="1"/>
      <c r="O98" s="1"/>
      <c r="P98" s="1"/>
      <c r="Q98" s="1"/>
      <c r="R98" s="1"/>
      <c r="S98" s="1"/>
      <c r="T98" s="1"/>
      <c r="U98" s="1"/>
      <c r="V98" s="1"/>
      <c r="W98" s="1"/>
      <c r="X98" s="1"/>
    </row>
    <row r="99" spans="2:24" x14ac:dyDescent="0.3">
      <c r="C99" s="1"/>
      <c r="D99" s="1"/>
      <c r="E99" s="1"/>
      <c r="F99" s="1"/>
      <c r="G99" s="1"/>
      <c r="H99" s="1"/>
      <c r="I99" s="1"/>
      <c r="J99" s="1"/>
      <c r="K99" s="1"/>
      <c r="L99" s="1"/>
      <c r="M99" s="1"/>
      <c r="N99" s="1"/>
      <c r="O99" s="1"/>
      <c r="P99" s="1"/>
      <c r="Q99" s="1"/>
      <c r="R99" s="1"/>
      <c r="S99" s="1"/>
      <c r="T99" s="1"/>
      <c r="U99" s="1"/>
      <c r="V99" s="1"/>
      <c r="W99" s="1"/>
      <c r="X99" s="1"/>
    </row>
    <row r="100" spans="2:24" x14ac:dyDescent="0.3">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
      <c r="C101" s="1"/>
      <c r="D101" s="1"/>
      <c r="E101" s="1"/>
      <c r="F101" s="1"/>
      <c r="G101" s="1"/>
      <c r="H101" s="1"/>
      <c r="Q101" s="1"/>
      <c r="R101" s="1"/>
      <c r="S101" s="1"/>
      <c r="T101" s="1"/>
      <c r="U101" s="1"/>
      <c r="V101" s="1"/>
      <c r="W101" s="1"/>
      <c r="X101" s="1"/>
    </row>
    <row r="108" spans="2:24" x14ac:dyDescent="0.3">
      <c r="B108" s="14"/>
    </row>
  </sheetData>
  <mergeCells count="90">
    <mergeCell ref="J63:K63"/>
    <mergeCell ref="J64:K64"/>
    <mergeCell ref="J65:K65"/>
    <mergeCell ref="J66:K66"/>
    <mergeCell ref="J69:K69"/>
    <mergeCell ref="J58:K58"/>
    <mergeCell ref="J59:K59"/>
    <mergeCell ref="J60:K60"/>
    <mergeCell ref="J61:K61"/>
    <mergeCell ref="J62:K62"/>
    <mergeCell ref="J53:K53"/>
    <mergeCell ref="J54:K54"/>
    <mergeCell ref="J55:K55"/>
    <mergeCell ref="J56:K56"/>
    <mergeCell ref="J57:K57"/>
    <mergeCell ref="J48:K48"/>
    <mergeCell ref="J49:K49"/>
    <mergeCell ref="J50:K50"/>
    <mergeCell ref="J51:K51"/>
    <mergeCell ref="J52:K52"/>
    <mergeCell ref="K38:K39"/>
    <mergeCell ref="L38:M39"/>
    <mergeCell ref="N38:N39"/>
    <mergeCell ref="J47:N47"/>
    <mergeCell ref="O47:P47"/>
    <mergeCell ref="J1:P1"/>
    <mergeCell ref="J28:M28"/>
    <mergeCell ref="J2:L2"/>
    <mergeCell ref="J15:L15"/>
    <mergeCell ref="J37:N37"/>
    <mergeCell ref="R66:S66"/>
    <mergeCell ref="R69:S69"/>
    <mergeCell ref="B1:H1"/>
    <mergeCell ref="R1:X1"/>
    <mergeCell ref="R61:S61"/>
    <mergeCell ref="R62:S62"/>
    <mergeCell ref="R63:S63"/>
    <mergeCell ref="R64:S64"/>
    <mergeCell ref="R65:S65"/>
    <mergeCell ref="R56:S56"/>
    <mergeCell ref="R57:S57"/>
    <mergeCell ref="R58:S58"/>
    <mergeCell ref="R59:S59"/>
    <mergeCell ref="R60:S60"/>
    <mergeCell ref="R51:S51"/>
    <mergeCell ref="R52:S52"/>
    <mergeCell ref="R53:S53"/>
    <mergeCell ref="R54:S54"/>
    <mergeCell ref="R55:S55"/>
    <mergeCell ref="R47:V47"/>
    <mergeCell ref="W47:X47"/>
    <mergeCell ref="R48:S48"/>
    <mergeCell ref="R49:S49"/>
    <mergeCell ref="R50:S50"/>
    <mergeCell ref="R2:T2"/>
    <mergeCell ref="R15:T15"/>
    <mergeCell ref="R28:U28"/>
    <mergeCell ref="R37:V37"/>
    <mergeCell ref="S38:S39"/>
    <mergeCell ref="T38:U39"/>
    <mergeCell ref="V38:V39"/>
    <mergeCell ref="B58:C58"/>
    <mergeCell ref="B60:C60"/>
    <mergeCell ref="B69:C69"/>
    <mergeCell ref="B59:C59"/>
    <mergeCell ref="B61:C61"/>
    <mergeCell ref="B62:C62"/>
    <mergeCell ref="B66:C66"/>
    <mergeCell ref="B63:C63"/>
    <mergeCell ref="B64:C64"/>
    <mergeCell ref="B65:C65"/>
    <mergeCell ref="B48:C48"/>
    <mergeCell ref="B49:C49"/>
    <mergeCell ref="B47:F47"/>
    <mergeCell ref="F38:F39"/>
    <mergeCell ref="B57:C57"/>
    <mergeCell ref="B50:C50"/>
    <mergeCell ref="B51:C51"/>
    <mergeCell ref="B53:C53"/>
    <mergeCell ref="B55:C55"/>
    <mergeCell ref="B56:C56"/>
    <mergeCell ref="B52:C52"/>
    <mergeCell ref="B54:C54"/>
    <mergeCell ref="G47:H47"/>
    <mergeCell ref="B2:D2"/>
    <mergeCell ref="D38:E39"/>
    <mergeCell ref="C38:C39"/>
    <mergeCell ref="B28:E28"/>
    <mergeCell ref="B15:D15"/>
    <mergeCell ref="B37:F3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abSelected="1" topLeftCell="F48" zoomScale="80" zoomScaleNormal="80" workbookViewId="0">
      <selection activeCell="V68" sqref="V68"/>
    </sheetView>
  </sheetViews>
  <sheetFormatPr defaultColWidth="9.109375" defaultRowHeight="14.4" x14ac:dyDescent="0.3"/>
  <cols>
    <col min="1" max="1" width="3.33203125" style="1" customWidth="1"/>
    <col min="2" max="2" width="37.33203125" style="1" customWidth="1"/>
    <col min="3" max="3" width="12.77734375" style="5" customWidth="1"/>
    <col min="4" max="4" width="13" style="15" customWidth="1"/>
    <col min="5" max="5" width="3.109375" style="84" customWidth="1"/>
    <col min="6" max="6" width="16.33203125" style="1" customWidth="1"/>
    <col min="7" max="7" width="16.33203125" style="5" customWidth="1"/>
    <col min="8" max="8" width="3.109375" style="5" customWidth="1"/>
    <col min="9" max="9" width="16.33203125" style="5" customWidth="1"/>
    <col min="10" max="10" width="15.77734375" style="5" customWidth="1"/>
    <col min="11" max="11" width="3.109375" style="1" customWidth="1"/>
    <col min="12" max="14" width="9.109375" style="1"/>
    <col min="15" max="15" width="37.33203125" style="1" customWidth="1"/>
    <col min="16" max="16" width="12.77734375" style="1" customWidth="1"/>
    <col min="17" max="17" width="13" style="1" customWidth="1"/>
    <col min="18" max="18" width="3.109375" style="1" customWidth="1"/>
    <col min="19" max="20" width="16.33203125" style="1" customWidth="1"/>
    <col min="21" max="21" width="3.109375" style="1" customWidth="1"/>
    <col min="22" max="23" width="16.33203125" style="1" customWidth="1"/>
    <col min="24" max="24" width="3.109375" style="1" customWidth="1"/>
    <col min="25" max="26" width="16.33203125" style="1" customWidth="1"/>
    <col min="27" max="27" width="9.109375" style="1"/>
    <col min="28" max="28" width="37.33203125" style="1" customWidth="1"/>
    <col min="29" max="29" width="12.77734375" style="1" customWidth="1"/>
    <col min="30" max="30" width="13" style="1" customWidth="1"/>
    <col min="31" max="31" width="3.109375" style="1" customWidth="1"/>
    <col min="32" max="33" width="16.33203125" style="1" customWidth="1"/>
    <col min="34" max="34" width="3.109375" style="1" customWidth="1"/>
    <col min="35" max="36" width="16.33203125" style="1" customWidth="1"/>
    <col min="37" max="37" width="3.109375" style="1" customWidth="1"/>
    <col min="38" max="39" width="16.33203125" style="1" customWidth="1"/>
    <col min="40" max="16384" width="9.109375" style="1"/>
  </cols>
  <sheetData>
    <row r="1" spans="2:30" ht="15" thickBot="1" x14ac:dyDescent="0.35"/>
    <row r="2" spans="2:30" ht="15" thickBot="1" x14ac:dyDescent="0.35">
      <c r="B2" s="243" t="s">
        <v>828</v>
      </c>
      <c r="C2" s="244"/>
      <c r="D2" s="245"/>
      <c r="O2" s="243" t="s">
        <v>989</v>
      </c>
      <c r="P2" s="244"/>
      <c r="Q2" s="245"/>
      <c r="AB2" s="243" t="s">
        <v>990</v>
      </c>
      <c r="AC2" s="244"/>
      <c r="AD2" s="245"/>
    </row>
    <row r="3" spans="2:30" ht="15" thickBot="1" x14ac:dyDescent="0.35">
      <c r="B3" s="33"/>
      <c r="C3" s="71"/>
      <c r="D3" s="130"/>
      <c r="F3" s="94" t="s">
        <v>868</v>
      </c>
      <c r="G3" s="94" t="s">
        <v>863</v>
      </c>
      <c r="H3" s="106" t="s">
        <v>862</v>
      </c>
      <c r="I3" s="107"/>
      <c r="J3" s="95" t="s">
        <v>866</v>
      </c>
      <c r="O3" s="33"/>
      <c r="P3" s="71"/>
      <c r="Q3" s="130"/>
      <c r="AB3" s="33"/>
      <c r="AC3" s="71"/>
      <c r="AD3" s="130"/>
    </row>
    <row r="4" spans="2:30" x14ac:dyDescent="0.3">
      <c r="B4" s="132" t="s">
        <v>881</v>
      </c>
      <c r="D4" s="6"/>
      <c r="F4" s="18" t="s">
        <v>859</v>
      </c>
      <c r="G4" s="101">
        <v>215</v>
      </c>
      <c r="H4" s="101">
        <v>129</v>
      </c>
      <c r="I4" s="96">
        <f>H4/G4</f>
        <v>0.6</v>
      </c>
      <c r="J4" s="103"/>
      <c r="O4" s="132" t="s">
        <v>881</v>
      </c>
      <c r="P4" s="5"/>
      <c r="Q4" s="6"/>
      <c r="AB4" s="132" t="s">
        <v>881</v>
      </c>
      <c r="AC4" s="5"/>
      <c r="AD4" s="6"/>
    </row>
    <row r="5" spans="2:30" x14ac:dyDescent="0.3">
      <c r="B5" s="33"/>
      <c r="C5" s="2" t="s">
        <v>28</v>
      </c>
      <c r="D5" s="34" t="s">
        <v>29</v>
      </c>
      <c r="F5" s="4" t="s">
        <v>860</v>
      </c>
      <c r="G5" s="102">
        <v>83</v>
      </c>
      <c r="H5" s="102">
        <v>52</v>
      </c>
      <c r="I5" s="15">
        <f>H5/G5</f>
        <v>0.62650602409638556</v>
      </c>
      <c r="J5" s="104"/>
      <c r="O5" s="33"/>
      <c r="P5" s="2" t="s">
        <v>28</v>
      </c>
      <c r="Q5" s="34" t="s">
        <v>29</v>
      </c>
      <c r="AB5" s="33"/>
      <c r="AC5" s="2" t="s">
        <v>28</v>
      </c>
      <c r="AD5" s="34" t="s">
        <v>29</v>
      </c>
    </row>
    <row r="6" spans="2:30" ht="15" thickBot="1" x14ac:dyDescent="0.35">
      <c r="B6" s="156" t="s">
        <v>946</v>
      </c>
      <c r="C6" s="2">
        <v>0</v>
      </c>
      <c r="D6" s="34"/>
      <c r="F6" s="13" t="s">
        <v>861</v>
      </c>
      <c r="G6" s="158">
        <v>19</v>
      </c>
      <c r="H6" s="158">
        <v>10</v>
      </c>
      <c r="I6" s="50">
        <f>H6/G6</f>
        <v>0.52631578947368418</v>
      </c>
      <c r="J6" s="159"/>
      <c r="O6" s="156" t="s">
        <v>946</v>
      </c>
      <c r="P6" s="2">
        <v>0</v>
      </c>
      <c r="Q6" s="34"/>
      <c r="AB6" s="156" t="s">
        <v>946</v>
      </c>
      <c r="AC6" s="2">
        <v>0</v>
      </c>
      <c r="AD6" s="34"/>
    </row>
    <row r="7" spans="2:30" x14ac:dyDescent="0.3">
      <c r="B7" s="3"/>
      <c r="C7" s="2"/>
      <c r="D7" s="34"/>
      <c r="O7" s="3"/>
      <c r="P7" s="2"/>
      <c r="Q7" s="34"/>
      <c r="AB7" s="3"/>
      <c r="AC7" s="2"/>
      <c r="AD7" s="34"/>
    </row>
    <row r="8" spans="2:30" x14ac:dyDescent="0.3">
      <c r="B8" s="3" t="s">
        <v>947</v>
      </c>
      <c r="C8" s="2">
        <v>0</v>
      </c>
      <c r="D8" s="34" t="str">
        <f>IF(OR(C6=0,C8=0),"-",C8/C6)</f>
        <v>-</v>
      </c>
      <c r="E8" s="122"/>
      <c r="O8" s="3" t="s">
        <v>947</v>
      </c>
      <c r="P8" s="2">
        <v>0</v>
      </c>
      <c r="Q8" s="34" t="str">
        <f>IF(OR(P6=0,P8=0),"-",P8/P6)</f>
        <v>-</v>
      </c>
      <c r="AB8" s="3" t="s">
        <v>947</v>
      </c>
      <c r="AC8" s="2">
        <v>0</v>
      </c>
      <c r="AD8" s="34" t="str">
        <f>IF(OR(AC6=0,AC8=0),"-",AC8/AC6)</f>
        <v>-</v>
      </c>
    </row>
    <row r="9" spans="2:30" x14ac:dyDescent="0.3">
      <c r="B9" s="72" t="s">
        <v>937</v>
      </c>
      <c r="C9" s="70">
        <v>0</v>
      </c>
      <c r="D9" s="87" t="str">
        <f>IF(OR($C$8=0,C9=0),"-",C9/$C$8)</f>
        <v>-</v>
      </c>
      <c r="E9" s="122"/>
      <c r="O9" s="72" t="s">
        <v>937</v>
      </c>
      <c r="P9" s="70">
        <v>0</v>
      </c>
      <c r="Q9" s="87" t="str">
        <f>IF(OR($C$8=0,P9=0),"-",P9/$C$8)</f>
        <v>-</v>
      </c>
      <c r="AB9" s="72" t="s">
        <v>937</v>
      </c>
      <c r="AC9" s="70">
        <v>0</v>
      </c>
      <c r="AD9" s="87" t="str">
        <f>IF(OR($C$8=0,AC9=0),"-",AC9/$C$8)</f>
        <v>-</v>
      </c>
    </row>
    <row r="10" spans="2:30" x14ac:dyDescent="0.3">
      <c r="B10" s="72" t="s">
        <v>938</v>
      </c>
      <c r="C10" s="70">
        <v>0</v>
      </c>
      <c r="D10" s="87" t="str">
        <f>IF(OR($C$8=0,C10=0),"-",C10/$C$8)</f>
        <v>-</v>
      </c>
      <c r="O10" s="72" t="s">
        <v>938</v>
      </c>
      <c r="P10" s="70">
        <v>0</v>
      </c>
      <c r="Q10" s="87" t="str">
        <f>IF(OR($C$8=0,P10=0),"-",P10/$C$8)</f>
        <v>-</v>
      </c>
      <c r="AB10" s="72" t="s">
        <v>938</v>
      </c>
      <c r="AC10" s="70">
        <v>0</v>
      </c>
      <c r="AD10" s="87" t="str">
        <f>IF(OR($C$8=0,AC10=0),"-",AC10/$C$8)</f>
        <v>-</v>
      </c>
    </row>
    <row r="11" spans="2:30" x14ac:dyDescent="0.3">
      <c r="B11" s="72" t="s">
        <v>939</v>
      </c>
      <c r="C11" s="70">
        <v>0</v>
      </c>
      <c r="D11" s="87" t="str">
        <f>IF(OR($C$8=0,C11=0),"-",C11/$C$8)</f>
        <v>-</v>
      </c>
      <c r="O11" s="72" t="s">
        <v>939</v>
      </c>
      <c r="P11" s="70">
        <v>0</v>
      </c>
      <c r="Q11" s="87" t="str">
        <f>IF(OR($C$8=0,P11=0),"-",P11/$C$8)</f>
        <v>-</v>
      </c>
      <c r="AB11" s="72" t="s">
        <v>939</v>
      </c>
      <c r="AC11" s="70">
        <v>0</v>
      </c>
      <c r="AD11" s="87" t="str">
        <f>IF(OR($C$8=0,AC11=0),"-",AC11/$C$8)</f>
        <v>-</v>
      </c>
    </row>
    <row r="12" spans="2:30" x14ac:dyDescent="0.3">
      <c r="B12" s="72"/>
      <c r="C12" s="70"/>
      <c r="D12" s="87"/>
      <c r="F12" s="24"/>
      <c r="G12" s="2"/>
      <c r="H12" s="2"/>
      <c r="I12" s="2"/>
      <c r="J12" s="2"/>
      <c r="O12" s="72"/>
      <c r="P12" s="70"/>
      <c r="Q12" s="87"/>
      <c r="AB12" s="72"/>
      <c r="AC12" s="70"/>
      <c r="AD12" s="87"/>
    </row>
    <row r="13" spans="2:30" s="24" customFormat="1" x14ac:dyDescent="0.3">
      <c r="B13" s="3" t="s">
        <v>948</v>
      </c>
      <c r="C13" s="160">
        <f>C6-C8</f>
        <v>0</v>
      </c>
      <c r="D13" s="161" t="str">
        <f>IF(OR($C$6=0,C13=0),"-",C13/$C$6)</f>
        <v>-</v>
      </c>
      <c r="E13" s="157"/>
      <c r="F13" s="1"/>
      <c r="G13" s="5"/>
      <c r="H13" s="5"/>
      <c r="I13" s="5"/>
      <c r="J13" s="5"/>
      <c r="O13" s="3" t="s">
        <v>948</v>
      </c>
      <c r="P13" s="160">
        <f>P6-P8</f>
        <v>0</v>
      </c>
      <c r="Q13" s="161" t="str">
        <f>IF(OR($C$6=0,P13=0),"-",P13/$C$6)</f>
        <v>-</v>
      </c>
      <c r="AB13" s="3" t="s">
        <v>948</v>
      </c>
      <c r="AC13" s="160">
        <f>AC6-AC8</f>
        <v>0</v>
      </c>
      <c r="AD13" s="161" t="str">
        <f>IF(OR($C$6=0,AC13=0),"-",AC13/$C$6)</f>
        <v>-</v>
      </c>
    </row>
    <row r="14" spans="2:30" x14ac:dyDescent="0.3">
      <c r="B14" s="72"/>
      <c r="C14" s="70"/>
      <c r="D14" s="87"/>
      <c r="F14" s="24"/>
      <c r="G14" s="2"/>
      <c r="H14" s="2"/>
      <c r="I14" s="2"/>
      <c r="J14" s="2"/>
      <c r="O14" s="72"/>
      <c r="P14" s="70"/>
      <c r="Q14" s="87"/>
      <c r="AB14" s="72"/>
      <c r="AC14" s="70"/>
      <c r="AD14" s="87"/>
    </row>
    <row r="15" spans="2:30" s="24" customFormat="1" x14ac:dyDescent="0.3">
      <c r="B15" s="3" t="s">
        <v>945</v>
      </c>
      <c r="C15" s="160">
        <v>0</v>
      </c>
      <c r="D15" s="161" t="str">
        <f>IF(OR($C$6=0,C15=0),"-",C15/$C$6)</f>
        <v>-</v>
      </c>
      <c r="E15" s="157"/>
      <c r="F15" s="1"/>
      <c r="G15" s="5"/>
      <c r="H15" s="5"/>
      <c r="I15" s="5"/>
      <c r="J15" s="5"/>
      <c r="O15" s="3" t="s">
        <v>945</v>
      </c>
      <c r="P15" s="160">
        <v>0</v>
      </c>
      <c r="Q15" s="161" t="str">
        <f>IF(OR($C$6=0,P15=0),"-",P15/$C$6)</f>
        <v>-</v>
      </c>
      <c r="AB15" s="3" t="s">
        <v>945</v>
      </c>
      <c r="AC15" s="160">
        <v>0</v>
      </c>
      <c r="AD15" s="161" t="str">
        <f>IF(OR($C$6=0,AC15=0),"-",AC15/$C$6)</f>
        <v>-</v>
      </c>
    </row>
    <row r="16" spans="2:30" x14ac:dyDescent="0.3">
      <c r="B16" s="4" t="s">
        <v>951</v>
      </c>
      <c r="C16" s="70">
        <v>0</v>
      </c>
      <c r="D16" s="87" t="str">
        <f>IF(OR($C$8=0,C16=0),"-",C16/$C$8)</f>
        <v>-</v>
      </c>
      <c r="O16" s="4" t="s">
        <v>951</v>
      </c>
      <c r="P16" s="70">
        <v>0</v>
      </c>
      <c r="Q16" s="87" t="str">
        <f>IF(OR($C$8=0,P16=0),"-",P16/$C$8)</f>
        <v>-</v>
      </c>
      <c r="AB16" s="4" t="s">
        <v>951</v>
      </c>
      <c r="AC16" s="70">
        <v>0</v>
      </c>
      <c r="AD16" s="87" t="str">
        <f>IF(OR($C$8=0,AC16=0),"-",AC16/$C$8)</f>
        <v>-</v>
      </c>
    </row>
    <row r="17" spans="2:30" x14ac:dyDescent="0.3">
      <c r="B17" s="4" t="s">
        <v>949</v>
      </c>
      <c r="C17" s="70">
        <v>0</v>
      </c>
      <c r="D17" s="87" t="str">
        <f>IF(OR($C$8=0,C17=0),"-",C17/$C$8)</f>
        <v>-</v>
      </c>
      <c r="O17" s="4" t="s">
        <v>949</v>
      </c>
      <c r="P17" s="70">
        <v>0</v>
      </c>
      <c r="Q17" s="87" t="str">
        <f>IF(OR($C$8=0,P17=0),"-",P17/$C$8)</f>
        <v>-</v>
      </c>
      <c r="AB17" s="4" t="s">
        <v>949</v>
      </c>
      <c r="AC17" s="70">
        <v>0</v>
      </c>
      <c r="AD17" s="87" t="str">
        <f>IF(OR($C$8=0,AC17=0),"-",AC17/$C$8)</f>
        <v>-</v>
      </c>
    </row>
    <row r="18" spans="2:30" x14ac:dyDescent="0.3">
      <c r="B18" s="72"/>
      <c r="C18" s="70"/>
      <c r="D18" s="87"/>
      <c r="F18" s="24"/>
      <c r="G18" s="2"/>
      <c r="H18" s="2"/>
      <c r="I18" s="2"/>
      <c r="J18" s="2"/>
      <c r="O18" s="72"/>
      <c r="P18" s="70"/>
      <c r="Q18" s="87"/>
      <c r="AB18" s="72"/>
      <c r="AC18" s="70"/>
      <c r="AD18" s="87"/>
    </row>
    <row r="19" spans="2:30" s="24" customFormat="1" x14ac:dyDescent="0.3">
      <c r="B19" s="162" t="s">
        <v>936</v>
      </c>
      <c r="C19" s="163">
        <v>0</v>
      </c>
      <c r="D19" s="164" t="str">
        <f>IF(OR($C$8=0,C19=0),"-",C19/$C$8)</f>
        <v>-</v>
      </c>
      <c r="E19" s="157"/>
      <c r="F19" s="1"/>
      <c r="G19" s="5"/>
      <c r="H19" s="5"/>
      <c r="I19" s="5"/>
      <c r="J19" s="5"/>
      <c r="O19" s="162" t="s">
        <v>936</v>
      </c>
      <c r="P19" s="163">
        <v>0</v>
      </c>
      <c r="Q19" s="164" t="str">
        <f>IF(OR($C$8=0,P19=0),"-",P19/$C$8)</f>
        <v>-</v>
      </c>
      <c r="AB19" s="162" t="s">
        <v>936</v>
      </c>
      <c r="AC19" s="163">
        <v>0</v>
      </c>
      <c r="AD19" s="164" t="str">
        <f>IF(OR($C$8=0,AC19=0),"-",AC19/$C$8)</f>
        <v>-</v>
      </c>
    </row>
    <row r="20" spans="2:30" x14ac:dyDescent="0.3">
      <c r="B20" s="165" t="s">
        <v>940</v>
      </c>
      <c r="C20" s="166">
        <v>0</v>
      </c>
      <c r="D20" s="167" t="str">
        <f>IF(OR($C$19=0,C20=0),"-",C20/$C$19)</f>
        <v>-</v>
      </c>
      <c r="O20" s="165" t="s">
        <v>940</v>
      </c>
      <c r="P20" s="166">
        <v>0</v>
      </c>
      <c r="Q20" s="167" t="str">
        <f>IF(OR($C$19=0,P20=0),"-",P20/$C$19)</f>
        <v>-</v>
      </c>
      <c r="AB20" s="165" t="s">
        <v>940</v>
      </c>
      <c r="AC20" s="166">
        <v>0</v>
      </c>
      <c r="AD20" s="167" t="str">
        <f>IF(OR($C$19=0,AC20=0),"-",AC20/$C$19)</f>
        <v>-</v>
      </c>
    </row>
    <row r="21" spans="2:30" x14ac:dyDescent="0.3">
      <c r="B21" s="165" t="s">
        <v>941</v>
      </c>
      <c r="C21" s="166">
        <v>0</v>
      </c>
      <c r="D21" s="167" t="str">
        <f>IF(OR($C$19=0,C21=0),"-",C21/$C$19)</f>
        <v>-</v>
      </c>
      <c r="O21" s="165" t="s">
        <v>941</v>
      </c>
      <c r="P21" s="166">
        <v>0</v>
      </c>
      <c r="Q21" s="167" t="str">
        <f>IF(OR($C$19=0,P21=0),"-",P21/$C$19)</f>
        <v>-</v>
      </c>
      <c r="AB21" s="165" t="s">
        <v>941</v>
      </c>
      <c r="AC21" s="166">
        <v>0</v>
      </c>
      <c r="AD21" s="167" t="str">
        <f>IF(OR($C$19=0,AC21=0),"-",AC21/$C$19)</f>
        <v>-</v>
      </c>
    </row>
    <row r="22" spans="2:30" x14ac:dyDescent="0.3">
      <c r="B22" s="165" t="s">
        <v>942</v>
      </c>
      <c r="C22" s="166">
        <v>0</v>
      </c>
      <c r="D22" s="167" t="str">
        <f>IF(OR($C$19=0,C22=0),"-",C22/$C$19)</f>
        <v>-</v>
      </c>
      <c r="O22" s="165" t="s">
        <v>942</v>
      </c>
      <c r="P22" s="166">
        <v>0</v>
      </c>
      <c r="Q22" s="167" t="str">
        <f>IF(OR($C$19=0,P22=0),"-",P22/$C$19)</f>
        <v>-</v>
      </c>
      <c r="AB22" s="165" t="s">
        <v>942</v>
      </c>
      <c r="AC22" s="166">
        <v>0</v>
      </c>
      <c r="AD22" s="167" t="str">
        <f>IF(OR($C$19=0,AC22=0),"-",AC22/$C$19)</f>
        <v>-</v>
      </c>
    </row>
    <row r="23" spans="2:30" x14ac:dyDescent="0.3">
      <c r="B23" s="165" t="s">
        <v>943</v>
      </c>
      <c r="C23" s="166">
        <v>0</v>
      </c>
      <c r="D23" s="167" t="str">
        <f>IF(OR($C$19=0,C23=0),"-",C23/$C$19)</f>
        <v>-</v>
      </c>
      <c r="O23" s="165" t="s">
        <v>943</v>
      </c>
      <c r="P23" s="166">
        <v>0</v>
      </c>
      <c r="Q23" s="167" t="str">
        <f>IF(OR($C$19=0,P23=0),"-",P23/$C$19)</f>
        <v>-</v>
      </c>
      <c r="AB23" s="165" t="s">
        <v>943</v>
      </c>
      <c r="AC23" s="166">
        <v>0</v>
      </c>
      <c r="AD23" s="167" t="str">
        <f>IF(OR($C$19=0,AC23=0),"-",AC23/$C$19)</f>
        <v>-</v>
      </c>
    </row>
    <row r="24" spans="2:30" x14ac:dyDescent="0.3">
      <c r="B24" s="165" t="s">
        <v>944</v>
      </c>
      <c r="C24" s="166">
        <v>0</v>
      </c>
      <c r="D24" s="167" t="str">
        <f>IF(OR($C$19=0,C24=0),"-",C24/$C$19)</f>
        <v>-</v>
      </c>
      <c r="O24" s="165" t="s">
        <v>944</v>
      </c>
      <c r="P24" s="166">
        <v>0</v>
      </c>
      <c r="Q24" s="167" t="str">
        <f>IF(OR($C$19=0,P24=0),"-",P24/$C$19)</f>
        <v>-</v>
      </c>
      <c r="AB24" s="165" t="s">
        <v>944</v>
      </c>
      <c r="AC24" s="166">
        <v>0</v>
      </c>
      <c r="AD24" s="167" t="str">
        <f>IF(OR($C$19=0,AC24=0),"-",AC24/$C$19)</f>
        <v>-</v>
      </c>
    </row>
    <row r="25" spans="2:30" x14ac:dyDescent="0.3">
      <c r="B25" s="4"/>
      <c r="C25" s="70"/>
      <c r="D25" s="87"/>
      <c r="O25" s="4"/>
      <c r="P25" s="70"/>
      <c r="Q25" s="87"/>
      <c r="AB25" s="4"/>
      <c r="AC25" s="70"/>
      <c r="AD25" s="87"/>
    </row>
    <row r="26" spans="2:30" x14ac:dyDescent="0.3">
      <c r="B26" s="131" t="s">
        <v>880</v>
      </c>
      <c r="D26" s="6"/>
      <c r="O26" s="131" t="s">
        <v>880</v>
      </c>
      <c r="P26" s="5"/>
      <c r="Q26" s="6"/>
      <c r="AB26" s="131" t="s">
        <v>880</v>
      </c>
      <c r="AC26" s="5"/>
      <c r="AD26" s="6"/>
    </row>
    <row r="27" spans="2:30" x14ac:dyDescent="0.3">
      <c r="B27" s="3" t="s">
        <v>950</v>
      </c>
      <c r="C27" s="2">
        <v>0</v>
      </c>
      <c r="D27" s="90"/>
      <c r="O27" s="3" t="s">
        <v>950</v>
      </c>
      <c r="P27" s="2">
        <v>0</v>
      </c>
      <c r="Q27" s="90"/>
      <c r="AB27" s="3" t="s">
        <v>950</v>
      </c>
      <c r="AC27" s="2">
        <v>0</v>
      </c>
      <c r="AD27" s="90"/>
    </row>
    <row r="28" spans="2:30" x14ac:dyDescent="0.3">
      <c r="B28" s="72" t="s">
        <v>780</v>
      </c>
      <c r="C28" s="70">
        <v>0</v>
      </c>
      <c r="D28" s="83" t="str">
        <f>IF(OR($C$27=0,C28=0),"-",C28/$C$27)</f>
        <v>-</v>
      </c>
      <c r="O28" s="72" t="s">
        <v>780</v>
      </c>
      <c r="P28" s="70">
        <v>0</v>
      </c>
      <c r="Q28" s="83" t="str">
        <f>IF(OR($C$27=0,P28=0),"-",P28/$C$27)</f>
        <v>-</v>
      </c>
      <c r="AB28" s="72" t="s">
        <v>780</v>
      </c>
      <c r="AC28" s="70">
        <v>0</v>
      </c>
      <c r="AD28" s="83" t="str">
        <f>IF(OR($C$27=0,AC28=0),"-",AC28/$C$27)</f>
        <v>-</v>
      </c>
    </row>
    <row r="29" spans="2:30" x14ac:dyDescent="0.3">
      <c r="B29" s="72" t="s">
        <v>779</v>
      </c>
      <c r="C29" s="70">
        <v>0</v>
      </c>
      <c r="D29" s="83" t="str">
        <f>IF(OR($C$27=0,C29=0),"-",C29/$C$27)</f>
        <v>-</v>
      </c>
      <c r="O29" s="72" t="s">
        <v>779</v>
      </c>
      <c r="P29" s="70">
        <v>0</v>
      </c>
      <c r="Q29" s="83" t="str">
        <f>IF(OR($C$27=0,P29=0),"-",P29/$C$27)</f>
        <v>-</v>
      </c>
      <c r="AB29" s="72" t="s">
        <v>779</v>
      </c>
      <c r="AC29" s="70">
        <v>0</v>
      </c>
      <c r="AD29" s="83" t="str">
        <f>IF(OR($C$27=0,AC29=0),"-",AC29/$C$27)</f>
        <v>-</v>
      </c>
    </row>
    <row r="30" spans="2:30" x14ac:dyDescent="0.3">
      <c r="B30" s="72" t="s">
        <v>914</v>
      </c>
      <c r="C30" s="70">
        <v>0</v>
      </c>
      <c r="D30" s="83" t="str">
        <f>IF(OR($C$27=0,C30=0),"-",C30/$C$27)</f>
        <v>-</v>
      </c>
      <c r="O30" s="72" t="s">
        <v>914</v>
      </c>
      <c r="P30" s="70">
        <v>0</v>
      </c>
      <c r="Q30" s="83" t="str">
        <f>IF(OR($C$27=0,P30=0),"-",P30/$C$27)</f>
        <v>-</v>
      </c>
      <c r="AB30" s="72" t="s">
        <v>914</v>
      </c>
      <c r="AC30" s="70">
        <v>0</v>
      </c>
      <c r="AD30" s="83" t="str">
        <f>IF(OR($C$27=0,AC30=0),"-",AC30/$C$27)</f>
        <v>-</v>
      </c>
    </row>
    <row r="31" spans="2:30" x14ac:dyDescent="0.3">
      <c r="B31" s="72"/>
      <c r="C31" s="70"/>
      <c r="D31" s="83"/>
      <c r="O31" s="72"/>
      <c r="P31" s="70"/>
      <c r="Q31" s="83"/>
      <c r="AB31" s="72"/>
      <c r="AC31" s="70"/>
      <c r="AD31" s="83"/>
    </row>
    <row r="32" spans="2:30" x14ac:dyDescent="0.3">
      <c r="B32" s="72" t="s">
        <v>955</v>
      </c>
      <c r="C32" s="70">
        <v>0</v>
      </c>
      <c r="D32" s="83" t="str">
        <f>IF(OR($C$27=0,C32=0),"-",C32/$C$27)</f>
        <v>-</v>
      </c>
      <c r="O32" s="72" t="s">
        <v>955</v>
      </c>
      <c r="P32" s="70">
        <v>0</v>
      </c>
      <c r="Q32" s="83" t="str">
        <f>IF(OR($C$27=0,P32=0),"-",P32/$C$27)</f>
        <v>-</v>
      </c>
      <c r="AB32" s="72" t="s">
        <v>955</v>
      </c>
      <c r="AC32" s="70">
        <v>0</v>
      </c>
      <c r="AD32" s="83" t="str">
        <f>IF(OR($C$27=0,AC32=0),"-",AC32/$C$27)</f>
        <v>-</v>
      </c>
    </row>
    <row r="33" spans="1:30" x14ac:dyDescent="0.3">
      <c r="B33" s="72" t="s">
        <v>956</v>
      </c>
      <c r="C33" s="70">
        <v>0</v>
      </c>
      <c r="D33" s="83" t="str">
        <f>IF(OR($C$27=0,C33=0),"-",C33/$C$27)</f>
        <v>-</v>
      </c>
      <c r="O33" s="72" t="s">
        <v>956</v>
      </c>
      <c r="P33" s="70">
        <v>0</v>
      </c>
      <c r="Q33" s="83" t="str">
        <f>IF(OR($C$27=0,P33=0),"-",P33/$C$27)</f>
        <v>-</v>
      </c>
      <c r="AB33" s="72" t="s">
        <v>956</v>
      </c>
      <c r="AC33" s="70">
        <v>0</v>
      </c>
      <c r="AD33" s="83" t="str">
        <f>IF(OR($C$27=0,AC33=0),"-",AC33/$C$27)</f>
        <v>-</v>
      </c>
    </row>
    <row r="34" spans="1:30" x14ac:dyDescent="0.3">
      <c r="B34" s="72"/>
      <c r="D34" s="6"/>
      <c r="O34" s="72"/>
      <c r="P34" s="5"/>
      <c r="Q34" s="6"/>
      <c r="AB34" s="72"/>
      <c r="AC34" s="5"/>
      <c r="AD34" s="6"/>
    </row>
    <row r="35" spans="1:30" x14ac:dyDescent="0.3">
      <c r="B35" s="3" t="s">
        <v>873</v>
      </c>
      <c r="C35" s="2">
        <v>0</v>
      </c>
      <c r="D35" s="34" t="str">
        <f>IF(OR($C$27=0,C35=0),"-",C35/$C$27)</f>
        <v>-</v>
      </c>
      <c r="O35" s="3" t="s">
        <v>873</v>
      </c>
      <c r="P35" s="2">
        <v>0</v>
      </c>
      <c r="Q35" s="34" t="str">
        <f>IF(OR($C$27=0,P35=0),"-",P35/$C$27)</f>
        <v>-</v>
      </c>
      <c r="AB35" s="3" t="s">
        <v>873</v>
      </c>
      <c r="AC35" s="2">
        <v>0</v>
      </c>
      <c r="AD35" s="34" t="str">
        <f>IF(OR($C$27=0,AC35=0),"-",AC35/$C$27)</f>
        <v>-</v>
      </c>
    </row>
    <row r="36" spans="1:30" x14ac:dyDescent="0.3">
      <c r="B36" s="4" t="s">
        <v>882</v>
      </c>
      <c r="C36" s="5">
        <v>0</v>
      </c>
      <c r="D36" s="6" t="str">
        <f>IF(OR($C$35=0,C36=0),"-",C36/$C$35)</f>
        <v>-</v>
      </c>
      <c r="O36" s="4" t="s">
        <v>882</v>
      </c>
      <c r="P36" s="5">
        <v>0</v>
      </c>
      <c r="Q36" s="6" t="str">
        <f>IF(OR($C$35=0,P36=0),"-",P36/$C$35)</f>
        <v>-</v>
      </c>
      <c r="AB36" s="4" t="s">
        <v>882</v>
      </c>
      <c r="AC36" s="5">
        <v>0</v>
      </c>
      <c r="AD36" s="6" t="str">
        <f>IF(OR($C$35=0,AC36=0),"-",AC36/$C$35)</f>
        <v>-</v>
      </c>
    </row>
    <row r="37" spans="1:30" x14ac:dyDescent="0.3">
      <c r="B37" s="72" t="s">
        <v>891</v>
      </c>
      <c r="C37" s="5">
        <v>0</v>
      </c>
      <c r="D37" s="87" t="str">
        <f>IF(OR($C36=0,C37=0),"-",C37/$C36)</f>
        <v>-</v>
      </c>
      <c r="O37" s="72" t="s">
        <v>891</v>
      </c>
      <c r="P37" s="5">
        <v>0</v>
      </c>
      <c r="Q37" s="87" t="str">
        <f>IF(OR($C36=0,P37=0),"-",P37/$C36)</f>
        <v>-</v>
      </c>
      <c r="AB37" s="72" t="s">
        <v>891</v>
      </c>
      <c r="AC37" s="5">
        <v>0</v>
      </c>
      <c r="AD37" s="87" t="str">
        <f>IF(OR($C36=0,AC37=0),"-",AC37/$C36)</f>
        <v>-</v>
      </c>
    </row>
    <row r="38" spans="1:30" x14ac:dyDescent="0.3">
      <c r="B38" s="72" t="s">
        <v>884</v>
      </c>
      <c r="C38" s="70">
        <v>0</v>
      </c>
      <c r="D38" s="87" t="str">
        <f>IF(OR($C36=0,C38=0),"-",C38/$C36)</f>
        <v>-</v>
      </c>
      <c r="O38" s="72" t="s">
        <v>884</v>
      </c>
      <c r="P38" s="70">
        <v>0</v>
      </c>
      <c r="Q38" s="87" t="str">
        <f>IF(OR($C36=0,P38=0),"-",P38/$C36)</f>
        <v>-</v>
      </c>
      <c r="AB38" s="72" t="s">
        <v>884</v>
      </c>
      <c r="AC38" s="70">
        <v>0</v>
      </c>
      <c r="AD38" s="87" t="str">
        <f>IF(OR($C36=0,AC38=0),"-",AC38/$C36)</f>
        <v>-</v>
      </c>
    </row>
    <row r="39" spans="1:30" x14ac:dyDescent="0.3">
      <c r="B39" s="72" t="s">
        <v>885</v>
      </c>
      <c r="C39" s="70">
        <v>0</v>
      </c>
      <c r="D39" s="87" t="str">
        <f>IF(OR($C36=0,C39=0),"-",C39/$C36)</f>
        <v>-</v>
      </c>
      <c r="O39" s="72" t="s">
        <v>885</v>
      </c>
      <c r="P39" s="70">
        <v>0</v>
      </c>
      <c r="Q39" s="87" t="str">
        <f>IF(OR($C36=0,P39=0),"-",P39/$C36)</f>
        <v>-</v>
      </c>
      <c r="AB39" s="72" t="s">
        <v>885</v>
      </c>
      <c r="AC39" s="70">
        <v>0</v>
      </c>
      <c r="AD39" s="87" t="str">
        <f>IF(OR($C36=0,AC39=0),"-",AC39/$C36)</f>
        <v>-</v>
      </c>
    </row>
    <row r="40" spans="1:30" x14ac:dyDescent="0.3">
      <c r="B40" s="72" t="s">
        <v>892</v>
      </c>
      <c r="C40" s="70">
        <v>0</v>
      </c>
      <c r="D40" s="87" t="str">
        <f>IF(OR($C36=0,C40=0),"-",C40/$C36)</f>
        <v>-</v>
      </c>
      <c r="O40" s="72" t="s">
        <v>892</v>
      </c>
      <c r="P40" s="70">
        <v>0</v>
      </c>
      <c r="Q40" s="87" t="str">
        <f>IF(OR($C36=0,P40=0),"-",P40/$C36)</f>
        <v>-</v>
      </c>
      <c r="AB40" s="72" t="s">
        <v>892</v>
      </c>
      <c r="AC40" s="70">
        <v>0</v>
      </c>
      <c r="AD40" s="87" t="str">
        <f>IF(OR($C36=0,AC40=0),"-",AC40/$C36)</f>
        <v>-</v>
      </c>
    </row>
    <row r="41" spans="1:30" x14ac:dyDescent="0.3">
      <c r="B41" s="72" t="s">
        <v>893</v>
      </c>
      <c r="C41" s="70">
        <v>0</v>
      </c>
      <c r="D41" s="87" t="str">
        <f>IF(OR($C36=0,C41=0),"-",C41/$C36)</f>
        <v>-</v>
      </c>
      <c r="O41" s="72" t="s">
        <v>893</v>
      </c>
      <c r="P41" s="70">
        <v>0</v>
      </c>
      <c r="Q41" s="87" t="str">
        <f>IF(OR($C36=0,P41=0),"-",P41/$C36)</f>
        <v>-</v>
      </c>
      <c r="AB41" s="72" t="s">
        <v>893</v>
      </c>
      <c r="AC41" s="70">
        <v>0</v>
      </c>
      <c r="AD41" s="87" t="str">
        <f>IF(OR($C36=0,AC41=0),"-",AC41/$C36)</f>
        <v>-</v>
      </c>
    </row>
    <row r="42" spans="1:30" x14ac:dyDescent="0.3">
      <c r="B42" s="72" t="s">
        <v>886</v>
      </c>
      <c r="C42" s="5">
        <v>0</v>
      </c>
      <c r="D42" s="87" t="str">
        <f>IF(OR($C36=0,C42=0),"-",C42/$C36)</f>
        <v>-</v>
      </c>
      <c r="O42" s="72" t="s">
        <v>886</v>
      </c>
      <c r="P42" s="5">
        <v>0</v>
      </c>
      <c r="Q42" s="87" t="str">
        <f>IF(OR($C36=0,P42=0),"-",P42/$C36)</f>
        <v>-</v>
      </c>
      <c r="AB42" s="72" t="s">
        <v>886</v>
      </c>
      <c r="AC42" s="5">
        <v>0</v>
      </c>
      <c r="AD42" s="87" t="str">
        <f>IF(OR($C36=0,AC42=0),"-",AC42/$C36)</f>
        <v>-</v>
      </c>
    </row>
    <row r="43" spans="1:30" x14ac:dyDescent="0.3">
      <c r="B43" s="4" t="s">
        <v>883</v>
      </c>
      <c r="C43" s="5">
        <v>0</v>
      </c>
      <c r="D43" s="34" t="str">
        <f>IF(OR($C$35=0,C43=0),"-",C43/$C$35)</f>
        <v>-</v>
      </c>
      <c r="O43" s="4" t="s">
        <v>883</v>
      </c>
      <c r="P43" s="5">
        <v>0</v>
      </c>
      <c r="Q43" s="34" t="str">
        <f>IF(OR($C$35=0,P43=0),"-",P43/$C$35)</f>
        <v>-</v>
      </c>
      <c r="AB43" s="4" t="s">
        <v>883</v>
      </c>
      <c r="AC43" s="5">
        <v>0</v>
      </c>
      <c r="AD43" s="34" t="str">
        <f>IF(OR($C$35=0,AC43=0),"-",AC43/$C$35)</f>
        <v>-</v>
      </c>
    </row>
    <row r="44" spans="1:30" x14ac:dyDescent="0.3">
      <c r="A44" s="122"/>
      <c r="B44" s="72" t="s">
        <v>887</v>
      </c>
      <c r="C44" s="70">
        <v>0</v>
      </c>
      <c r="D44" s="87" t="str">
        <f>IF(OR($C$43=0,C44=0),"-",C44/$C$43)</f>
        <v>-</v>
      </c>
      <c r="O44" s="72" t="s">
        <v>887</v>
      </c>
      <c r="P44" s="70">
        <v>0</v>
      </c>
      <c r="Q44" s="87" t="str">
        <f>IF(OR($C$43=0,P44=0),"-",P44/$C$43)</f>
        <v>-</v>
      </c>
      <c r="AB44" s="72" t="s">
        <v>887</v>
      </c>
      <c r="AC44" s="70">
        <v>0</v>
      </c>
      <c r="AD44" s="87" t="str">
        <f>IF(OR($C$43=0,AC44=0),"-",AC44/$C$43)</f>
        <v>-</v>
      </c>
    </row>
    <row r="45" spans="1:30" x14ac:dyDescent="0.3">
      <c r="A45" s="122"/>
      <c r="B45" s="72" t="s">
        <v>888</v>
      </c>
      <c r="C45" s="70">
        <v>0</v>
      </c>
      <c r="D45" s="87" t="str">
        <f t="shared" ref="D45:D46" si="0">IF(OR($C$43=0,C45=0),"-",C45/$C$43)</f>
        <v>-</v>
      </c>
      <c r="O45" s="72" t="s">
        <v>888</v>
      </c>
      <c r="P45" s="70">
        <v>0</v>
      </c>
      <c r="Q45" s="87" t="str">
        <f t="shared" ref="Q45:Q46" si="1">IF(OR($C$43=0,P45=0),"-",P45/$C$43)</f>
        <v>-</v>
      </c>
      <c r="AB45" s="72" t="s">
        <v>888</v>
      </c>
      <c r="AC45" s="70">
        <v>0</v>
      </c>
      <c r="AD45" s="87" t="str">
        <f t="shared" ref="AD45:AD46" si="2">IF(OR($C$43=0,AC45=0),"-",AC45/$C$43)</f>
        <v>-</v>
      </c>
    </row>
    <row r="46" spans="1:30" x14ac:dyDescent="0.3">
      <c r="A46" s="122"/>
      <c r="B46" s="72" t="s">
        <v>889</v>
      </c>
      <c r="C46" s="70">
        <v>0</v>
      </c>
      <c r="D46" s="87" t="str">
        <f t="shared" si="0"/>
        <v>-</v>
      </c>
      <c r="O46" s="72" t="s">
        <v>889</v>
      </c>
      <c r="P46" s="70">
        <v>0</v>
      </c>
      <c r="Q46" s="87" t="str">
        <f t="shared" si="1"/>
        <v>-</v>
      </c>
      <c r="AB46" s="72" t="s">
        <v>889</v>
      </c>
      <c r="AC46" s="70">
        <v>0</v>
      </c>
      <c r="AD46" s="87" t="str">
        <f t="shared" si="2"/>
        <v>-</v>
      </c>
    </row>
    <row r="47" spans="1:30" ht="15" thickBot="1" x14ac:dyDescent="0.35">
      <c r="A47" s="122"/>
      <c r="B47" s="91"/>
      <c r="C47" s="93"/>
      <c r="D47" s="92"/>
      <c r="O47" s="91"/>
      <c r="P47" s="93"/>
      <c r="Q47" s="92"/>
      <c r="AB47" s="91"/>
      <c r="AC47" s="93"/>
      <c r="AD47" s="92"/>
    </row>
    <row r="48" spans="1:30" x14ac:dyDescent="0.3">
      <c r="A48" s="122"/>
      <c r="H48" s="112"/>
    </row>
    <row r="49" spans="1:39" ht="15" thickBot="1" x14ac:dyDescent="0.35">
      <c r="A49" s="122"/>
      <c r="B49" s="122"/>
      <c r="C49" s="122"/>
      <c r="D49" s="122"/>
      <c r="E49" s="112"/>
      <c r="F49" s="122"/>
      <c r="G49" s="112"/>
      <c r="H49" s="112"/>
    </row>
    <row r="50" spans="1:39" ht="15" thickBot="1" x14ac:dyDescent="0.35">
      <c r="A50" s="122"/>
      <c r="B50" s="246" t="s">
        <v>957</v>
      </c>
      <c r="C50" s="247"/>
      <c r="D50" s="247"/>
      <c r="E50" s="247"/>
      <c r="F50" s="247"/>
      <c r="G50" s="247"/>
      <c r="H50" s="247"/>
      <c r="I50" s="247"/>
      <c r="J50" s="247"/>
      <c r="K50" s="247"/>
      <c r="L50" s="247"/>
      <c r="M50" s="248"/>
      <c r="N50" s="196"/>
      <c r="O50" s="246" t="s">
        <v>957</v>
      </c>
      <c r="P50" s="247"/>
      <c r="Q50" s="247"/>
      <c r="R50" s="247"/>
      <c r="S50" s="247"/>
      <c r="T50" s="247"/>
      <c r="U50" s="247"/>
      <c r="V50" s="247"/>
      <c r="W50" s="247"/>
      <c r="X50" s="247"/>
      <c r="Y50" s="247"/>
      <c r="Z50" s="248"/>
      <c r="AB50" s="246" t="s">
        <v>957</v>
      </c>
      <c r="AC50" s="247"/>
      <c r="AD50" s="247"/>
      <c r="AE50" s="247"/>
      <c r="AF50" s="247"/>
      <c r="AG50" s="247"/>
      <c r="AH50" s="247"/>
      <c r="AI50" s="247"/>
      <c r="AJ50" s="247"/>
      <c r="AK50" s="247"/>
      <c r="AL50" s="247"/>
      <c r="AM50" s="248"/>
    </row>
    <row r="51" spans="1:39" x14ac:dyDescent="0.3">
      <c r="A51" s="122"/>
      <c r="B51" s="108"/>
      <c r="C51" s="116" t="s">
        <v>28</v>
      </c>
      <c r="D51" s="109" t="s">
        <v>29</v>
      </c>
      <c r="E51" s="109"/>
      <c r="F51" s="109"/>
      <c r="G51" s="109"/>
      <c r="H51" s="109"/>
      <c r="I51" s="109"/>
      <c r="J51" s="109"/>
      <c r="K51" s="116"/>
      <c r="L51" s="117"/>
      <c r="M51" s="118"/>
      <c r="N51" s="197"/>
      <c r="O51" s="108"/>
      <c r="P51" s="116" t="s">
        <v>28</v>
      </c>
      <c r="Q51" s="109" t="s">
        <v>29</v>
      </c>
      <c r="R51" s="109"/>
      <c r="S51" s="109"/>
      <c r="T51" s="109"/>
      <c r="U51" s="109"/>
      <c r="V51" s="109"/>
      <c r="W51" s="109"/>
      <c r="X51" s="116"/>
      <c r="Y51" s="117"/>
      <c r="Z51" s="118"/>
      <c r="AB51" s="108"/>
      <c r="AC51" s="116" t="s">
        <v>28</v>
      </c>
      <c r="AD51" s="109" t="s">
        <v>29</v>
      </c>
      <c r="AE51" s="109"/>
      <c r="AF51" s="109"/>
      <c r="AG51" s="109"/>
      <c r="AH51" s="109"/>
      <c r="AI51" s="109"/>
      <c r="AJ51" s="109"/>
      <c r="AK51" s="116"/>
      <c r="AL51" s="117"/>
      <c r="AM51" s="118"/>
    </row>
    <row r="52" spans="1:39" x14ac:dyDescent="0.3">
      <c r="A52" s="122"/>
      <c r="B52" s="171" t="s">
        <v>958</v>
      </c>
      <c r="C52" s="112">
        <v>0</v>
      </c>
      <c r="D52" s="193" t="str">
        <f>IF(OR($C$52=0,C54=0),"-",C52/$C$54)</f>
        <v>-</v>
      </c>
      <c r="E52" s="120"/>
      <c r="F52" s="120"/>
      <c r="G52" s="120"/>
      <c r="H52" s="120"/>
      <c r="I52" s="120"/>
      <c r="J52" s="120"/>
      <c r="K52" s="112"/>
      <c r="L52" s="122"/>
      <c r="M52" s="119"/>
      <c r="N52" s="197"/>
      <c r="O52" s="171" t="s">
        <v>958</v>
      </c>
      <c r="P52" s="112">
        <v>0</v>
      </c>
      <c r="Q52" s="193" t="str">
        <f>IF(OR($C$52=0,P54=0),"-",P52/$C$54)</f>
        <v>-</v>
      </c>
      <c r="R52" s="120"/>
      <c r="S52" s="120"/>
      <c r="T52" s="120"/>
      <c r="U52" s="120"/>
      <c r="V52" s="120"/>
      <c r="W52" s="120"/>
      <c r="X52" s="112"/>
      <c r="Y52" s="122"/>
      <c r="Z52" s="119"/>
      <c r="AB52" s="171" t="s">
        <v>958</v>
      </c>
      <c r="AC52" s="112">
        <v>0</v>
      </c>
      <c r="AD52" s="193" t="str">
        <f>IF(OR($C$52=0,AC54=0),"-",AC52/$C$54)</f>
        <v>-</v>
      </c>
      <c r="AE52" s="120"/>
      <c r="AF52" s="120"/>
      <c r="AG52" s="120"/>
      <c r="AH52" s="120"/>
      <c r="AI52" s="120"/>
      <c r="AJ52" s="120"/>
      <c r="AK52" s="112"/>
      <c r="AL52" s="122"/>
      <c r="AM52" s="119"/>
    </row>
    <row r="53" spans="1:39" x14ac:dyDescent="0.3">
      <c r="A53" s="122"/>
      <c r="B53" s="171" t="s">
        <v>959</v>
      </c>
      <c r="C53" s="112">
        <v>0</v>
      </c>
      <c r="D53" s="193" t="str">
        <f>IF(OR($C$53=0,C54=0),"-",C53/$C$54)</f>
        <v>-</v>
      </c>
      <c r="E53" s="120"/>
      <c r="F53" s="120"/>
      <c r="G53" s="120"/>
      <c r="H53" s="120"/>
      <c r="I53" s="120"/>
      <c r="J53" s="120"/>
      <c r="K53" s="112"/>
      <c r="L53" s="122"/>
      <c r="M53" s="119"/>
      <c r="N53" s="197"/>
      <c r="O53" s="171" t="s">
        <v>959</v>
      </c>
      <c r="P53" s="112">
        <v>0</v>
      </c>
      <c r="Q53" s="193" t="str">
        <f>IF(OR($C$53=0,P54=0),"-",P53/$C$54)</f>
        <v>-</v>
      </c>
      <c r="R53" s="120"/>
      <c r="S53" s="120"/>
      <c r="T53" s="120"/>
      <c r="U53" s="120"/>
      <c r="V53" s="120"/>
      <c r="W53" s="120"/>
      <c r="X53" s="112"/>
      <c r="Y53" s="122"/>
      <c r="Z53" s="119"/>
      <c r="AB53" s="171" t="s">
        <v>959</v>
      </c>
      <c r="AC53" s="112">
        <v>0</v>
      </c>
      <c r="AD53" s="193" t="str">
        <f>IF(OR($C$53=0,AC54=0),"-",AC53/$C$54)</f>
        <v>-</v>
      </c>
      <c r="AE53" s="120"/>
      <c r="AF53" s="120"/>
      <c r="AG53" s="120"/>
      <c r="AH53" s="120"/>
      <c r="AI53" s="120"/>
      <c r="AJ53" s="120"/>
      <c r="AK53" s="112"/>
      <c r="AL53" s="122"/>
      <c r="AM53" s="119"/>
    </row>
    <row r="54" spans="1:39" x14ac:dyDescent="0.3">
      <c r="A54" s="122"/>
      <c r="B54" s="171" t="s">
        <v>960</v>
      </c>
      <c r="C54" s="112">
        <v>0</v>
      </c>
      <c r="D54" s="120"/>
      <c r="E54" s="120"/>
      <c r="F54" s="120"/>
      <c r="G54" s="120"/>
      <c r="H54" s="120"/>
      <c r="I54" s="120"/>
      <c r="J54" s="120"/>
      <c r="K54" s="112"/>
      <c r="L54" s="122"/>
      <c r="M54" s="119"/>
      <c r="N54" s="197"/>
      <c r="O54" s="171" t="s">
        <v>960</v>
      </c>
      <c r="P54" s="112">
        <v>0</v>
      </c>
      <c r="Q54" s="120"/>
      <c r="R54" s="120"/>
      <c r="S54" s="120"/>
      <c r="T54" s="120"/>
      <c r="U54" s="120"/>
      <c r="V54" s="120"/>
      <c r="W54" s="120"/>
      <c r="X54" s="112"/>
      <c r="Y54" s="122"/>
      <c r="Z54" s="119"/>
      <c r="AB54" s="171" t="s">
        <v>960</v>
      </c>
      <c r="AC54" s="112">
        <v>0</v>
      </c>
      <c r="AD54" s="120"/>
      <c r="AE54" s="120"/>
      <c r="AF54" s="120"/>
      <c r="AG54" s="120"/>
      <c r="AH54" s="120"/>
      <c r="AI54" s="120"/>
      <c r="AJ54" s="120"/>
      <c r="AK54" s="112"/>
      <c r="AL54" s="122"/>
      <c r="AM54" s="119"/>
    </row>
    <row r="55" spans="1:39" x14ac:dyDescent="0.3">
      <c r="A55" s="122"/>
      <c r="B55" s="110"/>
      <c r="C55" s="120"/>
      <c r="D55" s="120"/>
      <c r="E55" s="120"/>
      <c r="F55" s="120"/>
      <c r="G55" s="120"/>
      <c r="H55" s="120"/>
      <c r="I55" s="120"/>
      <c r="J55" s="120"/>
      <c r="K55" s="112"/>
      <c r="L55" s="122"/>
      <c r="M55" s="119"/>
      <c r="N55" s="197"/>
      <c r="O55" s="110"/>
      <c r="P55" s="120"/>
      <c r="Q55" s="120"/>
      <c r="R55" s="120"/>
      <c r="S55" s="120"/>
      <c r="T55" s="120"/>
      <c r="U55" s="120"/>
      <c r="V55" s="120"/>
      <c r="W55" s="120"/>
      <c r="X55" s="112"/>
      <c r="Y55" s="122"/>
      <c r="Z55" s="119"/>
      <c r="AB55" s="110"/>
      <c r="AC55" s="120"/>
      <c r="AD55" s="120"/>
      <c r="AE55" s="120"/>
      <c r="AF55" s="120"/>
      <c r="AG55" s="120"/>
      <c r="AH55" s="120"/>
      <c r="AI55" s="120"/>
      <c r="AJ55" s="120"/>
      <c r="AK55" s="112"/>
      <c r="AL55" s="122"/>
      <c r="AM55" s="119"/>
    </row>
    <row r="56" spans="1:39" x14ac:dyDescent="0.3">
      <c r="A56" s="122"/>
      <c r="B56" s="110"/>
      <c r="C56" s="249" t="s">
        <v>961</v>
      </c>
      <c r="D56" s="249"/>
      <c r="E56" s="172"/>
      <c r="F56" s="249" t="s">
        <v>962</v>
      </c>
      <c r="G56" s="249"/>
      <c r="H56" s="172"/>
      <c r="I56" s="249" t="s">
        <v>963</v>
      </c>
      <c r="J56" s="249"/>
      <c r="K56" s="112"/>
      <c r="L56" s="249" t="s">
        <v>964</v>
      </c>
      <c r="M56" s="250"/>
      <c r="N56" s="196"/>
      <c r="O56" s="110"/>
      <c r="P56" s="249" t="s">
        <v>961</v>
      </c>
      <c r="Q56" s="249"/>
      <c r="R56" s="172"/>
      <c r="S56" s="249" t="s">
        <v>962</v>
      </c>
      <c r="T56" s="249"/>
      <c r="U56" s="172"/>
      <c r="V56" s="249" t="s">
        <v>963</v>
      </c>
      <c r="W56" s="249"/>
      <c r="X56" s="112"/>
      <c r="Y56" s="249" t="s">
        <v>964</v>
      </c>
      <c r="Z56" s="250"/>
      <c r="AB56" s="110"/>
      <c r="AC56" s="249" t="s">
        <v>961</v>
      </c>
      <c r="AD56" s="249"/>
      <c r="AE56" s="172"/>
      <c r="AF56" s="249" t="s">
        <v>962</v>
      </c>
      <c r="AG56" s="249"/>
      <c r="AH56" s="172"/>
      <c r="AI56" s="249" t="s">
        <v>963</v>
      </c>
      <c r="AJ56" s="249"/>
      <c r="AK56" s="112"/>
      <c r="AL56" s="249" t="s">
        <v>964</v>
      </c>
      <c r="AM56" s="250"/>
    </row>
    <row r="57" spans="1:39" x14ac:dyDescent="0.3">
      <c r="A57" s="122"/>
      <c r="B57" s="110"/>
      <c r="C57" s="173" t="s">
        <v>28</v>
      </c>
      <c r="D57" s="174" t="s">
        <v>29</v>
      </c>
      <c r="E57" s="172"/>
      <c r="F57" s="173" t="s">
        <v>28</v>
      </c>
      <c r="G57" s="174" t="s">
        <v>29</v>
      </c>
      <c r="H57" s="172"/>
      <c r="I57" s="173" t="s">
        <v>28</v>
      </c>
      <c r="J57" s="174" t="s">
        <v>29</v>
      </c>
      <c r="K57" s="175"/>
      <c r="L57" s="173" t="s">
        <v>28</v>
      </c>
      <c r="M57" s="176" t="s">
        <v>29</v>
      </c>
      <c r="N57" s="196"/>
      <c r="O57" s="110"/>
      <c r="P57" s="173" t="s">
        <v>28</v>
      </c>
      <c r="Q57" s="174" t="s">
        <v>29</v>
      </c>
      <c r="R57" s="172"/>
      <c r="S57" s="173" t="s">
        <v>28</v>
      </c>
      <c r="T57" s="174" t="s">
        <v>29</v>
      </c>
      <c r="U57" s="172"/>
      <c r="V57" s="173" t="s">
        <v>28</v>
      </c>
      <c r="W57" s="174" t="s">
        <v>29</v>
      </c>
      <c r="X57" s="175"/>
      <c r="Y57" s="173" t="s">
        <v>28</v>
      </c>
      <c r="Z57" s="176" t="s">
        <v>29</v>
      </c>
      <c r="AB57" s="110"/>
      <c r="AC57" s="173" t="s">
        <v>28</v>
      </c>
      <c r="AD57" s="174" t="s">
        <v>29</v>
      </c>
      <c r="AE57" s="172"/>
      <c r="AF57" s="173" t="s">
        <v>28</v>
      </c>
      <c r="AG57" s="174" t="s">
        <v>29</v>
      </c>
      <c r="AH57" s="172"/>
      <c r="AI57" s="173" t="s">
        <v>28</v>
      </c>
      <c r="AJ57" s="174" t="s">
        <v>29</v>
      </c>
      <c r="AK57" s="175"/>
      <c r="AL57" s="173" t="s">
        <v>28</v>
      </c>
      <c r="AM57" s="176" t="s">
        <v>29</v>
      </c>
    </row>
    <row r="58" spans="1:39" x14ac:dyDescent="0.3">
      <c r="A58" s="122"/>
      <c r="B58" s="110"/>
      <c r="C58" s="173"/>
      <c r="D58" s="174"/>
      <c r="E58" s="172"/>
      <c r="F58" s="173"/>
      <c r="G58" s="174"/>
      <c r="H58" s="172"/>
      <c r="I58" s="173"/>
      <c r="J58" s="174"/>
      <c r="K58" s="175"/>
      <c r="L58" s="173"/>
      <c r="M58" s="176"/>
      <c r="N58" s="196"/>
      <c r="O58" s="110"/>
      <c r="P58" s="173"/>
      <c r="Q58" s="174"/>
      <c r="R58" s="172"/>
      <c r="S58" s="173"/>
      <c r="T58" s="174"/>
      <c r="U58" s="172"/>
      <c r="V58" s="173"/>
      <c r="W58" s="174"/>
      <c r="X58" s="175"/>
      <c r="Y58" s="173"/>
      <c r="Z58" s="176"/>
      <c r="AB58" s="110"/>
      <c r="AC58" s="173"/>
      <c r="AD58" s="174"/>
      <c r="AE58" s="172"/>
      <c r="AF58" s="173"/>
      <c r="AG58" s="174"/>
      <c r="AH58" s="172"/>
      <c r="AI58" s="173"/>
      <c r="AJ58" s="174"/>
      <c r="AK58" s="175"/>
      <c r="AL58" s="173"/>
      <c r="AM58" s="176"/>
    </row>
    <row r="59" spans="1:39" x14ac:dyDescent="0.3">
      <c r="A59" s="122"/>
      <c r="B59" s="111" t="s">
        <v>841</v>
      </c>
      <c r="C59" s="177" t="s">
        <v>874</v>
      </c>
      <c r="D59" s="178" t="s">
        <v>874</v>
      </c>
      <c r="E59" s="112"/>
      <c r="F59" s="177">
        <v>0</v>
      </c>
      <c r="G59" s="179" t="str">
        <f>IF(OR($C$52=0,F59=0),"-",F59/$C$52)</f>
        <v>-</v>
      </c>
      <c r="H59" s="112"/>
      <c r="I59" s="177" t="s">
        <v>874</v>
      </c>
      <c r="J59" s="178" t="s">
        <v>874</v>
      </c>
      <c r="K59" s="112"/>
      <c r="L59" s="177">
        <v>45</v>
      </c>
      <c r="M59" s="180" t="str">
        <f>IF(OR($C$52=0,L59=0),"-",L59/$C$52)</f>
        <v>-</v>
      </c>
      <c r="N59" s="198"/>
      <c r="O59" s="111" t="s">
        <v>841</v>
      </c>
      <c r="P59" s="177" t="s">
        <v>874</v>
      </c>
      <c r="Q59" s="178" t="s">
        <v>874</v>
      </c>
      <c r="R59" s="112"/>
      <c r="S59" s="177">
        <v>0</v>
      </c>
      <c r="T59" s="179" t="str">
        <f>IF(OR($C$52=0,S59=0),"-",S59/$C$52)</f>
        <v>-</v>
      </c>
      <c r="U59" s="112"/>
      <c r="V59" s="177" t="s">
        <v>874</v>
      </c>
      <c r="W59" s="178" t="s">
        <v>874</v>
      </c>
      <c r="X59" s="112"/>
      <c r="Y59" s="177">
        <v>45</v>
      </c>
      <c r="Z59" s="180" t="str">
        <f>IF(OR($C$52=0,Y59=0),"-",Y59/$C$52)</f>
        <v>-</v>
      </c>
      <c r="AB59" s="111" t="s">
        <v>841</v>
      </c>
      <c r="AC59" s="177" t="s">
        <v>874</v>
      </c>
      <c r="AD59" s="178" t="s">
        <v>874</v>
      </c>
      <c r="AE59" s="112"/>
      <c r="AF59" s="177">
        <v>0</v>
      </c>
      <c r="AG59" s="179" t="str">
        <f>IF(OR($C$52=0,AF59=0),"-",AF59/$C$52)</f>
        <v>-</v>
      </c>
      <c r="AH59" s="112"/>
      <c r="AI59" s="177" t="s">
        <v>874</v>
      </c>
      <c r="AJ59" s="178" t="s">
        <v>874</v>
      </c>
      <c r="AK59" s="112"/>
      <c r="AL59" s="177">
        <v>45</v>
      </c>
      <c r="AM59" s="180" t="str">
        <f>IF(OR($C$52=0,AL59=0),"-",AL59/$C$52)</f>
        <v>-</v>
      </c>
    </row>
    <row r="60" spans="1:39" x14ac:dyDescent="0.3">
      <c r="A60" s="84"/>
      <c r="B60" s="113" t="s">
        <v>842</v>
      </c>
      <c r="C60" s="177" t="s">
        <v>874</v>
      </c>
      <c r="D60" s="178" t="s">
        <v>874</v>
      </c>
      <c r="E60" s="112"/>
      <c r="F60" s="177">
        <v>0</v>
      </c>
      <c r="G60" s="179" t="str">
        <f>IF(OR($C$52=0,F60=0),"-",F60/$C$52)</f>
        <v>-</v>
      </c>
      <c r="H60" s="112"/>
      <c r="I60" s="177" t="s">
        <v>874</v>
      </c>
      <c r="J60" s="178" t="s">
        <v>874</v>
      </c>
      <c r="K60" s="112"/>
      <c r="L60" s="177" t="s">
        <v>874</v>
      </c>
      <c r="M60" s="180" t="s">
        <v>874</v>
      </c>
      <c r="N60" s="198"/>
      <c r="O60" s="113" t="s">
        <v>842</v>
      </c>
      <c r="P60" s="177" t="s">
        <v>874</v>
      </c>
      <c r="Q60" s="178" t="s">
        <v>874</v>
      </c>
      <c r="R60" s="112"/>
      <c r="S60" s="177">
        <v>0</v>
      </c>
      <c r="T60" s="179" t="str">
        <f>IF(OR($C$52=0,S60=0),"-",S60/$C$52)</f>
        <v>-</v>
      </c>
      <c r="U60" s="112"/>
      <c r="V60" s="177" t="s">
        <v>874</v>
      </c>
      <c r="W60" s="178" t="s">
        <v>874</v>
      </c>
      <c r="X60" s="112"/>
      <c r="Y60" s="177" t="s">
        <v>874</v>
      </c>
      <c r="Z60" s="180" t="s">
        <v>874</v>
      </c>
      <c r="AB60" s="113" t="s">
        <v>842</v>
      </c>
      <c r="AC60" s="177" t="s">
        <v>874</v>
      </c>
      <c r="AD60" s="178" t="s">
        <v>874</v>
      </c>
      <c r="AE60" s="112"/>
      <c r="AF60" s="177">
        <v>0</v>
      </c>
      <c r="AG60" s="179" t="str">
        <f>IF(OR($C$52=0,AF60=0),"-",AF60/$C$52)</f>
        <v>-</v>
      </c>
      <c r="AH60" s="112"/>
      <c r="AI60" s="177" t="s">
        <v>874</v>
      </c>
      <c r="AJ60" s="178" t="s">
        <v>874</v>
      </c>
      <c r="AK60" s="112"/>
      <c r="AL60" s="177" t="s">
        <v>874</v>
      </c>
      <c r="AM60" s="180" t="s">
        <v>874</v>
      </c>
    </row>
    <row r="61" spans="1:39" x14ac:dyDescent="0.3">
      <c r="A61" s="84"/>
      <c r="B61" s="113" t="s">
        <v>987</v>
      </c>
      <c r="C61" s="177" t="s">
        <v>874</v>
      </c>
      <c r="D61" s="178" t="s">
        <v>874</v>
      </c>
      <c r="E61" s="112"/>
      <c r="F61" s="177">
        <v>0</v>
      </c>
      <c r="G61" s="179" t="str">
        <f>IF(OR($C$52=0,F61=0),"-",F61/$C$52)</f>
        <v>-</v>
      </c>
      <c r="H61" s="112"/>
      <c r="I61" s="177" t="s">
        <v>874</v>
      </c>
      <c r="J61" s="178" t="s">
        <v>874</v>
      </c>
      <c r="K61" s="112"/>
      <c r="L61" s="177" t="s">
        <v>874</v>
      </c>
      <c r="M61" s="180" t="s">
        <v>874</v>
      </c>
      <c r="N61" s="198"/>
      <c r="O61" s="113" t="s">
        <v>987</v>
      </c>
      <c r="P61" s="177" t="s">
        <v>874</v>
      </c>
      <c r="Q61" s="178" t="s">
        <v>874</v>
      </c>
      <c r="R61" s="112"/>
      <c r="S61" s="177">
        <v>0</v>
      </c>
      <c r="T61" s="179" t="str">
        <f>IF(OR($C$52=0,S61=0),"-",S61/$C$52)</f>
        <v>-</v>
      </c>
      <c r="U61" s="112"/>
      <c r="V61" s="177" t="s">
        <v>874</v>
      </c>
      <c r="W61" s="178" t="s">
        <v>874</v>
      </c>
      <c r="X61" s="112"/>
      <c r="Y61" s="177" t="s">
        <v>874</v>
      </c>
      <c r="Z61" s="180" t="s">
        <v>874</v>
      </c>
      <c r="AB61" s="113" t="s">
        <v>987</v>
      </c>
      <c r="AC61" s="177" t="s">
        <v>874</v>
      </c>
      <c r="AD61" s="178" t="s">
        <v>874</v>
      </c>
      <c r="AE61" s="112"/>
      <c r="AF61" s="177">
        <v>0</v>
      </c>
      <c r="AG61" s="179" t="str">
        <f>IF(OR($C$52=0,AF61=0),"-",AF61/$C$52)</f>
        <v>-</v>
      </c>
      <c r="AH61" s="112"/>
      <c r="AI61" s="177" t="s">
        <v>874</v>
      </c>
      <c r="AJ61" s="178" t="s">
        <v>874</v>
      </c>
      <c r="AK61" s="112"/>
      <c r="AL61" s="177" t="s">
        <v>874</v>
      </c>
      <c r="AM61" s="180" t="s">
        <v>874</v>
      </c>
    </row>
    <row r="62" spans="1:39" x14ac:dyDescent="0.3">
      <c r="A62" s="84"/>
      <c r="B62" s="113" t="s">
        <v>867</v>
      </c>
      <c r="C62" s="181" t="s">
        <v>874</v>
      </c>
      <c r="D62" s="182" t="s">
        <v>874</v>
      </c>
      <c r="E62" s="114"/>
      <c r="F62" s="177">
        <v>0</v>
      </c>
      <c r="G62" s="179" t="str">
        <f>IF(OR($C$52=0,F62=0),"-",F62/$C$52)</f>
        <v>-</v>
      </c>
      <c r="H62" s="114"/>
      <c r="I62" s="181" t="s">
        <v>874</v>
      </c>
      <c r="J62" s="182" t="s">
        <v>874</v>
      </c>
      <c r="K62" s="112"/>
      <c r="L62" s="181" t="s">
        <v>874</v>
      </c>
      <c r="M62" s="183" t="s">
        <v>874</v>
      </c>
      <c r="N62" s="199"/>
      <c r="O62" s="113" t="s">
        <v>867</v>
      </c>
      <c r="P62" s="181" t="s">
        <v>874</v>
      </c>
      <c r="Q62" s="182" t="s">
        <v>874</v>
      </c>
      <c r="R62" s="114"/>
      <c r="S62" s="177">
        <v>0</v>
      </c>
      <c r="T62" s="179" t="str">
        <f>IF(OR($C$52=0,S62=0),"-",S62/$C$52)</f>
        <v>-</v>
      </c>
      <c r="U62" s="114"/>
      <c r="V62" s="181" t="s">
        <v>874</v>
      </c>
      <c r="W62" s="182" t="s">
        <v>874</v>
      </c>
      <c r="X62" s="112"/>
      <c r="Y62" s="181" t="s">
        <v>874</v>
      </c>
      <c r="Z62" s="183" t="s">
        <v>874</v>
      </c>
      <c r="AB62" s="113" t="s">
        <v>867</v>
      </c>
      <c r="AC62" s="181" t="s">
        <v>874</v>
      </c>
      <c r="AD62" s="182" t="s">
        <v>874</v>
      </c>
      <c r="AE62" s="114"/>
      <c r="AF62" s="177">
        <v>0</v>
      </c>
      <c r="AG62" s="179" t="str">
        <f>IF(OR($C$52=0,AF62=0),"-",AF62/$C$52)</f>
        <v>-</v>
      </c>
      <c r="AH62" s="114"/>
      <c r="AI62" s="181" t="s">
        <v>874</v>
      </c>
      <c r="AJ62" s="182" t="s">
        <v>874</v>
      </c>
      <c r="AK62" s="112"/>
      <c r="AL62" s="181" t="s">
        <v>874</v>
      </c>
      <c r="AM62" s="183" t="s">
        <v>874</v>
      </c>
    </row>
    <row r="63" spans="1:39" x14ac:dyDescent="0.3">
      <c r="B63" s="113" t="s">
        <v>952</v>
      </c>
      <c r="C63" s="181" t="s">
        <v>874</v>
      </c>
      <c r="D63" s="182" t="s">
        <v>874</v>
      </c>
      <c r="E63" s="112"/>
      <c r="F63" s="177">
        <v>0</v>
      </c>
      <c r="G63" s="179" t="str">
        <f>IF(OR($F$62=0,F63=0),"-",F63/$F$62)</f>
        <v>-</v>
      </c>
      <c r="H63" s="112"/>
      <c r="I63" s="181" t="s">
        <v>874</v>
      </c>
      <c r="J63" s="182" t="s">
        <v>874</v>
      </c>
      <c r="K63" s="112"/>
      <c r="L63" s="181" t="s">
        <v>874</v>
      </c>
      <c r="M63" s="183" t="s">
        <v>874</v>
      </c>
      <c r="N63" s="199"/>
      <c r="O63" s="113" t="s">
        <v>952</v>
      </c>
      <c r="P63" s="181" t="s">
        <v>874</v>
      </c>
      <c r="Q63" s="182" t="s">
        <v>874</v>
      </c>
      <c r="R63" s="112"/>
      <c r="S63" s="177">
        <v>0</v>
      </c>
      <c r="T63" s="179" t="str">
        <f>IF(OR($F$62=0,S63=0),"-",S63/$F$62)</f>
        <v>-</v>
      </c>
      <c r="U63" s="112"/>
      <c r="V63" s="181" t="s">
        <v>874</v>
      </c>
      <c r="W63" s="182" t="s">
        <v>874</v>
      </c>
      <c r="X63" s="112"/>
      <c r="Y63" s="181" t="s">
        <v>874</v>
      </c>
      <c r="Z63" s="183" t="s">
        <v>874</v>
      </c>
      <c r="AB63" s="113" t="s">
        <v>952</v>
      </c>
      <c r="AC63" s="181" t="s">
        <v>874</v>
      </c>
      <c r="AD63" s="182" t="s">
        <v>874</v>
      </c>
      <c r="AE63" s="112"/>
      <c r="AF63" s="177">
        <v>0</v>
      </c>
      <c r="AG63" s="179" t="str">
        <f>IF(OR($F$62=0,AF63=0),"-",AF63/$F$62)</f>
        <v>-</v>
      </c>
      <c r="AH63" s="112"/>
      <c r="AI63" s="181" t="s">
        <v>874</v>
      </c>
      <c r="AJ63" s="182" t="s">
        <v>874</v>
      </c>
      <c r="AK63" s="112"/>
      <c r="AL63" s="181" t="s">
        <v>874</v>
      </c>
      <c r="AM63" s="183" t="s">
        <v>874</v>
      </c>
    </row>
    <row r="64" spans="1:39" x14ac:dyDescent="0.3">
      <c r="B64" s="113" t="s">
        <v>953</v>
      </c>
      <c r="C64" s="181" t="s">
        <v>874</v>
      </c>
      <c r="D64" s="182" t="s">
        <v>874</v>
      </c>
      <c r="E64" s="112"/>
      <c r="F64" s="177">
        <v>0</v>
      </c>
      <c r="G64" s="179" t="str">
        <f>IF(OR($F$62=0,F64=0),"-",F64/$F$62)</f>
        <v>-</v>
      </c>
      <c r="H64" s="112"/>
      <c r="I64" s="181" t="s">
        <v>874</v>
      </c>
      <c r="J64" s="182" t="s">
        <v>874</v>
      </c>
      <c r="K64" s="112"/>
      <c r="L64" s="181" t="s">
        <v>874</v>
      </c>
      <c r="M64" s="183" t="s">
        <v>874</v>
      </c>
      <c r="N64" s="199"/>
      <c r="O64" s="113" t="s">
        <v>953</v>
      </c>
      <c r="P64" s="181" t="s">
        <v>874</v>
      </c>
      <c r="Q64" s="182" t="s">
        <v>874</v>
      </c>
      <c r="R64" s="112"/>
      <c r="S64" s="177">
        <v>0</v>
      </c>
      <c r="T64" s="179" t="str">
        <f>IF(OR($F$62=0,S64=0),"-",S64/$F$62)</f>
        <v>-</v>
      </c>
      <c r="U64" s="112"/>
      <c r="V64" s="181" t="s">
        <v>874</v>
      </c>
      <c r="W64" s="182" t="s">
        <v>874</v>
      </c>
      <c r="X64" s="112"/>
      <c r="Y64" s="181" t="s">
        <v>874</v>
      </c>
      <c r="Z64" s="183" t="s">
        <v>874</v>
      </c>
      <c r="AB64" s="113" t="s">
        <v>953</v>
      </c>
      <c r="AC64" s="181" t="s">
        <v>874</v>
      </c>
      <c r="AD64" s="182" t="s">
        <v>874</v>
      </c>
      <c r="AE64" s="112"/>
      <c r="AF64" s="177">
        <v>0</v>
      </c>
      <c r="AG64" s="179" t="str">
        <f>IF(OR($F$62=0,AF64=0),"-",AF64/$F$62)</f>
        <v>-</v>
      </c>
      <c r="AH64" s="112"/>
      <c r="AI64" s="181" t="s">
        <v>874</v>
      </c>
      <c r="AJ64" s="182" t="s">
        <v>874</v>
      </c>
      <c r="AK64" s="112"/>
      <c r="AL64" s="181" t="s">
        <v>874</v>
      </c>
      <c r="AM64" s="183" t="s">
        <v>874</v>
      </c>
    </row>
    <row r="65" spans="2:39" x14ac:dyDescent="0.3">
      <c r="B65" s="113" t="s">
        <v>965</v>
      </c>
      <c r="C65" s="181" t="s">
        <v>874</v>
      </c>
      <c r="D65" s="182" t="s">
        <v>874</v>
      </c>
      <c r="E65" s="114"/>
      <c r="F65" s="177">
        <v>0</v>
      </c>
      <c r="G65" s="179" t="str">
        <f>IF(OR($F$62=0,F65=0),"-",F65/$F$62)</f>
        <v>-</v>
      </c>
      <c r="H65" s="114"/>
      <c r="I65" s="181" t="s">
        <v>874</v>
      </c>
      <c r="J65" s="182" t="s">
        <v>874</v>
      </c>
      <c r="K65" s="112"/>
      <c r="L65" s="181" t="s">
        <v>874</v>
      </c>
      <c r="M65" s="183" t="s">
        <v>874</v>
      </c>
      <c r="N65" s="199"/>
      <c r="O65" s="113" t="s">
        <v>965</v>
      </c>
      <c r="P65" s="181" t="s">
        <v>874</v>
      </c>
      <c r="Q65" s="182" t="s">
        <v>874</v>
      </c>
      <c r="R65" s="114"/>
      <c r="S65" s="177">
        <v>0</v>
      </c>
      <c r="T65" s="179" t="str">
        <f>IF(OR($F$62=0,S65=0),"-",S65/$F$62)</f>
        <v>-</v>
      </c>
      <c r="U65" s="114"/>
      <c r="V65" s="181" t="s">
        <v>874</v>
      </c>
      <c r="W65" s="182" t="s">
        <v>874</v>
      </c>
      <c r="X65" s="112"/>
      <c r="Y65" s="181" t="s">
        <v>874</v>
      </c>
      <c r="Z65" s="183" t="s">
        <v>874</v>
      </c>
      <c r="AB65" s="113" t="s">
        <v>965</v>
      </c>
      <c r="AC65" s="181" t="s">
        <v>874</v>
      </c>
      <c r="AD65" s="182" t="s">
        <v>874</v>
      </c>
      <c r="AE65" s="114"/>
      <c r="AF65" s="177">
        <v>0</v>
      </c>
      <c r="AG65" s="179" t="str">
        <f>IF(OR($F$62=0,AF65=0),"-",AF65/$F$62)</f>
        <v>-</v>
      </c>
      <c r="AH65" s="114"/>
      <c r="AI65" s="181" t="s">
        <v>874</v>
      </c>
      <c r="AJ65" s="182" t="s">
        <v>874</v>
      </c>
      <c r="AK65" s="112"/>
      <c r="AL65" s="181" t="s">
        <v>874</v>
      </c>
      <c r="AM65" s="183" t="s">
        <v>874</v>
      </c>
    </row>
    <row r="66" spans="2:39" x14ac:dyDescent="0.3">
      <c r="B66" s="111"/>
      <c r="C66" s="177"/>
      <c r="D66" s="178"/>
      <c r="E66" s="112"/>
      <c r="F66" s="177"/>
      <c r="G66" s="178"/>
      <c r="H66" s="112"/>
      <c r="I66" s="177"/>
      <c r="J66" s="178"/>
      <c r="K66" s="112"/>
      <c r="L66" s="177"/>
      <c r="M66" s="184"/>
      <c r="N66" s="197"/>
      <c r="O66" s="111"/>
      <c r="P66" s="177"/>
      <c r="Q66" s="178"/>
      <c r="R66" s="112"/>
      <c r="S66" s="177"/>
      <c r="T66" s="178"/>
      <c r="U66" s="112"/>
      <c r="V66" s="177"/>
      <c r="W66" s="178"/>
      <c r="X66" s="112"/>
      <c r="Y66" s="177"/>
      <c r="Z66" s="184"/>
      <c r="AB66" s="111"/>
      <c r="AC66" s="177"/>
      <c r="AD66" s="178"/>
      <c r="AE66" s="112"/>
      <c r="AF66" s="177"/>
      <c r="AG66" s="178"/>
      <c r="AH66" s="112"/>
      <c r="AI66" s="177"/>
      <c r="AJ66" s="178"/>
      <c r="AK66" s="112"/>
      <c r="AL66" s="177"/>
      <c r="AM66" s="184"/>
    </row>
    <row r="67" spans="2:39" x14ac:dyDescent="0.3">
      <c r="B67" s="111" t="s">
        <v>843</v>
      </c>
      <c r="C67" s="177">
        <f>C68+C69</f>
        <v>0</v>
      </c>
      <c r="D67" s="179" t="str">
        <f>IF(OR($C$53=0,C67=0),"-",C67/$C$53)</f>
        <v>-</v>
      </c>
      <c r="E67" s="112"/>
      <c r="F67" s="177">
        <f>F68+F69</f>
        <v>0</v>
      </c>
      <c r="G67" s="179" t="str">
        <f>IF(OR($C$53=0,F67=0),"-",F67/$C$53)</f>
        <v>-</v>
      </c>
      <c r="H67" s="112"/>
      <c r="I67" s="192">
        <f>I68+I69</f>
        <v>0</v>
      </c>
      <c r="J67" s="179" t="str">
        <f>IF(OR($C$53=0,I67=0),"-",I67/$C$53)</f>
        <v>-</v>
      </c>
      <c r="K67" s="120"/>
      <c r="L67" s="177" t="s">
        <v>874</v>
      </c>
      <c r="M67" s="184" t="s">
        <v>874</v>
      </c>
      <c r="N67" s="197"/>
      <c r="O67" s="111" t="s">
        <v>843</v>
      </c>
      <c r="P67" s="177">
        <f>P68+P69</f>
        <v>0</v>
      </c>
      <c r="Q67" s="179" t="str">
        <f>IF(OR($C$53=0,P67=0),"-",P67/$C$53)</f>
        <v>-</v>
      </c>
      <c r="R67" s="112"/>
      <c r="S67" s="177">
        <f>S69</f>
        <v>0</v>
      </c>
      <c r="T67" s="179" t="str">
        <f>IF(OR($C$53=0,S67=0),"-",S67/$C$53)</f>
        <v>-</v>
      </c>
      <c r="U67" s="112"/>
      <c r="V67" s="192">
        <f>V68+V69</f>
        <v>0</v>
      </c>
      <c r="W67" s="179" t="str">
        <f>IF(OR($C$53=0,V67=0),"-",V67/$C$53)</f>
        <v>-</v>
      </c>
      <c r="X67" s="120"/>
      <c r="Y67" s="177" t="s">
        <v>874</v>
      </c>
      <c r="Z67" s="184" t="s">
        <v>874</v>
      </c>
      <c r="AB67" s="111" t="s">
        <v>843</v>
      </c>
      <c r="AC67" s="177">
        <f>AC68+AC69</f>
        <v>0</v>
      </c>
      <c r="AD67" s="179" t="str">
        <f>IF(OR($C$53=0,AC67=0),"-",AC67/$C$53)</f>
        <v>-</v>
      </c>
      <c r="AE67" s="112"/>
      <c r="AF67" s="177">
        <f>AF69</f>
        <v>0</v>
      </c>
      <c r="AG67" s="179" t="str">
        <f>IF(OR($C$53=0,AF67=0),"-",AF67/$C$53)</f>
        <v>-</v>
      </c>
      <c r="AH67" s="112"/>
      <c r="AI67" s="192">
        <f>AI69</f>
        <v>0</v>
      </c>
      <c r="AJ67" s="179" t="str">
        <f>IF(OR($C$53=0,AI67=0),"-",AI67/$C$53)</f>
        <v>-</v>
      </c>
      <c r="AK67" s="120"/>
      <c r="AL67" s="177" t="s">
        <v>874</v>
      </c>
      <c r="AM67" s="184" t="s">
        <v>874</v>
      </c>
    </row>
    <row r="68" spans="2:39" x14ac:dyDescent="0.3">
      <c r="B68" s="113" t="s">
        <v>878</v>
      </c>
      <c r="C68" s="177">
        <v>0</v>
      </c>
      <c r="D68" s="179" t="str">
        <f>IF(OR($C$53=0,C68=0),"-",C68/$C$53)</f>
        <v>-</v>
      </c>
      <c r="E68" s="112"/>
      <c r="F68" s="177">
        <v>0</v>
      </c>
      <c r="G68" s="179" t="str">
        <f>IF(OR($C$53=0,F68=0),"-",F68/$C$53)</f>
        <v>-</v>
      </c>
      <c r="H68" s="112"/>
      <c r="I68" s="177">
        <v>0</v>
      </c>
      <c r="J68" s="179" t="str">
        <f>IF(OR($C$53=0,I68=0),"-",I68/$C$53)</f>
        <v>-</v>
      </c>
      <c r="K68" s="120"/>
      <c r="L68" s="177" t="s">
        <v>874</v>
      </c>
      <c r="M68" s="184" t="s">
        <v>874</v>
      </c>
      <c r="N68" s="197"/>
      <c r="O68" s="113" t="s">
        <v>878</v>
      </c>
      <c r="P68" s="177">
        <v>0</v>
      </c>
      <c r="Q68" s="179" t="str">
        <f>IF(OR($C$53=0,P68=0),"-",P68/$C$53)</f>
        <v>-</v>
      </c>
      <c r="R68" s="112"/>
      <c r="S68" s="177">
        <v>0</v>
      </c>
      <c r="T68" s="179" t="str">
        <f>IF(OR($C$53=0,S68=0),"-",S68/$C$53)</f>
        <v>-</v>
      </c>
      <c r="U68" s="112"/>
      <c r="V68" s="177">
        <v>0</v>
      </c>
      <c r="W68" s="179" t="str">
        <f>IF(OR($C$53=0,V68=0),"-",V68/$C$53)</f>
        <v>-</v>
      </c>
      <c r="X68" s="120"/>
      <c r="Y68" s="177" t="s">
        <v>874</v>
      </c>
      <c r="Z68" s="184" t="s">
        <v>874</v>
      </c>
      <c r="AB68" s="113" t="s">
        <v>878</v>
      </c>
      <c r="AC68" s="177">
        <v>0</v>
      </c>
      <c r="AD68" s="179" t="str">
        <f>IF(OR($C$53=0,AC68=0),"-",AC68/$C$53)</f>
        <v>-</v>
      </c>
      <c r="AE68" s="112"/>
      <c r="AF68" s="177">
        <v>0</v>
      </c>
      <c r="AG68" s="179" t="str">
        <f>IF(OR($C$53=0,AF68=0),"-",AF68/$C$53)</f>
        <v>-</v>
      </c>
      <c r="AH68" s="112"/>
      <c r="AI68" s="177">
        <v>0</v>
      </c>
      <c r="AJ68" s="179" t="str">
        <f>IF(OR($C$53=0,AI68=0),"-",AI68/$C$53)</f>
        <v>-</v>
      </c>
      <c r="AK68" s="120"/>
      <c r="AL68" s="177" t="s">
        <v>874</v>
      </c>
      <c r="AM68" s="184" t="s">
        <v>874</v>
      </c>
    </row>
    <row r="69" spans="2:39" x14ac:dyDescent="0.3">
      <c r="B69" s="113" t="s">
        <v>842</v>
      </c>
      <c r="C69" s="177">
        <v>0</v>
      </c>
      <c r="D69" s="179" t="str">
        <f>IF(OR($C$53=0,C69=0),"-",C69/$C$53)</f>
        <v>-</v>
      </c>
      <c r="E69" s="133"/>
      <c r="F69" s="177">
        <v>0</v>
      </c>
      <c r="G69" s="179" t="str">
        <f>IF(OR($C$53=0,F69=0),"-",F69/$C$53)</f>
        <v>-</v>
      </c>
      <c r="H69" s="133"/>
      <c r="I69" s="185">
        <v>0</v>
      </c>
      <c r="J69" s="179" t="str">
        <f>IF(OR($C$53=0,I69=0),"-",I69/$C$53)</f>
        <v>-</v>
      </c>
      <c r="K69" s="120"/>
      <c r="L69" s="177" t="s">
        <v>874</v>
      </c>
      <c r="M69" s="180" t="s">
        <v>874</v>
      </c>
      <c r="N69" s="198"/>
      <c r="O69" s="113" t="s">
        <v>842</v>
      </c>
      <c r="P69" s="177">
        <v>0</v>
      </c>
      <c r="Q69" s="179" t="str">
        <f>IF(OR($C$53=0,P69=0),"-",P69/$C$53)</f>
        <v>-</v>
      </c>
      <c r="R69" s="133"/>
      <c r="S69" s="177">
        <v>0</v>
      </c>
      <c r="T69" s="179" t="str">
        <f>IF(OR($C$53=0,S69=0),"-",S69/$C$53)</f>
        <v>-</v>
      </c>
      <c r="U69" s="133"/>
      <c r="V69" s="185">
        <v>0</v>
      </c>
      <c r="W69" s="179" t="str">
        <f>IF(OR($C$53=0,V69=0),"-",V69/$C$53)</f>
        <v>-</v>
      </c>
      <c r="X69" s="120"/>
      <c r="Y69" s="177" t="s">
        <v>874</v>
      </c>
      <c r="Z69" s="180" t="s">
        <v>874</v>
      </c>
      <c r="AB69" s="113" t="s">
        <v>842</v>
      </c>
      <c r="AC69" s="177">
        <v>0</v>
      </c>
      <c r="AD69" s="179" t="str">
        <f>IF(OR($C$53=0,AC69=0),"-",AC69/$C$53)</f>
        <v>-</v>
      </c>
      <c r="AE69" s="133"/>
      <c r="AF69" s="177">
        <v>0</v>
      </c>
      <c r="AG69" s="179" t="str">
        <f>IF(OR($C$53=0,AF69=0),"-",AF69/$C$53)</f>
        <v>-</v>
      </c>
      <c r="AH69" s="133"/>
      <c r="AI69" s="185">
        <v>0</v>
      </c>
      <c r="AJ69" s="179" t="str">
        <f>IF(OR($C$53=0,AI69=0),"-",AI69/$C$53)</f>
        <v>-</v>
      </c>
      <c r="AK69" s="120"/>
      <c r="AL69" s="177" t="s">
        <v>874</v>
      </c>
      <c r="AM69" s="180" t="s">
        <v>874</v>
      </c>
    </row>
    <row r="70" spans="2:39" x14ac:dyDescent="0.3">
      <c r="B70" s="113" t="s">
        <v>876</v>
      </c>
      <c r="C70" s="181">
        <v>0</v>
      </c>
      <c r="D70" s="179" t="str">
        <f>IF(OR($C$69=0,C70=0),"-",C70/$C$69)</f>
        <v>-</v>
      </c>
      <c r="E70" s="133"/>
      <c r="F70" s="177">
        <v>0</v>
      </c>
      <c r="G70" s="179" t="str">
        <f>IF(OR($F$69=0,F70=0),"-",F70/$F$69)</f>
        <v>-</v>
      </c>
      <c r="H70" s="133"/>
      <c r="I70" s="185">
        <v>0</v>
      </c>
      <c r="J70" s="179" t="str">
        <f>IF(OR($I$69=0,I70=0),"-",I70/$I$69)</f>
        <v>-</v>
      </c>
      <c r="K70" s="120"/>
      <c r="L70" s="177" t="s">
        <v>874</v>
      </c>
      <c r="M70" s="184" t="s">
        <v>874</v>
      </c>
      <c r="N70" s="197"/>
      <c r="O70" s="113" t="s">
        <v>876</v>
      </c>
      <c r="P70" s="181">
        <v>0</v>
      </c>
      <c r="Q70" s="179" t="str">
        <f>IF(OR($C$69=0,P70=0),"-",P70/$C$69)</f>
        <v>-</v>
      </c>
      <c r="R70" s="133"/>
      <c r="S70" s="177">
        <v>0</v>
      </c>
      <c r="T70" s="179" t="str">
        <f>IF(OR($F$69=0,S70=0),"-",S70/$F$69)</f>
        <v>-</v>
      </c>
      <c r="U70" s="133"/>
      <c r="V70" s="185">
        <v>0</v>
      </c>
      <c r="W70" s="179" t="str">
        <f>IF(OR($I$69=0,V70=0),"-",V70/$I$69)</f>
        <v>-</v>
      </c>
      <c r="X70" s="120"/>
      <c r="Y70" s="177" t="s">
        <v>874</v>
      </c>
      <c r="Z70" s="184" t="s">
        <v>874</v>
      </c>
      <c r="AB70" s="113" t="s">
        <v>876</v>
      </c>
      <c r="AC70" s="181">
        <v>0</v>
      </c>
      <c r="AD70" s="179" t="str">
        <f>IF(OR($C$69=0,AC70=0),"-",AC70/$C$69)</f>
        <v>-</v>
      </c>
      <c r="AE70" s="133"/>
      <c r="AF70" s="177">
        <v>0</v>
      </c>
      <c r="AG70" s="179" t="str">
        <f>IF(OR($F$69=0,AF70=0),"-",AF70/$F$69)</f>
        <v>-</v>
      </c>
      <c r="AH70" s="133"/>
      <c r="AI70" s="185">
        <v>0</v>
      </c>
      <c r="AJ70" s="179" t="str">
        <f>IF(OR($I$69=0,AI70=0),"-",AI70/$I$69)</f>
        <v>-</v>
      </c>
      <c r="AK70" s="120"/>
      <c r="AL70" s="177" t="s">
        <v>874</v>
      </c>
      <c r="AM70" s="184" t="s">
        <v>874</v>
      </c>
    </row>
    <row r="71" spans="2:39" x14ac:dyDescent="0.3">
      <c r="B71" s="113" t="s">
        <v>877</v>
      </c>
      <c r="C71" s="181">
        <v>0</v>
      </c>
      <c r="D71" s="179" t="str">
        <f>IF(OR($C$69=0,C71=0),"-",C71/$C$69)</f>
        <v>-</v>
      </c>
      <c r="E71" s="133"/>
      <c r="F71" s="177">
        <v>0</v>
      </c>
      <c r="G71" s="179" t="str">
        <f>IF(OR($F$69=0,F71=0),"-",F71/$F$69)</f>
        <v>-</v>
      </c>
      <c r="H71" s="133"/>
      <c r="I71" s="185">
        <v>0</v>
      </c>
      <c r="J71" s="179" t="str">
        <f t="shared" ref="J71:J73" si="3">IF(OR($I$69=0,I71=0),"-",I71/$I$69)</f>
        <v>-</v>
      </c>
      <c r="K71" s="120"/>
      <c r="L71" s="177" t="s">
        <v>874</v>
      </c>
      <c r="M71" s="180" t="s">
        <v>874</v>
      </c>
      <c r="N71" s="198"/>
      <c r="O71" s="113" t="s">
        <v>877</v>
      </c>
      <c r="P71" s="181">
        <v>0</v>
      </c>
      <c r="Q71" s="179" t="str">
        <f>IF(OR($C$69=0,P71=0),"-",P71/$C$69)</f>
        <v>-</v>
      </c>
      <c r="R71" s="133"/>
      <c r="S71" s="177">
        <v>0</v>
      </c>
      <c r="T71" s="179" t="str">
        <f>IF(OR($F$69=0,S71=0),"-",S71/$F$69)</f>
        <v>-</v>
      </c>
      <c r="U71" s="133"/>
      <c r="V71" s="185">
        <v>0</v>
      </c>
      <c r="W71" s="179" t="str">
        <f t="shared" ref="W71:W73" si="4">IF(OR($I$69=0,V71=0),"-",V71/$I$69)</f>
        <v>-</v>
      </c>
      <c r="X71" s="120"/>
      <c r="Y71" s="177" t="s">
        <v>874</v>
      </c>
      <c r="Z71" s="180" t="s">
        <v>874</v>
      </c>
      <c r="AB71" s="113" t="s">
        <v>877</v>
      </c>
      <c r="AC71" s="181">
        <v>0</v>
      </c>
      <c r="AD71" s="179" t="str">
        <f>IF(OR($C$69=0,AC71=0),"-",AC71/$C$69)</f>
        <v>-</v>
      </c>
      <c r="AE71" s="133"/>
      <c r="AF71" s="177">
        <v>0</v>
      </c>
      <c r="AG71" s="179" t="str">
        <f>IF(OR($F$69=0,AF71=0),"-",AF71/$F$69)</f>
        <v>-</v>
      </c>
      <c r="AH71" s="133"/>
      <c r="AI71" s="185">
        <v>0</v>
      </c>
      <c r="AJ71" s="179" t="str">
        <f t="shared" ref="AJ71:AJ73" si="5">IF(OR($I$69=0,AI71=0),"-",AI71/$I$69)</f>
        <v>-</v>
      </c>
      <c r="AK71" s="120"/>
      <c r="AL71" s="177" t="s">
        <v>874</v>
      </c>
      <c r="AM71" s="180" t="s">
        <v>874</v>
      </c>
    </row>
    <row r="72" spans="2:39" x14ac:dyDescent="0.3">
      <c r="B72" s="113" t="s">
        <v>879</v>
      </c>
      <c r="C72" s="181">
        <v>0</v>
      </c>
      <c r="D72" s="179" t="str">
        <f>IF(OR($C$69=0,C72=0),"-",C72/$C$69)</f>
        <v>-</v>
      </c>
      <c r="E72" s="133"/>
      <c r="F72" s="186">
        <v>0</v>
      </c>
      <c r="G72" s="179" t="str">
        <f>IF(OR($F$69=0,F72=0),"-",F72/$F$69)</f>
        <v>-</v>
      </c>
      <c r="H72" s="133"/>
      <c r="I72" s="185">
        <v>0</v>
      </c>
      <c r="J72" s="179" t="str">
        <f t="shared" si="3"/>
        <v>-</v>
      </c>
      <c r="K72" s="120"/>
      <c r="L72" s="177" t="s">
        <v>874</v>
      </c>
      <c r="M72" s="184" t="s">
        <v>874</v>
      </c>
      <c r="N72" s="197"/>
      <c r="O72" s="113" t="s">
        <v>879</v>
      </c>
      <c r="P72" s="181">
        <v>0</v>
      </c>
      <c r="Q72" s="179" t="str">
        <f>IF(OR($C$69=0,P72=0),"-",P72/$C$69)</f>
        <v>-</v>
      </c>
      <c r="R72" s="133"/>
      <c r="S72" s="186">
        <v>0</v>
      </c>
      <c r="T72" s="179" t="str">
        <f>IF(OR($F$69=0,S72=0),"-",S72/$F$69)</f>
        <v>-</v>
      </c>
      <c r="U72" s="133"/>
      <c r="V72" s="185">
        <v>0</v>
      </c>
      <c r="W72" s="179" t="str">
        <f t="shared" si="4"/>
        <v>-</v>
      </c>
      <c r="X72" s="120"/>
      <c r="Y72" s="177" t="s">
        <v>874</v>
      </c>
      <c r="Z72" s="184" t="s">
        <v>874</v>
      </c>
      <c r="AB72" s="113" t="s">
        <v>879</v>
      </c>
      <c r="AC72" s="181">
        <v>0</v>
      </c>
      <c r="AD72" s="179" t="str">
        <f>IF(OR($C$69=0,AC72=0),"-",AC72/$C$69)</f>
        <v>-</v>
      </c>
      <c r="AE72" s="133"/>
      <c r="AF72" s="186">
        <v>0</v>
      </c>
      <c r="AG72" s="179" t="str">
        <f>IF(OR($F$69=0,AF72=0),"-",AF72/$F$69)</f>
        <v>-</v>
      </c>
      <c r="AH72" s="133"/>
      <c r="AI72" s="185">
        <v>0</v>
      </c>
      <c r="AJ72" s="179" t="str">
        <f t="shared" si="5"/>
        <v>-</v>
      </c>
      <c r="AK72" s="120"/>
      <c r="AL72" s="177" t="s">
        <v>874</v>
      </c>
      <c r="AM72" s="184" t="s">
        <v>874</v>
      </c>
    </row>
    <row r="73" spans="2:39" x14ac:dyDescent="0.3">
      <c r="B73" s="113" t="s">
        <v>987</v>
      </c>
      <c r="C73" s="181">
        <v>0</v>
      </c>
      <c r="D73" s="179" t="str">
        <f>IF(OR($C$69=0,C73=0),"-",C73/$C$69)</f>
        <v>-</v>
      </c>
      <c r="E73" s="133"/>
      <c r="F73" s="186">
        <v>0</v>
      </c>
      <c r="G73" s="179" t="str">
        <f>IF(OR($F$69=0,F73=0),"-",F73/$F$69)</f>
        <v>-</v>
      </c>
      <c r="H73" s="133"/>
      <c r="I73" s="185">
        <v>0</v>
      </c>
      <c r="J73" s="179" t="str">
        <f t="shared" si="3"/>
        <v>-</v>
      </c>
      <c r="K73" s="120"/>
      <c r="L73" s="177" t="s">
        <v>874</v>
      </c>
      <c r="M73" s="184" t="s">
        <v>874</v>
      </c>
      <c r="N73" s="197"/>
      <c r="O73" s="113" t="s">
        <v>987</v>
      </c>
      <c r="P73" s="181">
        <v>0</v>
      </c>
      <c r="Q73" s="179" t="str">
        <f>IF(OR($C$69=0,P73=0),"-",P73/$C$69)</f>
        <v>-</v>
      </c>
      <c r="R73" s="133"/>
      <c r="S73" s="186">
        <v>0</v>
      </c>
      <c r="T73" s="179" t="str">
        <f>IF(OR($F$69=0,S73=0),"-",S73/$F$69)</f>
        <v>-</v>
      </c>
      <c r="U73" s="133"/>
      <c r="V73" s="185">
        <v>0</v>
      </c>
      <c r="W73" s="179" t="str">
        <f t="shared" si="4"/>
        <v>-</v>
      </c>
      <c r="X73" s="120"/>
      <c r="Y73" s="177" t="s">
        <v>874</v>
      </c>
      <c r="Z73" s="184" t="s">
        <v>874</v>
      </c>
      <c r="AB73" s="113" t="s">
        <v>987</v>
      </c>
      <c r="AC73" s="181">
        <v>0</v>
      </c>
      <c r="AD73" s="179" t="str">
        <f>IF(OR($C$69=0,AC73=0),"-",AC73/$C$69)</f>
        <v>-</v>
      </c>
      <c r="AE73" s="133"/>
      <c r="AF73" s="186">
        <v>0</v>
      </c>
      <c r="AG73" s="179" t="str">
        <f>IF(OR($F$69=0,AF73=0),"-",AF73/$F$69)</f>
        <v>-</v>
      </c>
      <c r="AH73" s="133"/>
      <c r="AI73" s="185">
        <v>0</v>
      </c>
      <c r="AJ73" s="179" t="str">
        <f t="shared" si="5"/>
        <v>-</v>
      </c>
      <c r="AK73" s="120"/>
      <c r="AL73" s="177" t="s">
        <v>874</v>
      </c>
      <c r="AM73" s="184" t="s">
        <v>874</v>
      </c>
    </row>
    <row r="74" spans="2:39" x14ac:dyDescent="0.3">
      <c r="B74" s="113" t="s">
        <v>867</v>
      </c>
      <c r="C74" s="181">
        <v>0</v>
      </c>
      <c r="D74" s="179" t="str">
        <f>IF(OR($C$69=0,C74=0),"-",C74/$C$69)</f>
        <v>-</v>
      </c>
      <c r="E74" s="133"/>
      <c r="F74" s="177">
        <v>0</v>
      </c>
      <c r="G74" s="179" t="str">
        <f>IF(OR($F$69=0,F74=0),"-",F74/$F$69)</f>
        <v>-</v>
      </c>
      <c r="H74" s="133"/>
      <c r="I74" s="185">
        <v>0</v>
      </c>
      <c r="J74" s="179" t="str">
        <f>IF(OR($I$69=0,I74=0),"-",I74/$I$69)</f>
        <v>-</v>
      </c>
      <c r="K74" s="112"/>
      <c r="L74" s="177" t="s">
        <v>874</v>
      </c>
      <c r="M74" s="180" t="s">
        <v>874</v>
      </c>
      <c r="N74" s="198"/>
      <c r="O74" s="113" t="s">
        <v>867</v>
      </c>
      <c r="P74" s="181">
        <v>0</v>
      </c>
      <c r="Q74" s="179" t="str">
        <f>IF(OR($C$69=0,P74=0),"-",P74/$C$69)</f>
        <v>-</v>
      </c>
      <c r="R74" s="133"/>
      <c r="S74" s="177">
        <v>0</v>
      </c>
      <c r="T74" s="179" t="str">
        <f>IF(OR($F$69=0,S74=0),"-",S74/$F$69)</f>
        <v>-</v>
      </c>
      <c r="U74" s="133"/>
      <c r="V74" s="185">
        <v>0</v>
      </c>
      <c r="W74" s="179" t="str">
        <f>IF(OR($I$69=0,V74=0),"-",V74/$I$69)</f>
        <v>-</v>
      </c>
      <c r="X74" s="112"/>
      <c r="Y74" s="177" t="s">
        <v>874</v>
      </c>
      <c r="Z74" s="180" t="s">
        <v>874</v>
      </c>
      <c r="AB74" s="113" t="s">
        <v>867</v>
      </c>
      <c r="AC74" s="181">
        <v>0</v>
      </c>
      <c r="AD74" s="179" t="str">
        <f>IF(OR($C$69=0,AC74=0),"-",AC74/$C$69)</f>
        <v>-</v>
      </c>
      <c r="AE74" s="133"/>
      <c r="AF74" s="177">
        <v>0</v>
      </c>
      <c r="AG74" s="179" t="str">
        <f>IF(OR($F$69=0,AF74=0),"-",AF74/$F$69)</f>
        <v>-</v>
      </c>
      <c r="AH74" s="133"/>
      <c r="AI74" s="185">
        <v>0</v>
      </c>
      <c r="AJ74" s="179" t="str">
        <f>IF(OR($I$69=0,AI74=0),"-",AI74/$I$69)</f>
        <v>-</v>
      </c>
      <c r="AK74" s="112"/>
      <c r="AL74" s="177" t="s">
        <v>874</v>
      </c>
      <c r="AM74" s="180" t="s">
        <v>874</v>
      </c>
    </row>
    <row r="75" spans="2:39" x14ac:dyDescent="0.3">
      <c r="B75" s="113" t="s">
        <v>952</v>
      </c>
      <c r="C75" s="181">
        <v>0</v>
      </c>
      <c r="D75" s="179" t="str">
        <f>IF(OR($C$74=0,C75=0),"-",C75/$C$74)</f>
        <v>-</v>
      </c>
      <c r="E75" s="133"/>
      <c r="F75" s="177">
        <v>0</v>
      </c>
      <c r="G75" s="179" t="str">
        <f>IF(OR($F$74=0,F75=0),"-",F75/$F$74)</f>
        <v>-</v>
      </c>
      <c r="H75" s="133"/>
      <c r="I75" s="185">
        <v>0</v>
      </c>
      <c r="J75" s="179" t="str">
        <f>IF(OR($I$74=0,I75=0),"-",I75/$I$74)</f>
        <v>-</v>
      </c>
      <c r="K75" s="112"/>
      <c r="L75" s="177" t="s">
        <v>874</v>
      </c>
      <c r="M75" s="180" t="s">
        <v>874</v>
      </c>
      <c r="N75" s="198"/>
      <c r="O75" s="113" t="s">
        <v>952</v>
      </c>
      <c r="P75" s="181">
        <v>0</v>
      </c>
      <c r="Q75" s="179" t="str">
        <f>IF(OR($C$74=0,P75=0),"-",P75/$C$74)</f>
        <v>-</v>
      </c>
      <c r="R75" s="133"/>
      <c r="S75" s="177">
        <v>0</v>
      </c>
      <c r="T75" s="179" t="str">
        <f>IF(OR($F$74=0,S75=0),"-",S75/$F$74)</f>
        <v>-</v>
      </c>
      <c r="U75" s="133"/>
      <c r="V75" s="185">
        <v>0</v>
      </c>
      <c r="W75" s="179" t="str">
        <f>IF(OR($I$74=0,V75=0),"-",V75/$I$74)</f>
        <v>-</v>
      </c>
      <c r="X75" s="112"/>
      <c r="Y75" s="177" t="s">
        <v>874</v>
      </c>
      <c r="Z75" s="180" t="s">
        <v>874</v>
      </c>
      <c r="AB75" s="113" t="s">
        <v>952</v>
      </c>
      <c r="AC75" s="181">
        <v>0</v>
      </c>
      <c r="AD75" s="179" t="str">
        <f>IF(OR($C$74=0,AC75=0),"-",AC75/$C$74)</f>
        <v>-</v>
      </c>
      <c r="AE75" s="133"/>
      <c r="AF75" s="177">
        <v>0</v>
      </c>
      <c r="AG75" s="179" t="str">
        <f>IF(OR($F$74=0,AF75=0),"-",AF75/$F$74)</f>
        <v>-</v>
      </c>
      <c r="AH75" s="133"/>
      <c r="AI75" s="185">
        <v>0</v>
      </c>
      <c r="AJ75" s="179" t="str">
        <f>IF(OR($I$74=0,AI75=0),"-",AI75/$I$74)</f>
        <v>-</v>
      </c>
      <c r="AK75" s="112"/>
      <c r="AL75" s="177" t="s">
        <v>874</v>
      </c>
      <c r="AM75" s="180" t="s">
        <v>874</v>
      </c>
    </row>
    <row r="76" spans="2:39" x14ac:dyDescent="0.3">
      <c r="B76" s="113" t="s">
        <v>953</v>
      </c>
      <c r="C76" s="181">
        <v>0</v>
      </c>
      <c r="D76" s="179" t="str">
        <f t="shared" ref="D76:D77" si="6">IF(OR($C$74=0,C76=0),"-",C76/$C$74)</f>
        <v>-</v>
      </c>
      <c r="E76" s="133"/>
      <c r="F76" s="177">
        <v>0</v>
      </c>
      <c r="G76" s="179" t="str">
        <f t="shared" ref="G76:G77" si="7">IF(OR($F$74=0,F76=0),"-",F76/$F$74)</f>
        <v>-</v>
      </c>
      <c r="H76" s="133"/>
      <c r="I76" s="185">
        <v>0</v>
      </c>
      <c r="J76" s="179" t="str">
        <f t="shared" ref="J76:J77" si="8">IF(OR($I$74=0,I76=0),"-",I76/$I$74)</f>
        <v>-</v>
      </c>
      <c r="K76" s="112"/>
      <c r="L76" s="177" t="s">
        <v>874</v>
      </c>
      <c r="M76" s="180" t="s">
        <v>874</v>
      </c>
      <c r="N76" s="198"/>
      <c r="O76" s="113" t="s">
        <v>953</v>
      </c>
      <c r="P76" s="181">
        <v>0</v>
      </c>
      <c r="Q76" s="179" t="str">
        <f t="shared" ref="Q76:Q77" si="9">IF(OR($C$74=0,P76=0),"-",P76/$C$74)</f>
        <v>-</v>
      </c>
      <c r="R76" s="133"/>
      <c r="S76" s="177">
        <v>0</v>
      </c>
      <c r="T76" s="179" t="str">
        <f t="shared" ref="T76:T77" si="10">IF(OR($F$74=0,S76=0),"-",S76/$F$74)</f>
        <v>-</v>
      </c>
      <c r="U76" s="133"/>
      <c r="V76" s="185">
        <v>0</v>
      </c>
      <c r="W76" s="179" t="str">
        <f t="shared" ref="W76:W77" si="11">IF(OR($I$74=0,V76=0),"-",V76/$I$74)</f>
        <v>-</v>
      </c>
      <c r="X76" s="112"/>
      <c r="Y76" s="177" t="s">
        <v>874</v>
      </c>
      <c r="Z76" s="180" t="s">
        <v>874</v>
      </c>
      <c r="AB76" s="113" t="s">
        <v>953</v>
      </c>
      <c r="AC76" s="181">
        <v>0</v>
      </c>
      <c r="AD76" s="179" t="str">
        <f t="shared" ref="AD76:AD77" si="12">IF(OR($C$74=0,AC76=0),"-",AC76/$C$74)</f>
        <v>-</v>
      </c>
      <c r="AE76" s="133"/>
      <c r="AF76" s="177">
        <v>0</v>
      </c>
      <c r="AG76" s="179" t="str">
        <f t="shared" ref="AG76:AG77" si="13">IF(OR($F$74=0,AF76=0),"-",AF76/$F$74)</f>
        <v>-</v>
      </c>
      <c r="AH76" s="133"/>
      <c r="AI76" s="185">
        <v>0</v>
      </c>
      <c r="AJ76" s="179" t="str">
        <f t="shared" ref="AJ76:AJ77" si="14">IF(OR($I$74=0,AI76=0),"-",AI76/$I$74)</f>
        <v>-</v>
      </c>
      <c r="AK76" s="112"/>
      <c r="AL76" s="177" t="s">
        <v>874</v>
      </c>
      <c r="AM76" s="180" t="s">
        <v>874</v>
      </c>
    </row>
    <row r="77" spans="2:39" x14ac:dyDescent="0.3">
      <c r="B77" s="113" t="s">
        <v>966</v>
      </c>
      <c r="C77" s="181">
        <v>0</v>
      </c>
      <c r="D77" s="179" t="str">
        <f t="shared" si="6"/>
        <v>-</v>
      </c>
      <c r="E77" s="133"/>
      <c r="F77" s="177">
        <v>0</v>
      </c>
      <c r="G77" s="179" t="str">
        <f t="shared" si="7"/>
        <v>-</v>
      </c>
      <c r="H77" s="133"/>
      <c r="I77" s="185">
        <v>0</v>
      </c>
      <c r="J77" s="179" t="str">
        <f t="shared" si="8"/>
        <v>-</v>
      </c>
      <c r="K77" s="112"/>
      <c r="L77" s="177" t="s">
        <v>874</v>
      </c>
      <c r="M77" s="180" t="s">
        <v>874</v>
      </c>
      <c r="N77" s="198"/>
      <c r="O77" s="113" t="s">
        <v>966</v>
      </c>
      <c r="P77" s="181">
        <v>0</v>
      </c>
      <c r="Q77" s="179" t="str">
        <f t="shared" si="9"/>
        <v>-</v>
      </c>
      <c r="R77" s="133"/>
      <c r="S77" s="177">
        <v>0</v>
      </c>
      <c r="T77" s="179" t="str">
        <f t="shared" si="10"/>
        <v>-</v>
      </c>
      <c r="U77" s="133"/>
      <c r="V77" s="185">
        <v>0</v>
      </c>
      <c r="W77" s="179" t="str">
        <f t="shared" si="11"/>
        <v>-</v>
      </c>
      <c r="X77" s="112"/>
      <c r="Y77" s="177" t="s">
        <v>874</v>
      </c>
      <c r="Z77" s="180" t="s">
        <v>874</v>
      </c>
      <c r="AB77" s="113" t="s">
        <v>966</v>
      </c>
      <c r="AC77" s="181">
        <v>0</v>
      </c>
      <c r="AD77" s="179" t="str">
        <f t="shared" si="12"/>
        <v>-</v>
      </c>
      <c r="AE77" s="133"/>
      <c r="AF77" s="177">
        <v>0</v>
      </c>
      <c r="AG77" s="179" t="str">
        <f t="shared" si="13"/>
        <v>-</v>
      </c>
      <c r="AH77" s="133"/>
      <c r="AI77" s="185">
        <v>0</v>
      </c>
      <c r="AJ77" s="179" t="str">
        <f t="shared" si="14"/>
        <v>-</v>
      </c>
      <c r="AK77" s="112"/>
      <c r="AL77" s="177" t="s">
        <v>874</v>
      </c>
      <c r="AM77" s="180" t="s">
        <v>874</v>
      </c>
    </row>
    <row r="78" spans="2:39" x14ac:dyDescent="0.3">
      <c r="B78" s="113" t="s">
        <v>985</v>
      </c>
      <c r="C78" s="181" t="s">
        <v>874</v>
      </c>
      <c r="D78" s="179" t="s">
        <v>874</v>
      </c>
      <c r="E78" s="133"/>
      <c r="F78" s="177" t="s">
        <v>874</v>
      </c>
      <c r="G78" s="179" t="s">
        <v>874</v>
      </c>
      <c r="H78" s="133"/>
      <c r="I78" s="185">
        <v>0</v>
      </c>
      <c r="J78" s="179" t="str">
        <f>IF(OR($C$53=0,I78=0),"-",I78/$C$53)</f>
        <v>-</v>
      </c>
      <c r="K78" s="112"/>
      <c r="L78" s="177" t="s">
        <v>874</v>
      </c>
      <c r="M78" s="180" t="s">
        <v>874</v>
      </c>
      <c r="N78" s="198"/>
      <c r="O78" s="113" t="s">
        <v>985</v>
      </c>
      <c r="P78" s="181" t="s">
        <v>874</v>
      </c>
      <c r="Q78" s="179" t="s">
        <v>874</v>
      </c>
      <c r="R78" s="133"/>
      <c r="S78" s="177" t="s">
        <v>874</v>
      </c>
      <c r="T78" s="179" t="s">
        <v>874</v>
      </c>
      <c r="U78" s="133"/>
      <c r="V78" s="185">
        <v>0</v>
      </c>
      <c r="W78" s="179" t="str">
        <f>IF(OR($C$53=0,V78=0),"-",V78/$C$53)</f>
        <v>-</v>
      </c>
      <c r="X78" s="112"/>
      <c r="Y78" s="177" t="s">
        <v>874</v>
      </c>
      <c r="Z78" s="180" t="s">
        <v>874</v>
      </c>
      <c r="AB78" s="113" t="s">
        <v>985</v>
      </c>
      <c r="AC78" s="181" t="s">
        <v>874</v>
      </c>
      <c r="AD78" s="179" t="s">
        <v>874</v>
      </c>
      <c r="AE78" s="133"/>
      <c r="AF78" s="177" t="s">
        <v>874</v>
      </c>
      <c r="AG78" s="179" t="s">
        <v>874</v>
      </c>
      <c r="AH78" s="133"/>
      <c r="AI78" s="185">
        <v>0</v>
      </c>
      <c r="AJ78" s="179" t="str">
        <f>IF(OR($C$53=0,AI78=0),"-",AI78/$C$53)</f>
        <v>-</v>
      </c>
      <c r="AK78" s="112"/>
      <c r="AL78" s="177" t="s">
        <v>874</v>
      </c>
      <c r="AM78" s="180" t="s">
        <v>874</v>
      </c>
    </row>
    <row r="79" spans="2:39" ht="15" thickBot="1" x14ac:dyDescent="0.35">
      <c r="B79" s="115" t="s">
        <v>875</v>
      </c>
      <c r="C79" s="187" t="s">
        <v>874</v>
      </c>
      <c r="D79" s="188" t="s">
        <v>874</v>
      </c>
      <c r="E79" s="134"/>
      <c r="F79" s="189" t="s">
        <v>874</v>
      </c>
      <c r="G79" s="188" t="s">
        <v>874</v>
      </c>
      <c r="H79" s="134"/>
      <c r="I79" s="190" t="s">
        <v>874</v>
      </c>
      <c r="J79" s="188" t="s">
        <v>874</v>
      </c>
      <c r="K79" s="121"/>
      <c r="L79" s="189">
        <v>0</v>
      </c>
      <c r="M79" s="191" t="str">
        <f>IF(OR($C$53=0,L79=0),"-",L79/$C$53)</f>
        <v>-</v>
      </c>
      <c r="N79" s="198"/>
      <c r="O79" s="115" t="s">
        <v>875</v>
      </c>
      <c r="P79" s="187" t="s">
        <v>874</v>
      </c>
      <c r="Q79" s="188" t="s">
        <v>874</v>
      </c>
      <c r="R79" s="134"/>
      <c r="S79" s="189" t="s">
        <v>874</v>
      </c>
      <c r="T79" s="188" t="s">
        <v>874</v>
      </c>
      <c r="U79" s="134"/>
      <c r="V79" s="190" t="s">
        <v>874</v>
      </c>
      <c r="W79" s="188" t="s">
        <v>874</v>
      </c>
      <c r="X79" s="121"/>
      <c r="Y79" s="189">
        <v>0</v>
      </c>
      <c r="Z79" s="191" t="str">
        <f>IF(OR($C$53=0,Y79=0),"-",Y79/$C$53)</f>
        <v>-</v>
      </c>
      <c r="AB79" s="115" t="s">
        <v>875</v>
      </c>
      <c r="AC79" s="187" t="s">
        <v>874</v>
      </c>
      <c r="AD79" s="188" t="s">
        <v>874</v>
      </c>
      <c r="AE79" s="134"/>
      <c r="AF79" s="189" t="s">
        <v>874</v>
      </c>
      <c r="AG79" s="188" t="s">
        <v>874</v>
      </c>
      <c r="AH79" s="134"/>
      <c r="AI79" s="190" t="s">
        <v>874</v>
      </c>
      <c r="AJ79" s="188" t="s">
        <v>874</v>
      </c>
      <c r="AK79" s="121"/>
      <c r="AL79" s="189">
        <v>0</v>
      </c>
      <c r="AM79" s="191" t="str">
        <f>IF(OR($C$53=0,AL79=0),"-",AL79/$C$53)</f>
        <v>-</v>
      </c>
    </row>
    <row r="100" spans="3:5" x14ac:dyDescent="0.3">
      <c r="C100" s="2"/>
    </row>
    <row r="101" spans="3:5" x14ac:dyDescent="0.3">
      <c r="C101" s="10"/>
      <c r="D101" s="27"/>
      <c r="E101" s="85"/>
    </row>
    <row r="102" spans="3:5" x14ac:dyDescent="0.3">
      <c r="C102" s="12"/>
    </row>
    <row r="103" spans="3:5" x14ac:dyDescent="0.3">
      <c r="C103" s="12"/>
      <c r="D103" s="12"/>
    </row>
    <row r="104" spans="3:5" x14ac:dyDescent="0.3">
      <c r="C104" s="1"/>
      <c r="D104" s="1"/>
      <c r="E104" s="86"/>
    </row>
    <row r="105" spans="3:5" x14ac:dyDescent="0.3">
      <c r="C105" s="1"/>
      <c r="D105" s="1"/>
      <c r="E105" s="86"/>
    </row>
    <row r="106" spans="3:5" x14ac:dyDescent="0.3">
      <c r="C106" s="1"/>
      <c r="D106" s="1"/>
      <c r="E106" s="86"/>
    </row>
    <row r="107" spans="3:5" x14ac:dyDescent="0.3">
      <c r="C107" s="1"/>
      <c r="D107" s="1"/>
      <c r="E107" s="86"/>
    </row>
    <row r="108" spans="3:5" x14ac:dyDescent="0.3">
      <c r="C108" s="1"/>
      <c r="D108" s="1"/>
      <c r="E108" s="86"/>
    </row>
    <row r="109" spans="3:5" x14ac:dyDescent="0.3">
      <c r="C109" s="1"/>
      <c r="D109" s="1"/>
      <c r="E109" s="86"/>
    </row>
    <row r="110" spans="3:5" x14ac:dyDescent="0.3">
      <c r="C110" s="1"/>
      <c r="D110" s="1"/>
      <c r="E110" s="86"/>
    </row>
    <row r="111" spans="3:5" x14ac:dyDescent="0.3">
      <c r="C111" s="1"/>
      <c r="D111" s="1"/>
      <c r="E111" s="86"/>
    </row>
    <row r="112" spans="3:5" x14ac:dyDescent="0.3">
      <c r="C112" s="1"/>
      <c r="D112" s="1"/>
      <c r="E112" s="86"/>
    </row>
    <row r="113" spans="2:5" x14ac:dyDescent="0.3">
      <c r="C113" s="1"/>
      <c r="D113" s="1"/>
      <c r="E113" s="86"/>
    </row>
    <row r="114" spans="2:5" x14ac:dyDescent="0.3">
      <c r="C114" s="1"/>
      <c r="D114" s="1"/>
      <c r="E114" s="86"/>
    </row>
    <row r="115" spans="2:5" x14ac:dyDescent="0.3">
      <c r="C115" s="1"/>
      <c r="D115" s="1"/>
      <c r="E115" s="86"/>
    </row>
    <row r="116" spans="2:5" x14ac:dyDescent="0.3">
      <c r="C116" s="1"/>
      <c r="D116" s="1"/>
      <c r="E116" s="86"/>
    </row>
    <row r="123" spans="2:5" x14ac:dyDescent="0.3">
      <c r="B123" s="14"/>
    </row>
  </sheetData>
  <mergeCells count="18">
    <mergeCell ref="O2:Q2"/>
    <mergeCell ref="AB2:AD2"/>
    <mergeCell ref="O50:Z50"/>
    <mergeCell ref="P56:Q56"/>
    <mergeCell ref="S56:T56"/>
    <mergeCell ref="V56:W56"/>
    <mergeCell ref="Y56:Z56"/>
    <mergeCell ref="AB50:AM50"/>
    <mergeCell ref="AC56:AD56"/>
    <mergeCell ref="AF56:AG56"/>
    <mergeCell ref="AI56:AJ56"/>
    <mergeCell ref="AL56:AM56"/>
    <mergeCell ref="B2:D2"/>
    <mergeCell ref="B50:M50"/>
    <mergeCell ref="C56:D56"/>
    <mergeCell ref="F56:G56"/>
    <mergeCell ref="I56:J56"/>
    <mergeCell ref="L56: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X95"/>
  <sheetViews>
    <sheetView topLeftCell="A18" zoomScaleNormal="100" workbookViewId="0">
      <selection activeCell="H41" sqref="H41"/>
    </sheetView>
  </sheetViews>
  <sheetFormatPr defaultColWidth="9.109375" defaultRowHeight="14.4" x14ac:dyDescent="0.3"/>
  <cols>
    <col min="1" max="1" width="3.33203125" style="1" customWidth="1"/>
    <col min="2" max="2" width="33.44140625" style="1" customWidth="1"/>
    <col min="3" max="3" width="10.109375" style="5" customWidth="1"/>
    <col min="4" max="4" width="11.33203125" style="15" customWidth="1"/>
    <col min="5" max="5" width="13.109375" style="15" customWidth="1"/>
    <col min="6" max="11" width="14.109375" style="15" customWidth="1"/>
    <col min="12" max="12" width="9.6640625" style="15" customWidth="1"/>
    <col min="13" max="13" width="9.109375" style="15" customWidth="1"/>
    <col min="14" max="14" width="14.109375" style="15" customWidth="1"/>
    <col min="15" max="15" width="11.109375" style="15" customWidth="1"/>
    <col min="16" max="16" width="7.88671875" style="15" customWidth="1"/>
    <col min="17" max="18" width="14.109375" style="15" customWidth="1"/>
    <col min="19" max="20" width="14.109375" style="1" customWidth="1"/>
    <col min="21" max="21" width="21.44140625" style="1" customWidth="1"/>
    <col min="22" max="23" width="14.109375" style="1" customWidth="1"/>
    <col min="24" max="24" width="14.109375" style="37" customWidth="1"/>
    <col min="25" max="25" width="14.109375" style="1" customWidth="1"/>
    <col min="26" max="26" width="5.5546875" style="1" customWidth="1"/>
    <col min="27" max="27" width="8.5546875" style="1" customWidth="1"/>
    <col min="28" max="28" width="10.88671875" style="1" customWidth="1"/>
    <col min="29" max="30" width="11.44140625" style="1" customWidth="1"/>
    <col min="31" max="31" width="7.44140625" style="1" customWidth="1"/>
    <col min="32" max="32" width="5.88671875" style="1" customWidth="1"/>
    <col min="33" max="33" width="11.88671875" style="1" customWidth="1"/>
    <col min="34" max="34" width="7.88671875" style="1" customWidth="1"/>
    <col min="35" max="35" width="6.5546875" style="1" customWidth="1"/>
    <col min="36" max="40" width="14.109375" style="1" customWidth="1"/>
    <col min="41" max="16384" width="9.109375" style="1"/>
  </cols>
  <sheetData>
    <row r="1" spans="2:18" ht="15" thickBot="1" x14ac:dyDescent="0.35"/>
    <row r="2" spans="2:18" ht="15" thickBot="1" x14ac:dyDescent="0.35">
      <c r="B2" s="222" t="s">
        <v>781</v>
      </c>
      <c r="C2" s="223"/>
      <c r="D2" s="224"/>
      <c r="E2" s="1"/>
      <c r="F2" s="24"/>
      <c r="G2" s="24"/>
      <c r="H2" s="24"/>
      <c r="I2" s="24"/>
      <c r="J2" s="24"/>
      <c r="K2" s="24"/>
      <c r="L2" s="24"/>
      <c r="M2" s="24"/>
      <c r="N2" s="24"/>
      <c r="O2" s="24"/>
      <c r="P2" s="24"/>
      <c r="Q2" s="24"/>
      <c r="R2" s="24"/>
    </row>
    <row r="3" spans="2:18" x14ac:dyDescent="0.3">
      <c r="B3" s="88"/>
      <c r="C3" s="71" t="s">
        <v>28</v>
      </c>
      <c r="D3" s="89" t="s">
        <v>29</v>
      </c>
      <c r="E3" s="1"/>
      <c r="F3" s="1"/>
      <c r="G3" s="5"/>
      <c r="H3" s="5"/>
      <c r="I3" s="5"/>
      <c r="J3" s="24"/>
      <c r="K3" s="24"/>
      <c r="L3" s="24"/>
      <c r="M3" s="24"/>
      <c r="N3" s="24"/>
      <c r="O3" s="24"/>
      <c r="P3" s="24"/>
      <c r="Q3" s="24"/>
      <c r="R3" s="24"/>
    </row>
    <row r="4" spans="2:18" x14ac:dyDescent="0.3">
      <c r="B4" s="4" t="s">
        <v>759</v>
      </c>
      <c r="C4" s="5">
        <v>0</v>
      </c>
      <c r="D4" s="6"/>
      <c r="E4" s="1"/>
      <c r="F4" s="1"/>
      <c r="G4" s="5"/>
      <c r="H4" s="5"/>
      <c r="I4" s="5"/>
      <c r="J4" s="1"/>
      <c r="K4" s="1"/>
      <c r="L4" s="1"/>
      <c r="M4" s="1"/>
      <c r="N4" s="1"/>
      <c r="O4" s="1"/>
      <c r="P4" s="1"/>
      <c r="Q4" s="1"/>
      <c r="R4" s="1"/>
    </row>
    <row r="5" spans="2:18" x14ac:dyDescent="0.3">
      <c r="B5" s="4" t="s">
        <v>883</v>
      </c>
      <c r="C5" s="5">
        <v>0</v>
      </c>
      <c r="D5" s="6" t="str">
        <f>IF(C5=0, "-", C5/C4)</f>
        <v>-</v>
      </c>
      <c r="E5" s="1"/>
      <c r="F5" s="1"/>
      <c r="G5" s="1"/>
      <c r="H5" s="1"/>
      <c r="I5" s="1"/>
      <c r="J5" s="1"/>
      <c r="K5" s="1"/>
      <c r="L5" s="1"/>
      <c r="M5" s="1"/>
      <c r="N5" s="1"/>
      <c r="O5" s="1"/>
      <c r="P5" s="1"/>
      <c r="Q5" s="1"/>
      <c r="R5" s="1"/>
    </row>
    <row r="6" spans="2:18" x14ac:dyDescent="0.3">
      <c r="B6" s="4" t="s">
        <v>894</v>
      </c>
      <c r="C6" s="70">
        <v>0</v>
      </c>
      <c r="D6" s="6" t="str">
        <f>IF(C6=0, "-", C6/C4)</f>
        <v>-</v>
      </c>
      <c r="E6" s="5"/>
      <c r="F6" s="59"/>
      <c r="G6" s="5"/>
      <c r="H6" s="5"/>
      <c r="I6" s="5"/>
      <c r="J6" s="5"/>
      <c r="K6" s="5"/>
      <c r="L6" s="5"/>
      <c r="M6" s="5"/>
      <c r="N6" s="5"/>
      <c r="O6" s="5"/>
      <c r="P6" s="5"/>
      <c r="Q6" s="5"/>
      <c r="R6" s="5"/>
    </row>
    <row r="7" spans="2:18" x14ac:dyDescent="0.3">
      <c r="B7" s="72" t="s">
        <v>895</v>
      </c>
      <c r="C7" s="70">
        <v>0</v>
      </c>
      <c r="D7" s="6" t="str">
        <f>IF(C7=0, "-", C7/C6)</f>
        <v>-</v>
      </c>
      <c r="E7" s="5"/>
      <c r="F7" s="59"/>
      <c r="G7" s="5"/>
      <c r="H7" s="5"/>
      <c r="I7" s="5"/>
      <c r="J7" s="5"/>
      <c r="K7" s="5"/>
      <c r="L7" s="5"/>
      <c r="M7" s="5"/>
      <c r="N7" s="5"/>
      <c r="O7" s="5"/>
      <c r="P7" s="5"/>
      <c r="Q7" s="5"/>
      <c r="R7" s="5"/>
    </row>
    <row r="8" spans="2:18" x14ac:dyDescent="0.3">
      <c r="B8" s="72" t="s">
        <v>912</v>
      </c>
      <c r="C8" s="70">
        <v>0</v>
      </c>
      <c r="D8" s="6" t="str">
        <f>IF(C8=0, "-", C8/C6)</f>
        <v>-</v>
      </c>
      <c r="E8" s="5"/>
      <c r="F8" s="59"/>
      <c r="G8" s="5"/>
      <c r="H8" s="5"/>
      <c r="I8" s="5"/>
      <c r="J8" s="5"/>
      <c r="K8" s="5"/>
      <c r="L8" s="5"/>
      <c r="M8" s="5"/>
      <c r="N8" s="5"/>
      <c r="O8" s="5"/>
      <c r="P8" s="5"/>
      <c r="Q8" s="5"/>
      <c r="R8" s="5"/>
    </row>
    <row r="9" spans="2:18" x14ac:dyDescent="0.3">
      <c r="B9" s="72" t="s">
        <v>897</v>
      </c>
      <c r="C9" s="70">
        <v>0</v>
      </c>
      <c r="D9" s="6" t="str">
        <f>IF(C9=0, "-", C9/C6)</f>
        <v>-</v>
      </c>
      <c r="E9" s="5"/>
      <c r="F9" s="59"/>
      <c r="G9" s="5"/>
      <c r="H9" s="5"/>
      <c r="I9" s="5"/>
      <c r="J9" s="5"/>
      <c r="K9" s="5"/>
      <c r="L9" s="5"/>
      <c r="M9" s="5"/>
      <c r="N9" s="5"/>
      <c r="O9" s="5"/>
      <c r="P9" s="5"/>
      <c r="Q9" s="5"/>
      <c r="R9" s="5"/>
    </row>
    <row r="10" spans="2:18" x14ac:dyDescent="0.3">
      <c r="B10" s="72" t="s">
        <v>910</v>
      </c>
      <c r="C10" s="70">
        <v>0</v>
      </c>
      <c r="D10" s="6" t="str">
        <f>IF(C10=0, "-", C10/C6)</f>
        <v>-</v>
      </c>
      <c r="E10" s="5"/>
      <c r="F10" s="59"/>
      <c r="G10" s="5"/>
      <c r="H10" s="5"/>
      <c r="I10" s="5"/>
      <c r="J10" s="5"/>
      <c r="K10" s="5"/>
      <c r="L10" s="5"/>
      <c r="M10" s="5"/>
      <c r="N10" s="5"/>
      <c r="O10" s="5"/>
      <c r="P10" s="5"/>
      <c r="Q10" s="5"/>
      <c r="R10" s="5"/>
    </row>
    <row r="11" spans="2:18" x14ac:dyDescent="0.3">
      <c r="B11" s="72" t="s">
        <v>909</v>
      </c>
      <c r="C11" s="70">
        <v>0</v>
      </c>
      <c r="D11" s="6" t="str">
        <f>IF(C11=0, "-", C11/C6)</f>
        <v>-</v>
      </c>
      <c r="E11" s="5"/>
      <c r="F11" s="59"/>
      <c r="G11" s="5"/>
      <c r="H11" s="5"/>
      <c r="I11" s="5"/>
      <c r="J11" s="5"/>
      <c r="K11" s="5"/>
      <c r="L11" s="5"/>
      <c r="M11" s="5"/>
      <c r="N11" s="5"/>
      <c r="O11" s="5"/>
      <c r="P11" s="5"/>
      <c r="Q11" s="5"/>
      <c r="R11" s="5"/>
    </row>
    <row r="12" spans="2:18" ht="15" thickBot="1" x14ac:dyDescent="0.35">
      <c r="B12" s="73" t="s">
        <v>911</v>
      </c>
      <c r="C12" s="144">
        <v>0</v>
      </c>
      <c r="D12" s="21" t="str">
        <f>IF(C12=0, "-", C12/C6)</f>
        <v>-</v>
      </c>
      <c r="E12" s="5"/>
      <c r="F12" s="59"/>
      <c r="G12" s="5"/>
      <c r="H12" s="5"/>
      <c r="I12" s="5"/>
      <c r="J12" s="5"/>
      <c r="K12" s="5"/>
      <c r="L12" s="5"/>
      <c r="M12" s="5"/>
      <c r="N12" s="5"/>
      <c r="O12" s="5"/>
      <c r="P12" s="5"/>
      <c r="Q12" s="5"/>
      <c r="R12" s="5"/>
    </row>
    <row r="13" spans="2:18" x14ac:dyDescent="0.3">
      <c r="C13" s="59"/>
      <c r="E13" s="5"/>
      <c r="F13" s="5"/>
      <c r="G13" s="5"/>
      <c r="H13" s="5"/>
      <c r="I13" s="5"/>
      <c r="J13" s="5"/>
      <c r="K13" s="5"/>
      <c r="L13" s="5"/>
      <c r="M13" s="5"/>
      <c r="N13" s="5"/>
      <c r="O13" s="5"/>
      <c r="P13" s="5"/>
      <c r="Q13" s="5"/>
      <c r="R13" s="5"/>
    </row>
    <row r="14" spans="2:18" ht="15" thickBot="1" x14ac:dyDescent="0.35">
      <c r="C14" s="59"/>
      <c r="E14" s="5"/>
      <c r="F14" s="5"/>
      <c r="G14" s="5"/>
      <c r="H14" s="5"/>
      <c r="I14" s="5"/>
      <c r="J14" s="5"/>
      <c r="K14" s="5"/>
      <c r="L14" s="5"/>
      <c r="M14" s="5"/>
      <c r="N14" s="5"/>
      <c r="O14" s="5"/>
      <c r="P14" s="5"/>
      <c r="Q14" s="5"/>
      <c r="R14" s="5"/>
    </row>
    <row r="15" spans="2:18" ht="15" thickBot="1" x14ac:dyDescent="0.35">
      <c r="B15" s="222" t="s">
        <v>870</v>
      </c>
      <c r="C15" s="223"/>
      <c r="D15" s="224"/>
      <c r="E15" s="5"/>
      <c r="F15" s="5"/>
      <c r="G15" s="5"/>
      <c r="H15" s="5"/>
      <c r="I15" s="5"/>
      <c r="J15" s="5"/>
      <c r="K15" s="5"/>
      <c r="L15" s="5"/>
      <c r="M15" s="5"/>
      <c r="N15" s="5"/>
      <c r="O15" s="5"/>
      <c r="P15" s="5"/>
      <c r="Q15" s="5"/>
      <c r="R15" s="5"/>
    </row>
    <row r="16" spans="2:18" x14ac:dyDescent="0.3">
      <c r="B16" s="30"/>
      <c r="C16" s="16" t="s">
        <v>28</v>
      </c>
      <c r="D16" s="105" t="s">
        <v>29</v>
      </c>
      <c r="E16" s="5"/>
      <c r="F16" s="5"/>
      <c r="G16" s="5"/>
      <c r="H16" s="5"/>
      <c r="I16" s="5"/>
      <c r="J16" s="5"/>
      <c r="K16" s="5"/>
      <c r="L16" s="5"/>
      <c r="M16" s="5"/>
      <c r="N16" s="5"/>
      <c r="O16" s="5"/>
      <c r="P16" s="5"/>
      <c r="Q16" s="5"/>
      <c r="R16" s="5"/>
    </row>
    <row r="17" spans="1:24" x14ac:dyDescent="0.3">
      <c r="B17" s="97" t="s">
        <v>752</v>
      </c>
      <c r="C17" s="5">
        <v>0</v>
      </c>
      <c r="D17" s="74"/>
      <c r="E17" s="5"/>
      <c r="F17" s="5"/>
      <c r="G17" s="5"/>
      <c r="H17" s="5"/>
      <c r="I17" s="5"/>
      <c r="J17" s="5"/>
      <c r="K17" s="5"/>
      <c r="L17" s="5"/>
      <c r="M17" s="5"/>
      <c r="N17" s="5"/>
      <c r="O17" s="5"/>
      <c r="P17" s="5"/>
      <c r="Q17" s="5"/>
      <c r="R17" s="5"/>
    </row>
    <row r="18" spans="1:24" x14ac:dyDescent="0.3">
      <c r="B18" s="4" t="s">
        <v>898</v>
      </c>
      <c r="C18" s="59">
        <v>0</v>
      </c>
      <c r="D18" s="6" t="str">
        <f>IF(OR($C$4=0,C18=0),"-",C18/$C$4)</f>
        <v>-</v>
      </c>
      <c r="E18" s="5"/>
      <c r="F18" s="5"/>
      <c r="G18" s="5"/>
      <c r="H18" s="5"/>
      <c r="I18" s="5"/>
      <c r="J18" s="5"/>
      <c r="K18" s="5"/>
      <c r="L18" s="5"/>
      <c r="M18" s="5"/>
      <c r="N18" s="5"/>
      <c r="O18" s="5"/>
      <c r="P18" s="5"/>
      <c r="Q18" s="5"/>
      <c r="R18" s="5"/>
    </row>
    <row r="19" spans="1:24" x14ac:dyDescent="0.3">
      <c r="B19" s="4" t="s">
        <v>913</v>
      </c>
      <c r="C19" s="59">
        <v>0</v>
      </c>
      <c r="D19" s="6" t="str">
        <f>IF(OR($C$17=0,C19=0),"-",C19/$C$17)</f>
        <v>-</v>
      </c>
      <c r="E19" s="5"/>
      <c r="F19" s="5"/>
      <c r="G19" s="5"/>
      <c r="H19" s="5"/>
      <c r="I19" s="5"/>
      <c r="J19" s="5"/>
      <c r="K19" s="5"/>
      <c r="L19" s="5"/>
      <c r="M19" s="5"/>
      <c r="N19" s="5"/>
      <c r="O19" s="5"/>
      <c r="P19" s="5"/>
      <c r="Q19" s="5"/>
      <c r="R19" s="5"/>
    </row>
    <row r="20" spans="1:24" x14ac:dyDescent="0.3">
      <c r="B20" s="4" t="s">
        <v>899</v>
      </c>
      <c r="C20" s="59">
        <v>0</v>
      </c>
      <c r="D20" s="6" t="str">
        <f>IF(OR($C$17=0,C20=0),"-",C20/$C$17)</f>
        <v>-</v>
      </c>
      <c r="E20" s="5"/>
      <c r="F20" s="5"/>
      <c r="G20" s="5"/>
      <c r="H20" s="5"/>
      <c r="I20" s="5"/>
      <c r="J20" s="5"/>
      <c r="K20" s="5"/>
      <c r="L20" s="5"/>
      <c r="M20" s="5"/>
      <c r="N20" s="5"/>
      <c r="O20" s="5"/>
      <c r="P20" s="5"/>
      <c r="Q20" s="5"/>
      <c r="R20" s="5"/>
    </row>
    <row r="21" spans="1:24" x14ac:dyDescent="0.3">
      <c r="B21" s="72" t="s">
        <v>900</v>
      </c>
      <c r="C21" s="99">
        <v>0</v>
      </c>
      <c r="D21" s="6" t="str">
        <f>IF(OR($C$20=0,C21=0),"-",C21/$C$20)</f>
        <v>-</v>
      </c>
      <c r="E21" s="5"/>
      <c r="F21" s="5"/>
      <c r="G21" s="5"/>
      <c r="H21" s="5"/>
      <c r="I21" s="5"/>
      <c r="J21" s="5"/>
      <c r="K21" s="5"/>
      <c r="L21" s="5"/>
      <c r="M21" s="5"/>
      <c r="N21" s="5"/>
      <c r="O21" s="5"/>
      <c r="P21" s="5"/>
      <c r="Q21" s="5"/>
      <c r="R21" s="5"/>
    </row>
    <row r="22" spans="1:24" x14ac:dyDescent="0.3">
      <c r="B22" s="72" t="s">
        <v>901</v>
      </c>
      <c r="C22" s="99">
        <v>0</v>
      </c>
      <c r="D22" s="6" t="str">
        <f t="shared" ref="D22:D25" si="0">IF(OR($C$20=0,C22=0),"-",C22/$C$20)</f>
        <v>-</v>
      </c>
      <c r="E22" s="5"/>
      <c r="F22" s="5"/>
      <c r="G22" s="5"/>
      <c r="H22" s="5"/>
      <c r="I22" s="5"/>
      <c r="J22" s="5"/>
      <c r="K22" s="5"/>
      <c r="L22" s="5"/>
      <c r="M22" s="5"/>
      <c r="N22" s="5"/>
      <c r="O22" s="5"/>
      <c r="P22" s="5"/>
      <c r="Q22" s="5"/>
      <c r="R22" s="5"/>
    </row>
    <row r="23" spans="1:24" x14ac:dyDescent="0.3">
      <c r="B23" s="72" t="s">
        <v>902</v>
      </c>
      <c r="C23" s="99">
        <v>0</v>
      </c>
      <c r="D23" s="6" t="str">
        <f t="shared" si="0"/>
        <v>-</v>
      </c>
      <c r="E23" s="5"/>
      <c r="F23" s="5"/>
      <c r="G23" s="5"/>
      <c r="H23" s="5"/>
      <c r="I23" s="5"/>
      <c r="J23" s="5"/>
      <c r="K23" s="5"/>
      <c r="L23" s="5"/>
      <c r="M23" s="5"/>
      <c r="N23" s="5"/>
      <c r="O23" s="5"/>
      <c r="P23" s="5"/>
      <c r="Q23" s="5"/>
      <c r="R23" s="5"/>
    </row>
    <row r="24" spans="1:24" x14ac:dyDescent="0.3">
      <c r="B24" s="72" t="s">
        <v>903</v>
      </c>
      <c r="C24" s="99">
        <v>0</v>
      </c>
      <c r="D24" s="6" t="str">
        <f t="shared" si="0"/>
        <v>-</v>
      </c>
      <c r="E24" s="5"/>
      <c r="F24" s="5"/>
      <c r="G24" s="5"/>
      <c r="H24" s="5"/>
      <c r="I24" s="5"/>
      <c r="J24" s="5"/>
      <c r="K24" s="5"/>
      <c r="L24" s="5"/>
      <c r="M24" s="5"/>
      <c r="N24" s="5"/>
      <c r="O24" s="5"/>
      <c r="P24" s="5"/>
      <c r="Q24" s="5"/>
      <c r="R24" s="5"/>
    </row>
    <row r="25" spans="1:24" ht="15" thickBot="1" x14ac:dyDescent="0.35">
      <c r="A25" s="1" t="s">
        <v>871</v>
      </c>
      <c r="B25" s="73" t="s">
        <v>904</v>
      </c>
      <c r="C25" s="100">
        <v>0</v>
      </c>
      <c r="D25" s="21" t="str">
        <f t="shared" si="0"/>
        <v>-</v>
      </c>
      <c r="E25" s="5"/>
      <c r="F25" s="5"/>
      <c r="G25" s="5"/>
      <c r="H25" s="5"/>
      <c r="I25" s="5"/>
      <c r="J25" s="5"/>
      <c r="K25" s="5"/>
      <c r="L25" s="5"/>
      <c r="M25" s="5"/>
      <c r="N25" s="5"/>
      <c r="O25" s="5"/>
      <c r="P25" s="5"/>
      <c r="Q25" s="5"/>
      <c r="R25" s="5"/>
    </row>
    <row r="26" spans="1:24" ht="15" thickBot="1" x14ac:dyDescent="0.35">
      <c r="C26" s="59"/>
      <c r="E26" s="5"/>
      <c r="F26" s="5"/>
      <c r="G26" s="5"/>
      <c r="H26" s="5"/>
      <c r="I26" s="5"/>
      <c r="J26" s="5"/>
      <c r="K26" s="5"/>
      <c r="L26" s="5"/>
      <c r="M26" s="5"/>
      <c r="N26" s="5"/>
      <c r="O26" s="5"/>
      <c r="P26" s="5"/>
      <c r="Q26" s="5"/>
      <c r="R26" s="5"/>
    </row>
    <row r="27" spans="1:24" ht="15" thickBot="1" x14ac:dyDescent="0.35">
      <c r="B27" s="139" t="s">
        <v>777</v>
      </c>
      <c r="C27" s="140"/>
      <c r="D27" s="140"/>
      <c r="E27" s="140"/>
      <c r="F27" s="229" t="s">
        <v>778</v>
      </c>
      <c r="G27" s="230"/>
      <c r="H27" s="230"/>
      <c r="I27" s="230"/>
      <c r="J27" s="230"/>
      <c r="K27" s="230"/>
      <c r="L27" s="230"/>
      <c r="M27" s="230"/>
      <c r="N27" s="231"/>
      <c r="O27" s="1"/>
      <c r="P27" s="1"/>
      <c r="Q27" s="1"/>
      <c r="R27" s="1"/>
      <c r="V27" s="37"/>
      <c r="X27" s="1"/>
    </row>
    <row r="28" spans="1:24" ht="15" customHeight="1" x14ac:dyDescent="0.3">
      <c r="B28" s="30"/>
      <c r="C28" s="227" t="s">
        <v>752</v>
      </c>
      <c r="D28" s="225" t="s">
        <v>753</v>
      </c>
      <c r="E28" s="225"/>
      <c r="F28" s="259" t="s">
        <v>872</v>
      </c>
      <c r="G28" s="251" t="s">
        <v>774</v>
      </c>
      <c r="H28" s="210"/>
      <c r="I28" s="210"/>
      <c r="J28" s="253" t="s">
        <v>773</v>
      </c>
      <c r="K28" s="253"/>
      <c r="L28" s="255" t="s">
        <v>775</v>
      </c>
      <c r="M28" s="255" t="s">
        <v>776</v>
      </c>
      <c r="N28" s="257"/>
      <c r="O28" s="1"/>
      <c r="P28" s="1"/>
      <c r="Q28" s="1"/>
      <c r="R28" s="1"/>
      <c r="V28" s="37"/>
      <c r="X28" s="1"/>
    </row>
    <row r="29" spans="1:24" x14ac:dyDescent="0.3">
      <c r="B29" s="3"/>
      <c r="C29" s="228"/>
      <c r="D29" s="226"/>
      <c r="E29" s="226"/>
      <c r="F29" s="260"/>
      <c r="G29" s="252"/>
      <c r="H29" s="128" t="s">
        <v>996</v>
      </c>
      <c r="I29" s="128" t="s">
        <v>997</v>
      </c>
      <c r="J29" s="254"/>
      <c r="K29" s="254"/>
      <c r="L29" s="256"/>
      <c r="M29" s="256"/>
      <c r="N29" s="258"/>
      <c r="O29" s="1"/>
      <c r="P29" s="1"/>
      <c r="Q29" s="1"/>
      <c r="R29" s="1"/>
      <c r="V29" s="37"/>
      <c r="X29" s="1"/>
    </row>
    <row r="30" spans="1:24" x14ac:dyDescent="0.3">
      <c r="B30" s="3"/>
      <c r="C30" s="78" t="s">
        <v>28</v>
      </c>
      <c r="D30" s="65" t="s">
        <v>28</v>
      </c>
      <c r="E30" s="65" t="s">
        <v>29</v>
      </c>
      <c r="F30" s="80" t="s">
        <v>28</v>
      </c>
      <c r="G30" s="128" t="s">
        <v>28</v>
      </c>
      <c r="H30" s="128" t="s">
        <v>28</v>
      </c>
      <c r="I30" s="128" t="s">
        <v>28</v>
      </c>
      <c r="J30" s="129" t="s">
        <v>28</v>
      </c>
      <c r="K30" s="129" t="s">
        <v>29</v>
      </c>
      <c r="L30" s="127" t="s">
        <v>28</v>
      </c>
      <c r="M30" s="127" t="s">
        <v>28</v>
      </c>
      <c r="N30" s="67" t="s">
        <v>29</v>
      </c>
      <c r="O30" s="1"/>
      <c r="P30" s="1"/>
      <c r="Q30" s="1"/>
      <c r="R30" s="1"/>
      <c r="V30" s="37"/>
      <c r="X30" s="1"/>
    </row>
    <row r="31" spans="1:24" ht="15" thickBot="1" x14ac:dyDescent="0.35">
      <c r="B31" s="13" t="s">
        <v>755</v>
      </c>
      <c r="C31" s="75">
        <v>0</v>
      </c>
      <c r="D31" s="17">
        <v>0</v>
      </c>
      <c r="E31" s="50" t="str">
        <f>IF(D31=0,"-",D31/C31)</f>
        <v>-</v>
      </c>
      <c r="F31" s="135">
        <v>0</v>
      </c>
      <c r="G31" s="75">
        <v>0</v>
      </c>
      <c r="H31" s="75"/>
      <c r="I31" s="75"/>
      <c r="J31" s="136">
        <v>0</v>
      </c>
      <c r="K31" s="136" t="str">
        <f>IF(OR($G$31=0,J31=0),"-",G31/J31)</f>
        <v>-</v>
      </c>
      <c r="L31" s="137">
        <v>0</v>
      </c>
      <c r="M31" s="137">
        <v>0</v>
      </c>
      <c r="N31" s="138" t="str">
        <f>IF(OR($L$31=0,M31=0),"-",L31/J31)</f>
        <v>-</v>
      </c>
      <c r="O31" s="1"/>
      <c r="P31" s="1"/>
      <c r="Q31" s="1"/>
      <c r="R31" s="1"/>
      <c r="V31" s="37"/>
      <c r="X31" s="1"/>
    </row>
    <row r="33" spans="2:24" ht="15" thickBot="1" x14ac:dyDescent="0.35"/>
    <row r="34" spans="2:24" ht="15" thickBot="1" x14ac:dyDescent="0.35">
      <c r="B34" s="229" t="s">
        <v>792</v>
      </c>
      <c r="C34" s="230"/>
      <c r="D34" s="230"/>
      <c r="E34" s="231"/>
      <c r="F34" s="24"/>
      <c r="R34" s="1"/>
      <c r="W34" s="37"/>
      <c r="X34" s="1"/>
    </row>
    <row r="35" spans="2:24" ht="28.8" x14ac:dyDescent="0.3">
      <c r="B35" s="142" t="s">
        <v>782</v>
      </c>
      <c r="C35" s="78" t="s">
        <v>759</v>
      </c>
      <c r="D35" s="65" t="s">
        <v>752</v>
      </c>
      <c r="E35" s="79" t="s">
        <v>783</v>
      </c>
      <c r="F35" s="66"/>
      <c r="R35" s="1"/>
      <c r="W35" s="37"/>
      <c r="X35" s="1"/>
    </row>
    <row r="36" spans="2:24" x14ac:dyDescent="0.3">
      <c r="B36" s="4" t="s">
        <v>784</v>
      </c>
      <c r="C36" s="69">
        <v>0</v>
      </c>
      <c r="D36" s="5">
        <v>0</v>
      </c>
      <c r="E36" s="76">
        <v>0</v>
      </c>
      <c r="F36" s="5"/>
      <c r="R36" s="1"/>
      <c r="W36" s="37"/>
      <c r="X36" s="1"/>
    </row>
    <row r="37" spans="2:24" x14ac:dyDescent="0.3">
      <c r="B37" s="4" t="s">
        <v>765</v>
      </c>
      <c r="C37" s="69">
        <v>0</v>
      </c>
      <c r="D37" s="5">
        <v>0</v>
      </c>
      <c r="E37" s="76">
        <v>0</v>
      </c>
      <c r="F37" s="5"/>
      <c r="R37" s="1"/>
      <c r="W37" s="37"/>
      <c r="X37" s="1"/>
    </row>
    <row r="38" spans="2:24" x14ac:dyDescent="0.3">
      <c r="B38" s="4" t="s">
        <v>785</v>
      </c>
      <c r="C38" s="69">
        <v>0</v>
      </c>
      <c r="D38" s="5">
        <v>0</v>
      </c>
      <c r="E38" s="76">
        <v>0</v>
      </c>
      <c r="F38" s="5"/>
      <c r="R38" s="1"/>
      <c r="W38" s="37"/>
      <c r="X38" s="1"/>
    </row>
    <row r="39" spans="2:24" x14ac:dyDescent="0.3">
      <c r="B39" s="4" t="s">
        <v>766</v>
      </c>
      <c r="C39" s="69">
        <v>0</v>
      </c>
      <c r="D39" s="5">
        <v>0</v>
      </c>
      <c r="E39" s="76">
        <v>0</v>
      </c>
      <c r="F39" s="5"/>
      <c r="R39" s="1"/>
      <c r="W39" s="37"/>
      <c r="X39" s="1"/>
    </row>
    <row r="40" spans="2:24" x14ac:dyDescent="0.3">
      <c r="B40" s="4" t="s">
        <v>772</v>
      </c>
      <c r="C40" s="69">
        <v>0</v>
      </c>
      <c r="D40" s="5">
        <v>0</v>
      </c>
      <c r="E40" s="76">
        <v>0</v>
      </c>
      <c r="F40" s="5"/>
      <c r="R40" s="1"/>
      <c r="W40" s="37"/>
      <c r="X40" s="1"/>
    </row>
    <row r="41" spans="2:24" x14ac:dyDescent="0.3">
      <c r="B41" s="4" t="s">
        <v>770</v>
      </c>
      <c r="C41" s="69">
        <v>0</v>
      </c>
      <c r="D41" s="5">
        <v>0</v>
      </c>
      <c r="E41" s="76">
        <v>0</v>
      </c>
      <c r="F41" s="5"/>
      <c r="R41" s="1"/>
      <c r="W41" s="37"/>
      <c r="X41" s="1"/>
    </row>
    <row r="42" spans="2:24" x14ac:dyDescent="0.3">
      <c r="B42" s="4" t="s">
        <v>764</v>
      </c>
      <c r="C42" s="69">
        <v>0</v>
      </c>
      <c r="D42" s="5">
        <v>0</v>
      </c>
      <c r="E42" s="76">
        <v>0</v>
      </c>
      <c r="F42" s="5"/>
      <c r="R42" s="1"/>
      <c r="W42" s="37"/>
      <c r="X42" s="1"/>
    </row>
    <row r="43" spans="2:24" x14ac:dyDescent="0.3">
      <c r="B43" s="4" t="s">
        <v>768</v>
      </c>
      <c r="C43" s="69">
        <v>0</v>
      </c>
      <c r="D43" s="5">
        <v>0</v>
      </c>
      <c r="E43" s="76">
        <v>0</v>
      </c>
      <c r="F43" s="5"/>
      <c r="R43" s="1"/>
      <c r="W43" s="37"/>
      <c r="X43" s="1"/>
    </row>
    <row r="44" spans="2:24" x14ac:dyDescent="0.3">
      <c r="B44" s="4" t="s">
        <v>786</v>
      </c>
      <c r="C44" s="69">
        <v>0</v>
      </c>
      <c r="D44" s="5">
        <v>0</v>
      </c>
      <c r="E44" s="76">
        <v>0</v>
      </c>
      <c r="F44" s="5"/>
      <c r="R44" s="1"/>
      <c r="W44" s="37"/>
      <c r="X44" s="1"/>
    </row>
    <row r="45" spans="2:24" x14ac:dyDescent="0.3">
      <c r="B45" s="4" t="s">
        <v>787</v>
      </c>
      <c r="C45" s="69">
        <v>0</v>
      </c>
      <c r="D45" s="5">
        <v>0</v>
      </c>
      <c r="E45" s="76">
        <v>0</v>
      </c>
      <c r="F45" s="5"/>
      <c r="R45" s="1"/>
      <c r="W45" s="37"/>
      <c r="X45" s="1"/>
    </row>
    <row r="46" spans="2:24" x14ac:dyDescent="0.3">
      <c r="B46" s="4" t="s">
        <v>771</v>
      </c>
      <c r="C46" s="69">
        <v>0</v>
      </c>
      <c r="D46" s="5">
        <v>0</v>
      </c>
      <c r="E46" s="76">
        <v>0</v>
      </c>
      <c r="F46" s="5"/>
      <c r="R46" s="1"/>
      <c r="W46" s="37"/>
      <c r="X46" s="1"/>
    </row>
    <row r="47" spans="2:24" x14ac:dyDescent="0.3">
      <c r="B47" s="4" t="s">
        <v>788</v>
      </c>
      <c r="C47" s="69">
        <v>0</v>
      </c>
      <c r="D47" s="5">
        <v>0</v>
      </c>
      <c r="E47" s="76">
        <v>0</v>
      </c>
      <c r="F47" s="5"/>
      <c r="R47" s="1"/>
      <c r="W47" s="37"/>
      <c r="X47" s="1"/>
    </row>
    <row r="48" spans="2:24" x14ac:dyDescent="0.3">
      <c r="B48" s="4" t="s">
        <v>789</v>
      </c>
      <c r="C48" s="69">
        <v>0</v>
      </c>
      <c r="D48" s="5">
        <v>0</v>
      </c>
      <c r="E48" s="76">
        <v>0</v>
      </c>
      <c r="F48" s="5"/>
      <c r="R48" s="1"/>
      <c r="W48" s="37"/>
      <c r="X48" s="1"/>
    </row>
    <row r="49" spans="2:24" x14ac:dyDescent="0.3">
      <c r="B49" s="4" t="s">
        <v>763</v>
      </c>
      <c r="C49" s="69">
        <v>0</v>
      </c>
      <c r="D49" s="5">
        <v>0</v>
      </c>
      <c r="E49" s="76">
        <v>0</v>
      </c>
      <c r="F49" s="5"/>
      <c r="R49" s="1"/>
      <c r="W49" s="37"/>
      <c r="X49" s="1"/>
    </row>
    <row r="50" spans="2:24" x14ac:dyDescent="0.3">
      <c r="B50" s="4" t="s">
        <v>767</v>
      </c>
      <c r="C50" s="69">
        <v>0</v>
      </c>
      <c r="D50" s="5">
        <v>0</v>
      </c>
      <c r="E50" s="76">
        <v>0</v>
      </c>
      <c r="F50" s="5"/>
      <c r="R50" s="1"/>
      <c r="W50" s="37"/>
      <c r="X50" s="1"/>
    </row>
    <row r="51" spans="2:24" x14ac:dyDescent="0.3">
      <c r="B51" s="4" t="s">
        <v>790</v>
      </c>
      <c r="C51" s="69">
        <v>0</v>
      </c>
      <c r="D51" s="5">
        <v>0</v>
      </c>
      <c r="E51" s="76">
        <v>0</v>
      </c>
      <c r="F51" s="5"/>
      <c r="R51" s="1"/>
      <c r="X51" s="1"/>
    </row>
    <row r="52" spans="2:24" x14ac:dyDescent="0.3">
      <c r="B52" s="4" t="s">
        <v>791</v>
      </c>
      <c r="C52" s="69">
        <v>0</v>
      </c>
      <c r="D52" s="5">
        <v>0</v>
      </c>
      <c r="E52" s="76">
        <v>0</v>
      </c>
      <c r="F52" s="5"/>
      <c r="R52" s="1"/>
      <c r="X52" s="1"/>
    </row>
    <row r="53" spans="2:24" ht="15" thickBot="1" x14ac:dyDescent="0.35">
      <c r="B53" s="13" t="s">
        <v>769</v>
      </c>
      <c r="C53" s="75">
        <v>0</v>
      </c>
      <c r="D53" s="17">
        <v>0</v>
      </c>
      <c r="E53" s="77">
        <v>0</v>
      </c>
      <c r="F53" s="5"/>
      <c r="R53" s="1"/>
      <c r="X53" s="1"/>
    </row>
    <row r="54" spans="2:24" x14ac:dyDescent="0.3">
      <c r="X54" s="1"/>
    </row>
    <row r="55" spans="2:24" ht="15" thickBot="1" x14ac:dyDescent="0.35">
      <c r="C55" s="1"/>
      <c r="D55" s="1"/>
      <c r="E55" s="1"/>
      <c r="F55" s="1"/>
      <c r="G55" s="1"/>
      <c r="H55" s="1"/>
      <c r="I55" s="1"/>
      <c r="J55" s="1"/>
      <c r="K55" s="1"/>
      <c r="L55" s="1"/>
      <c r="M55" s="1"/>
      <c r="N55" s="1"/>
      <c r="O55" s="1"/>
      <c r="P55" s="1"/>
      <c r="Q55" s="1"/>
      <c r="R55" s="1"/>
    </row>
    <row r="56" spans="2:24" ht="15" thickBot="1" x14ac:dyDescent="0.35">
      <c r="B56" s="237" t="s">
        <v>823</v>
      </c>
      <c r="C56" s="238"/>
    </row>
    <row r="57" spans="2:24" x14ac:dyDescent="0.3">
      <c r="B57" s="81"/>
      <c r="C57" s="82" t="s">
        <v>827</v>
      </c>
    </row>
    <row r="58" spans="2:24" x14ac:dyDescent="0.3">
      <c r="B58" s="4" t="s">
        <v>824</v>
      </c>
      <c r="C58" s="123">
        <v>0</v>
      </c>
    </row>
    <row r="59" spans="2:24" x14ac:dyDescent="0.3">
      <c r="B59" s="4" t="s">
        <v>825</v>
      </c>
      <c r="C59" s="123">
        <v>0</v>
      </c>
    </row>
    <row r="60" spans="2:24" ht="15" thickBot="1" x14ac:dyDescent="0.35">
      <c r="B60" s="13" t="s">
        <v>826</v>
      </c>
      <c r="C60" s="124">
        <v>0</v>
      </c>
    </row>
    <row r="72" spans="3:18" x14ac:dyDescent="0.3">
      <c r="C72" s="2"/>
    </row>
    <row r="73" spans="3:18" x14ac:dyDescent="0.3">
      <c r="C73" s="10"/>
      <c r="D73" s="27"/>
      <c r="E73" s="27"/>
      <c r="F73" s="27"/>
      <c r="G73" s="27"/>
      <c r="H73" s="27"/>
      <c r="I73" s="27"/>
      <c r="J73" s="27"/>
      <c r="K73" s="27"/>
      <c r="L73" s="27"/>
      <c r="M73" s="27"/>
      <c r="N73" s="27"/>
      <c r="O73" s="27"/>
      <c r="P73" s="27"/>
      <c r="Q73" s="27"/>
      <c r="R73" s="27"/>
    </row>
    <row r="74" spans="3:18" x14ac:dyDescent="0.3">
      <c r="C74" s="12"/>
    </row>
    <row r="75" spans="3:18" x14ac:dyDescent="0.3">
      <c r="C75" s="12"/>
      <c r="D75" s="12"/>
      <c r="E75" s="12"/>
      <c r="F75" s="12"/>
      <c r="G75" s="12"/>
      <c r="H75" s="12"/>
      <c r="I75" s="12"/>
      <c r="J75" s="12"/>
      <c r="K75" s="12"/>
      <c r="L75" s="12"/>
      <c r="M75" s="12"/>
      <c r="N75" s="12"/>
      <c r="O75" s="12"/>
      <c r="P75" s="12"/>
      <c r="Q75" s="12"/>
      <c r="R75" s="12"/>
    </row>
    <row r="76" spans="3:18" x14ac:dyDescent="0.3">
      <c r="C76" s="1"/>
      <c r="D76" s="1"/>
      <c r="E76" s="1"/>
      <c r="F76" s="1"/>
      <c r="G76" s="1"/>
      <c r="H76" s="1"/>
      <c r="I76" s="1"/>
      <c r="J76" s="1"/>
      <c r="K76" s="1"/>
      <c r="L76" s="1"/>
      <c r="M76" s="1"/>
      <c r="N76" s="1"/>
      <c r="O76" s="1"/>
      <c r="P76" s="1"/>
      <c r="Q76" s="1"/>
      <c r="R76" s="1"/>
    </row>
    <row r="77" spans="3:18" x14ac:dyDescent="0.3">
      <c r="C77" s="1"/>
      <c r="D77" s="1"/>
      <c r="E77" s="1"/>
      <c r="F77" s="1"/>
      <c r="G77" s="1"/>
      <c r="H77" s="1"/>
      <c r="I77" s="1"/>
      <c r="J77" s="1"/>
      <c r="K77" s="1"/>
      <c r="L77" s="1"/>
      <c r="M77" s="1"/>
      <c r="N77" s="1"/>
      <c r="O77" s="1"/>
      <c r="P77" s="1"/>
      <c r="Q77" s="1"/>
      <c r="R77" s="1"/>
    </row>
    <row r="78" spans="3:18" x14ac:dyDescent="0.3">
      <c r="C78" s="1"/>
      <c r="D78" s="1"/>
      <c r="E78" s="1"/>
      <c r="F78" s="1"/>
      <c r="G78" s="1"/>
      <c r="H78" s="1"/>
      <c r="I78" s="1"/>
      <c r="J78" s="1"/>
      <c r="K78" s="1"/>
      <c r="L78" s="1"/>
      <c r="M78" s="1"/>
      <c r="N78" s="1"/>
      <c r="O78" s="1"/>
      <c r="P78" s="1"/>
      <c r="Q78" s="1"/>
      <c r="R78" s="1"/>
    </row>
    <row r="79" spans="3:18" x14ac:dyDescent="0.3">
      <c r="C79" s="1"/>
      <c r="D79" s="1"/>
      <c r="E79" s="1"/>
      <c r="F79" s="1"/>
      <c r="G79" s="1"/>
      <c r="H79" s="1"/>
      <c r="I79" s="1"/>
      <c r="J79" s="1"/>
      <c r="K79" s="1"/>
      <c r="L79" s="1"/>
      <c r="M79" s="1"/>
      <c r="N79" s="1"/>
      <c r="O79" s="1"/>
      <c r="P79" s="1"/>
      <c r="Q79" s="1"/>
      <c r="R79" s="1"/>
    </row>
    <row r="80" spans="3:18" x14ac:dyDescent="0.3">
      <c r="C80" s="1"/>
      <c r="D80" s="1"/>
      <c r="E80" s="1"/>
      <c r="F80" s="1"/>
      <c r="G80" s="1"/>
      <c r="H80" s="1"/>
      <c r="I80" s="1"/>
      <c r="J80" s="1"/>
      <c r="K80" s="1"/>
      <c r="L80" s="1"/>
      <c r="M80" s="1"/>
      <c r="N80" s="1"/>
      <c r="O80" s="1"/>
      <c r="P80" s="1"/>
      <c r="Q80" s="1"/>
      <c r="R80" s="1"/>
    </row>
    <row r="81" spans="2:18" x14ac:dyDescent="0.3">
      <c r="C81" s="1"/>
      <c r="D81" s="1"/>
      <c r="E81" s="1"/>
      <c r="F81" s="1"/>
      <c r="G81" s="1"/>
      <c r="H81" s="1"/>
      <c r="I81" s="1"/>
      <c r="J81" s="1"/>
      <c r="K81" s="1"/>
      <c r="L81" s="1"/>
      <c r="M81" s="1"/>
      <c r="N81" s="1"/>
      <c r="O81" s="1"/>
      <c r="P81" s="1"/>
      <c r="Q81" s="1"/>
      <c r="R81" s="1"/>
    </row>
    <row r="82" spans="2:18" x14ac:dyDescent="0.3">
      <c r="C82" s="1"/>
      <c r="D82" s="1"/>
      <c r="E82" s="1"/>
      <c r="F82" s="1"/>
      <c r="G82" s="1"/>
      <c r="H82" s="1"/>
      <c r="I82" s="1"/>
      <c r="J82" s="1"/>
      <c r="K82" s="1"/>
      <c r="L82" s="1"/>
      <c r="M82" s="1"/>
      <c r="N82" s="1"/>
      <c r="O82" s="1"/>
      <c r="P82" s="1"/>
      <c r="Q82" s="1"/>
      <c r="R82" s="1"/>
    </row>
    <row r="83" spans="2:18" x14ac:dyDescent="0.3">
      <c r="C83" s="1"/>
      <c r="D83" s="1"/>
      <c r="E83" s="1"/>
      <c r="F83" s="1"/>
      <c r="G83" s="1"/>
      <c r="H83" s="1"/>
      <c r="I83" s="1"/>
      <c r="J83" s="1"/>
      <c r="K83" s="1"/>
      <c r="L83" s="1"/>
      <c r="M83" s="1"/>
      <c r="N83" s="1"/>
      <c r="O83" s="1"/>
      <c r="P83" s="1"/>
      <c r="Q83" s="1"/>
      <c r="R83" s="1"/>
    </row>
    <row r="84" spans="2:18" x14ac:dyDescent="0.3">
      <c r="C84" s="1"/>
      <c r="D84" s="1"/>
      <c r="E84" s="1"/>
      <c r="F84" s="1"/>
      <c r="G84" s="1"/>
      <c r="H84" s="1"/>
      <c r="I84" s="1"/>
      <c r="J84" s="1"/>
      <c r="K84" s="1"/>
      <c r="L84" s="1"/>
      <c r="M84" s="1"/>
      <c r="N84" s="1"/>
      <c r="O84" s="1"/>
      <c r="P84" s="1"/>
      <c r="Q84" s="1"/>
      <c r="R84" s="1"/>
    </row>
    <row r="85" spans="2:18" x14ac:dyDescent="0.3">
      <c r="C85" s="1"/>
      <c r="D85" s="1"/>
      <c r="E85" s="1"/>
      <c r="F85" s="1"/>
      <c r="G85" s="1"/>
      <c r="H85" s="1"/>
      <c r="I85" s="1"/>
      <c r="J85" s="1"/>
      <c r="K85" s="1"/>
      <c r="L85" s="1"/>
      <c r="M85" s="1"/>
      <c r="N85" s="1"/>
      <c r="O85" s="1"/>
      <c r="P85" s="1"/>
      <c r="Q85" s="1"/>
      <c r="R85" s="1"/>
    </row>
    <row r="86" spans="2:18" x14ac:dyDescent="0.3">
      <c r="C86" s="1"/>
      <c r="D86" s="1"/>
      <c r="E86" s="1"/>
      <c r="F86" s="1"/>
      <c r="G86" s="1"/>
      <c r="H86" s="1"/>
      <c r="I86" s="1"/>
      <c r="J86" s="1"/>
      <c r="K86" s="1"/>
      <c r="L86" s="1"/>
      <c r="M86" s="1"/>
      <c r="N86" s="1"/>
      <c r="O86" s="1"/>
      <c r="P86" s="1"/>
      <c r="Q86" s="1"/>
      <c r="R86" s="1"/>
    </row>
    <row r="87" spans="2:18" x14ac:dyDescent="0.3">
      <c r="C87" s="1"/>
      <c r="D87" s="1"/>
      <c r="E87" s="1"/>
      <c r="F87" s="1"/>
      <c r="G87" s="1"/>
      <c r="H87" s="1"/>
      <c r="I87" s="1"/>
      <c r="J87" s="1"/>
      <c r="K87" s="1"/>
      <c r="L87" s="1"/>
      <c r="M87" s="1"/>
      <c r="N87" s="1"/>
      <c r="O87" s="1"/>
      <c r="P87" s="1"/>
      <c r="Q87" s="1"/>
      <c r="R87" s="1"/>
    </row>
    <row r="88" spans="2:18" x14ac:dyDescent="0.3">
      <c r="C88" s="1"/>
      <c r="D88" s="1"/>
      <c r="E88" s="1"/>
      <c r="F88" s="1"/>
      <c r="G88" s="1"/>
      <c r="H88" s="1"/>
      <c r="I88" s="1"/>
      <c r="J88" s="1"/>
      <c r="K88" s="1"/>
      <c r="L88" s="1"/>
      <c r="M88" s="1"/>
      <c r="N88" s="1"/>
      <c r="O88" s="1"/>
      <c r="P88" s="1"/>
      <c r="Q88" s="1"/>
      <c r="R88" s="1"/>
    </row>
    <row r="95" spans="2:18" x14ac:dyDescent="0.3">
      <c r="B95" s="14"/>
    </row>
  </sheetData>
  <mergeCells count="12">
    <mergeCell ref="M28:N29"/>
    <mergeCell ref="B2:D2"/>
    <mergeCell ref="B15:D15"/>
    <mergeCell ref="F27:N27"/>
    <mergeCell ref="C28:C29"/>
    <mergeCell ref="D28:E29"/>
    <mergeCell ref="F28:F29"/>
    <mergeCell ref="B56:C56"/>
    <mergeCell ref="B34:E34"/>
    <mergeCell ref="G28:G29"/>
    <mergeCell ref="J28:K29"/>
    <mergeCell ref="L28:L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4" x14ac:dyDescent="0.3"/>
  <cols>
    <col min="1" max="1" width="12" bestFit="1" customWidth="1"/>
    <col min="2" max="2" width="11.6640625" bestFit="1" customWidth="1"/>
    <col min="3" max="3" width="17.88671875" bestFit="1" customWidth="1"/>
    <col min="4" max="4" width="15.33203125" bestFit="1" customWidth="1"/>
    <col min="5" max="5" width="21.5546875" bestFit="1" customWidth="1"/>
    <col min="6" max="6" width="10.44140625" bestFit="1" customWidth="1"/>
    <col min="7" max="7" width="24.88671875" bestFit="1" customWidth="1"/>
    <col min="8" max="8" width="36.88671875" bestFit="1" customWidth="1"/>
  </cols>
  <sheetData>
    <row r="1" spans="1:8" x14ac:dyDescent="0.3">
      <c r="A1" t="s">
        <v>760</v>
      </c>
      <c r="B1" t="s">
        <v>761</v>
      </c>
      <c r="C1" t="s">
        <v>1</v>
      </c>
      <c r="D1" t="s">
        <v>2</v>
      </c>
      <c r="E1" t="s">
        <v>762</v>
      </c>
      <c r="F1" t="s">
        <v>793</v>
      </c>
      <c r="G1" t="s">
        <v>794</v>
      </c>
      <c r="H1" t="s">
        <v>795</v>
      </c>
    </row>
    <row r="2" spans="1:8" x14ac:dyDescent="0.3">
      <c r="A2">
        <v>1</v>
      </c>
      <c r="B2" s="46" t="s">
        <v>757</v>
      </c>
      <c r="C2" s="46"/>
      <c r="E2" t="s">
        <v>763</v>
      </c>
      <c r="F2" s="46">
        <v>0.3833333333333333</v>
      </c>
      <c r="G2" s="46">
        <v>0.51111111111111118</v>
      </c>
      <c r="H2" t="s">
        <v>796</v>
      </c>
    </row>
    <row r="3" spans="1:8" x14ac:dyDescent="0.3">
      <c r="A3">
        <v>2</v>
      </c>
      <c r="B3" s="46" t="s">
        <v>757</v>
      </c>
      <c r="E3" t="s">
        <v>764</v>
      </c>
      <c r="F3" s="46">
        <v>0.43541666666666662</v>
      </c>
    </row>
    <row r="4" spans="1:8" x14ac:dyDescent="0.3">
      <c r="A4">
        <v>3</v>
      </c>
      <c r="B4" s="46" t="s">
        <v>757</v>
      </c>
      <c r="C4" s="46"/>
      <c r="E4" t="s">
        <v>764</v>
      </c>
      <c r="F4" s="46">
        <v>0.44305555555555554</v>
      </c>
      <c r="G4" s="46">
        <v>0.50208333333333333</v>
      </c>
      <c r="H4" t="s">
        <v>797</v>
      </c>
    </row>
    <row r="5" spans="1:8" x14ac:dyDescent="0.3">
      <c r="A5">
        <v>4</v>
      </c>
      <c r="B5" s="46" t="s">
        <v>757</v>
      </c>
      <c r="C5" s="46"/>
      <c r="E5" t="s">
        <v>765</v>
      </c>
      <c r="F5" s="46">
        <v>0.45277777777777778</v>
      </c>
      <c r="G5" s="46">
        <v>0.5395833333333333</v>
      </c>
      <c r="H5" t="s">
        <v>798</v>
      </c>
    </row>
    <row r="6" spans="1:8" x14ac:dyDescent="0.3">
      <c r="A6">
        <v>5</v>
      </c>
      <c r="B6" s="46" t="s">
        <v>757</v>
      </c>
      <c r="C6" s="46"/>
      <c r="E6" t="s">
        <v>766</v>
      </c>
      <c r="F6" s="46">
        <v>0.45347222222222222</v>
      </c>
      <c r="G6" s="46">
        <v>0.54861111111111105</v>
      </c>
      <c r="H6" t="s">
        <v>799</v>
      </c>
    </row>
    <row r="7" spans="1:8" x14ac:dyDescent="0.3">
      <c r="A7">
        <v>6</v>
      </c>
      <c r="B7" s="46" t="s">
        <v>757</v>
      </c>
      <c r="C7" s="46"/>
      <c r="E7" t="s">
        <v>767</v>
      </c>
      <c r="F7" s="46">
        <v>0.46458333333333335</v>
      </c>
      <c r="G7" s="46">
        <v>0.5541666666666667</v>
      </c>
      <c r="H7" t="s">
        <v>800</v>
      </c>
    </row>
    <row r="8" spans="1:8" x14ac:dyDescent="0.3">
      <c r="A8">
        <v>7</v>
      </c>
      <c r="B8" s="46" t="s">
        <v>757</v>
      </c>
      <c r="C8" s="46"/>
      <c r="E8" t="s">
        <v>764</v>
      </c>
      <c r="F8" s="46">
        <v>0.54652777777777783</v>
      </c>
      <c r="G8" s="46">
        <v>0.59305555555555556</v>
      </c>
      <c r="H8" t="s">
        <v>801</v>
      </c>
    </row>
    <row r="9" spans="1:8" x14ac:dyDescent="0.3">
      <c r="A9">
        <v>8</v>
      </c>
      <c r="B9" s="46" t="s">
        <v>757</v>
      </c>
      <c r="C9" s="46"/>
      <c r="E9" t="s">
        <v>767</v>
      </c>
      <c r="F9" s="46">
        <v>0.54652777777777783</v>
      </c>
      <c r="G9" s="46">
        <v>0.61805555555555558</v>
      </c>
      <c r="H9" t="s">
        <v>802</v>
      </c>
    </row>
    <row r="10" spans="1:8" x14ac:dyDescent="0.3">
      <c r="A10">
        <v>9</v>
      </c>
      <c r="B10" s="46" t="s">
        <v>757</v>
      </c>
      <c r="C10" s="46"/>
      <c r="E10" t="s">
        <v>764</v>
      </c>
      <c r="F10" s="46">
        <v>0.5083333333333333</v>
      </c>
      <c r="G10" s="46">
        <v>0.5854166666666667</v>
      </c>
      <c r="H10" t="s">
        <v>803</v>
      </c>
    </row>
    <row r="11" spans="1:8" x14ac:dyDescent="0.3">
      <c r="A11">
        <v>10</v>
      </c>
      <c r="B11" s="46" t="s">
        <v>757</v>
      </c>
      <c r="C11" s="46"/>
      <c r="E11" t="s">
        <v>763</v>
      </c>
      <c r="F11" s="46">
        <v>0.52708333333333335</v>
      </c>
      <c r="G11" s="46">
        <v>0.6</v>
      </c>
      <c r="H11" t="s">
        <v>804</v>
      </c>
    </row>
    <row r="12" spans="1:8" x14ac:dyDescent="0.3">
      <c r="A12">
        <v>11</v>
      </c>
      <c r="B12" s="46" t="s">
        <v>757</v>
      </c>
      <c r="C12" s="46"/>
      <c r="E12" t="s">
        <v>766</v>
      </c>
      <c r="F12" s="46">
        <v>0.37708333333333338</v>
      </c>
      <c r="G12" s="46">
        <v>0.48055555555555557</v>
      </c>
      <c r="H12" t="s">
        <v>805</v>
      </c>
    </row>
    <row r="13" spans="1:8" x14ac:dyDescent="0.3">
      <c r="A13">
        <v>12</v>
      </c>
      <c r="B13" s="46" t="s">
        <v>757</v>
      </c>
      <c r="C13" s="46"/>
      <c r="E13" t="s">
        <v>767</v>
      </c>
      <c r="F13" s="46">
        <v>0.40416666666666662</v>
      </c>
      <c r="G13" s="46">
        <v>0.50138888888888888</v>
      </c>
      <c r="H13" t="s">
        <v>806</v>
      </c>
    </row>
    <row r="14" spans="1:8" x14ac:dyDescent="0.3">
      <c r="A14">
        <v>13</v>
      </c>
      <c r="B14" s="46" t="s">
        <v>757</v>
      </c>
      <c r="C14" s="46"/>
      <c r="E14" t="s">
        <v>767</v>
      </c>
      <c r="F14" s="46">
        <v>0.43402777777777773</v>
      </c>
      <c r="G14" s="46">
        <v>0.53541666666666665</v>
      </c>
      <c r="H14" t="s">
        <v>807</v>
      </c>
    </row>
    <row r="15" spans="1:8" x14ac:dyDescent="0.3">
      <c r="A15">
        <v>14</v>
      </c>
      <c r="B15" s="46" t="s">
        <v>757</v>
      </c>
      <c r="E15" t="s">
        <v>764</v>
      </c>
      <c r="F15" s="46">
        <v>0.44513888888888892</v>
      </c>
    </row>
    <row r="16" spans="1:8" x14ac:dyDescent="0.3">
      <c r="A16">
        <v>15</v>
      </c>
      <c r="B16" s="46" t="s">
        <v>757</v>
      </c>
      <c r="E16" t="s">
        <v>764</v>
      </c>
      <c r="F16" s="46">
        <v>0.47500000000000003</v>
      </c>
    </row>
    <row r="17" spans="1:8" x14ac:dyDescent="0.3">
      <c r="A17">
        <v>16</v>
      </c>
      <c r="B17" s="46" t="s">
        <v>757</v>
      </c>
      <c r="E17" t="s">
        <v>768</v>
      </c>
      <c r="F17" s="46">
        <v>0.36458333333333331</v>
      </c>
    </row>
    <row r="18" spans="1:8" x14ac:dyDescent="0.3">
      <c r="A18">
        <v>17</v>
      </c>
      <c r="B18" s="46" t="s">
        <v>757</v>
      </c>
      <c r="C18" s="46"/>
      <c r="E18" t="s">
        <v>768</v>
      </c>
      <c r="F18" s="46">
        <v>0.42152777777777778</v>
      </c>
      <c r="G18" s="46">
        <v>0.51041666666666663</v>
      </c>
      <c r="H18" t="s">
        <v>808</v>
      </c>
    </row>
    <row r="19" spans="1:8" x14ac:dyDescent="0.3">
      <c r="A19">
        <v>18</v>
      </c>
      <c r="B19" s="46" t="s">
        <v>757</v>
      </c>
      <c r="E19" t="s">
        <v>769</v>
      </c>
      <c r="F19" s="46">
        <v>0.45902777777777781</v>
      </c>
    </row>
    <row r="20" spans="1:8" x14ac:dyDescent="0.3">
      <c r="A20">
        <v>19</v>
      </c>
      <c r="B20" s="46" t="s">
        <v>757</v>
      </c>
      <c r="E20" t="s">
        <v>764</v>
      </c>
      <c r="F20" s="46">
        <v>0.46319444444444446</v>
      </c>
    </row>
    <row r="21" spans="1:8" x14ac:dyDescent="0.3">
      <c r="A21">
        <v>20</v>
      </c>
      <c r="B21" s="46" t="s">
        <v>757</v>
      </c>
      <c r="E21" t="s">
        <v>770</v>
      </c>
      <c r="F21" s="46">
        <v>0.64583333333333337</v>
      </c>
      <c r="G21" s="46">
        <v>0.63888888888888895</v>
      </c>
      <c r="H21" t="s">
        <v>844</v>
      </c>
    </row>
    <row r="22" spans="1:8" x14ac:dyDescent="0.3">
      <c r="A22">
        <v>21</v>
      </c>
      <c r="B22" s="46" t="s">
        <v>757</v>
      </c>
      <c r="C22" s="46"/>
      <c r="E22" t="s">
        <v>770</v>
      </c>
      <c r="F22" s="46">
        <v>0.36874999999999997</v>
      </c>
      <c r="G22" s="46">
        <v>0.43402777777777773</v>
      </c>
      <c r="H22" t="s">
        <v>809</v>
      </c>
    </row>
    <row r="23" spans="1:8" x14ac:dyDescent="0.3">
      <c r="A23">
        <v>22</v>
      </c>
      <c r="B23" s="46" t="s">
        <v>757</v>
      </c>
      <c r="C23" s="46"/>
      <c r="E23" t="s">
        <v>766</v>
      </c>
      <c r="F23" s="46">
        <v>0.3888888888888889</v>
      </c>
      <c r="G23" s="46">
        <v>0.47361111111111115</v>
      </c>
      <c r="H23" t="s">
        <v>810</v>
      </c>
    </row>
    <row r="24" spans="1:8" x14ac:dyDescent="0.3">
      <c r="A24">
        <v>23</v>
      </c>
      <c r="B24" s="46" t="s">
        <v>757</v>
      </c>
      <c r="C24" s="46"/>
      <c r="E24" t="s">
        <v>771</v>
      </c>
      <c r="F24" s="46">
        <v>0.3972222222222222</v>
      </c>
      <c r="G24" s="46">
        <v>0.47083333333333338</v>
      </c>
      <c r="H24" t="s">
        <v>811</v>
      </c>
    </row>
    <row r="25" spans="1:8" x14ac:dyDescent="0.3">
      <c r="A25">
        <v>24</v>
      </c>
      <c r="B25" s="46" t="s">
        <v>757</v>
      </c>
      <c r="C25" s="46"/>
      <c r="E25" t="s">
        <v>772</v>
      </c>
      <c r="F25" s="46">
        <v>0.40625</v>
      </c>
      <c r="G25" s="46">
        <v>0.5083333333333333</v>
      </c>
      <c r="H25" t="s">
        <v>812</v>
      </c>
    </row>
    <row r="26" spans="1:8" x14ac:dyDescent="0.3">
      <c r="A26">
        <v>25</v>
      </c>
      <c r="B26" s="46" t="s">
        <v>757</v>
      </c>
      <c r="C26" s="46"/>
      <c r="E26" t="s">
        <v>765</v>
      </c>
      <c r="F26" s="46">
        <v>0.43958333333333338</v>
      </c>
      <c r="G26" s="46">
        <v>0.54999999999999993</v>
      </c>
      <c r="H26" t="s">
        <v>813</v>
      </c>
    </row>
    <row r="27" spans="1:8" x14ac:dyDescent="0.3">
      <c r="A27">
        <v>26</v>
      </c>
      <c r="B27" s="46" t="s">
        <v>757</v>
      </c>
      <c r="C27" s="46"/>
      <c r="E27" t="s">
        <v>763</v>
      </c>
      <c r="F27" s="46">
        <v>0.47916666666666669</v>
      </c>
      <c r="G27" s="46">
        <v>0.56944444444444442</v>
      </c>
      <c r="H27" t="s">
        <v>814</v>
      </c>
    </row>
    <row r="28" spans="1:8" x14ac:dyDescent="0.3">
      <c r="A28">
        <v>27</v>
      </c>
      <c r="B28" s="46" t="s">
        <v>757</v>
      </c>
      <c r="E28" t="s">
        <v>764</v>
      </c>
      <c r="F28" s="46">
        <v>0.49305555555555558</v>
      </c>
    </row>
    <row r="29" spans="1:8" x14ac:dyDescent="0.3">
      <c r="A29">
        <v>28</v>
      </c>
      <c r="B29" s="46" t="s">
        <v>757</v>
      </c>
      <c r="E29" t="s">
        <v>768</v>
      </c>
      <c r="F29" s="46">
        <v>0.52777777777777779</v>
      </c>
    </row>
    <row r="30" spans="1:8" x14ac:dyDescent="0.3">
      <c r="A30">
        <v>29</v>
      </c>
      <c r="B30" s="46" t="s">
        <v>757</v>
      </c>
      <c r="C30" s="46"/>
      <c r="E30" t="s">
        <v>771</v>
      </c>
      <c r="F30" s="46">
        <v>0.56041666666666667</v>
      </c>
      <c r="G30" s="46">
        <v>0.62847222222222221</v>
      </c>
      <c r="H30" t="s">
        <v>815</v>
      </c>
    </row>
    <row r="31" spans="1:8" x14ac:dyDescent="0.3">
      <c r="A31">
        <v>30</v>
      </c>
      <c r="B31" s="46" t="s">
        <v>757</v>
      </c>
      <c r="E31" t="s">
        <v>768</v>
      </c>
      <c r="F31" s="46">
        <v>0.36805555555555558</v>
      </c>
    </row>
    <row r="32" spans="1:8" x14ac:dyDescent="0.3">
      <c r="A32">
        <v>31</v>
      </c>
      <c r="B32" s="46" t="s">
        <v>757</v>
      </c>
      <c r="C32" s="46"/>
      <c r="E32" t="s">
        <v>765</v>
      </c>
      <c r="F32" s="46">
        <v>0.40972222222222227</v>
      </c>
      <c r="G32" s="46">
        <v>0.46597222222222223</v>
      </c>
      <c r="H32" t="s">
        <v>816</v>
      </c>
    </row>
    <row r="33" spans="1:8" x14ac:dyDescent="0.3">
      <c r="A33">
        <v>32</v>
      </c>
      <c r="B33" s="46" t="s">
        <v>757</v>
      </c>
      <c r="C33" s="46"/>
      <c r="E33" t="s">
        <v>765</v>
      </c>
      <c r="F33" s="46">
        <v>0.43055555555555558</v>
      </c>
      <c r="G33" s="46">
        <v>0.49652777777777773</v>
      </c>
      <c r="H33" t="s">
        <v>817</v>
      </c>
    </row>
    <row r="34" spans="1:8" x14ac:dyDescent="0.3">
      <c r="A34">
        <v>33</v>
      </c>
      <c r="B34" s="46" t="s">
        <v>757</v>
      </c>
      <c r="E34" t="s">
        <v>772</v>
      </c>
      <c r="F34" s="46">
        <v>0.44513888888888892</v>
      </c>
    </row>
    <row r="35" spans="1:8" x14ac:dyDescent="0.3">
      <c r="A35">
        <v>34</v>
      </c>
      <c r="B35" s="46" t="s">
        <v>757</v>
      </c>
      <c r="E35" t="s">
        <v>770</v>
      </c>
      <c r="F35" s="46">
        <v>0.45763888888888887</v>
      </c>
    </row>
    <row r="36" spans="1:8" x14ac:dyDescent="0.3">
      <c r="A36">
        <v>35</v>
      </c>
      <c r="B36" s="46" t="s">
        <v>757</v>
      </c>
      <c r="C36" s="46"/>
      <c r="E36" t="s">
        <v>763</v>
      </c>
      <c r="F36" s="46">
        <v>0.47361111111111115</v>
      </c>
      <c r="G36" s="46">
        <v>0.55138888888888882</v>
      </c>
      <c r="H36" t="s">
        <v>818</v>
      </c>
    </row>
    <row r="37" spans="1:8" x14ac:dyDescent="0.3">
      <c r="A37">
        <v>36</v>
      </c>
      <c r="B37" s="46" t="s">
        <v>757</v>
      </c>
      <c r="C37" s="46"/>
      <c r="E37" t="s">
        <v>768</v>
      </c>
      <c r="F37" s="46">
        <v>0.47291666666666665</v>
      </c>
      <c r="G37" s="46">
        <v>0.55625000000000002</v>
      </c>
      <c r="H37">
        <v>2</v>
      </c>
    </row>
    <row r="38" spans="1:8" x14ac:dyDescent="0.3">
      <c r="A38">
        <v>37</v>
      </c>
      <c r="B38" s="46" t="s">
        <v>757</v>
      </c>
      <c r="C38" s="46"/>
      <c r="E38" t="s">
        <v>769</v>
      </c>
      <c r="F38" s="46">
        <v>0.47986111111111113</v>
      </c>
      <c r="G38" s="46">
        <v>0.56319444444444444</v>
      </c>
      <c r="H38">
        <v>2</v>
      </c>
    </row>
    <row r="39" spans="1:8" x14ac:dyDescent="0.3">
      <c r="A39">
        <v>38</v>
      </c>
      <c r="B39" s="46" t="s">
        <v>757</v>
      </c>
      <c r="C39" s="46"/>
      <c r="E39" t="s">
        <v>764</v>
      </c>
      <c r="F39" s="46">
        <v>0.47638888888888892</v>
      </c>
      <c r="G39" s="46">
        <v>0.56388888888888888</v>
      </c>
      <c r="H39" t="s">
        <v>819</v>
      </c>
    </row>
    <row r="40" spans="1:8" x14ac:dyDescent="0.3">
      <c r="A40">
        <v>39</v>
      </c>
      <c r="B40" s="46" t="s">
        <v>757</v>
      </c>
      <c r="C40" s="46"/>
      <c r="E40" t="s">
        <v>765</v>
      </c>
      <c r="F40" s="46">
        <v>0.58680555555555558</v>
      </c>
      <c r="G40" s="46">
        <v>0.64583333333333337</v>
      </c>
      <c r="H40" t="s">
        <v>797</v>
      </c>
    </row>
    <row r="41" spans="1:8" x14ac:dyDescent="0.3">
      <c r="A41">
        <v>40</v>
      </c>
      <c r="B41" s="46" t="s">
        <v>757</v>
      </c>
      <c r="C41" s="46"/>
      <c r="E41" t="s">
        <v>769</v>
      </c>
      <c r="F41" s="46">
        <v>0.37777777777777777</v>
      </c>
      <c r="G41" s="46">
        <v>0.45</v>
      </c>
      <c r="H41" t="s">
        <v>820</v>
      </c>
    </row>
    <row r="42" spans="1:8" x14ac:dyDescent="0.3">
      <c r="A42">
        <v>41</v>
      </c>
      <c r="B42" s="46" t="s">
        <v>757</v>
      </c>
      <c r="E42" t="s">
        <v>770</v>
      </c>
      <c r="F42" s="46">
        <v>0.3923611111111111</v>
      </c>
    </row>
    <row r="43" spans="1:8" x14ac:dyDescent="0.3">
      <c r="A43">
        <v>42</v>
      </c>
      <c r="B43" s="46" t="s">
        <v>757</v>
      </c>
      <c r="C43" s="46"/>
      <c r="E43" t="s">
        <v>764</v>
      </c>
      <c r="F43" s="46">
        <v>0.40416666666666662</v>
      </c>
      <c r="G43" s="46">
        <v>0.48125000000000001</v>
      </c>
      <c r="H43" t="s">
        <v>803</v>
      </c>
    </row>
    <row r="44" spans="1:8" x14ac:dyDescent="0.3">
      <c r="A44">
        <v>43</v>
      </c>
      <c r="B44" s="46" t="s">
        <v>757</v>
      </c>
      <c r="E44" t="s">
        <v>768</v>
      </c>
      <c r="F44" s="46">
        <v>0.46319444444444446</v>
      </c>
    </row>
    <row r="45" spans="1:8" x14ac:dyDescent="0.3">
      <c r="A45">
        <v>44</v>
      </c>
      <c r="B45" s="46" t="s">
        <v>757</v>
      </c>
      <c r="C45" s="46"/>
      <c r="E45" t="s">
        <v>770</v>
      </c>
      <c r="F45" s="46">
        <v>0.45624999999999999</v>
      </c>
      <c r="G45" s="46">
        <v>0.53680555555555554</v>
      </c>
      <c r="H45" t="s">
        <v>821</v>
      </c>
    </row>
    <row r="46" spans="1:8" x14ac:dyDescent="0.3">
      <c r="A46">
        <v>45</v>
      </c>
      <c r="B46" s="46" t="s">
        <v>757</v>
      </c>
      <c r="C46" s="46"/>
      <c r="E46" t="s">
        <v>766</v>
      </c>
      <c r="F46" s="46">
        <v>0.4861111111111111</v>
      </c>
      <c r="G46" s="46">
        <v>0.53680555555555554</v>
      </c>
      <c r="H46" t="s">
        <v>822</v>
      </c>
    </row>
    <row r="47" spans="1:8" x14ac:dyDescent="0.3">
      <c r="A47">
        <v>46</v>
      </c>
      <c r="B47" s="46" t="s">
        <v>757</v>
      </c>
      <c r="E47" t="s">
        <v>765</v>
      </c>
      <c r="F47" s="46">
        <v>0.50555555555555554</v>
      </c>
      <c r="G47" s="46">
        <v>0.59305555555555556</v>
      </c>
      <c r="H47" t="s">
        <v>819</v>
      </c>
    </row>
    <row r="48" spans="1:8" x14ac:dyDescent="0.3">
      <c r="A48">
        <v>47</v>
      </c>
      <c r="B48" s="46" t="s">
        <v>757</v>
      </c>
      <c r="E48" t="s">
        <v>764</v>
      </c>
      <c r="F48" s="46">
        <v>0.53055555555555556</v>
      </c>
      <c r="G48" s="46">
        <v>0.61111111111111105</v>
      </c>
      <c r="H48" t="s">
        <v>821</v>
      </c>
    </row>
    <row r="49" spans="1:8" x14ac:dyDescent="0.3">
      <c r="A49">
        <v>48</v>
      </c>
      <c r="B49" s="46" t="s">
        <v>757</v>
      </c>
      <c r="E49" t="s">
        <v>765</v>
      </c>
      <c r="F49" s="46">
        <v>0.53333333333333333</v>
      </c>
      <c r="G49" s="46">
        <v>0.60138888888888886</v>
      </c>
      <c r="H49" t="s">
        <v>815</v>
      </c>
    </row>
    <row r="50" spans="1:8" x14ac:dyDescent="0.3">
      <c r="A50">
        <v>49</v>
      </c>
      <c r="B50" t="s">
        <v>757</v>
      </c>
      <c r="E50" t="s">
        <v>764</v>
      </c>
      <c r="F50" s="46">
        <v>0.56805555555555554</v>
      </c>
      <c r="G50" s="46">
        <v>0.65277777777777779</v>
      </c>
      <c r="H50" t="s">
        <v>810</v>
      </c>
    </row>
    <row r="51" spans="1:8" x14ac:dyDescent="0.3">
      <c r="A51">
        <v>50</v>
      </c>
      <c r="B51" t="s">
        <v>757</v>
      </c>
      <c r="E51" t="s">
        <v>768</v>
      </c>
      <c r="F51" s="46">
        <v>0.61041666666666672</v>
      </c>
    </row>
    <row r="52" spans="1:8" x14ac:dyDescent="0.3">
      <c r="A52">
        <v>51</v>
      </c>
      <c r="B52" t="s">
        <v>757</v>
      </c>
      <c r="E52" t="s">
        <v>766</v>
      </c>
      <c r="F52" s="46">
        <v>0.35069444444444442</v>
      </c>
      <c r="G52" s="46">
        <v>0.40416666666666662</v>
      </c>
      <c r="H52" t="s">
        <v>829</v>
      </c>
    </row>
    <row r="53" spans="1:8" x14ac:dyDescent="0.3">
      <c r="A53">
        <v>52</v>
      </c>
      <c r="B53" t="s">
        <v>757</v>
      </c>
      <c r="E53" t="s">
        <v>769</v>
      </c>
      <c r="F53" s="46">
        <v>0.38611111111111113</v>
      </c>
      <c r="G53" s="46">
        <v>0.45555555555555555</v>
      </c>
      <c r="H53" t="s">
        <v>830</v>
      </c>
    </row>
    <row r="54" spans="1:8" x14ac:dyDescent="0.3">
      <c r="A54">
        <v>53</v>
      </c>
      <c r="B54" t="s">
        <v>757</v>
      </c>
      <c r="E54" t="s">
        <v>772</v>
      </c>
      <c r="F54" s="46">
        <v>0.40416666666666662</v>
      </c>
    </row>
    <row r="55" spans="1:8" x14ac:dyDescent="0.3">
      <c r="A55">
        <v>54</v>
      </c>
      <c r="B55" t="s">
        <v>757</v>
      </c>
      <c r="E55" t="s">
        <v>770</v>
      </c>
      <c r="F55" s="46">
        <v>0.4069444444444445</v>
      </c>
    </row>
    <row r="56" spans="1:8" x14ac:dyDescent="0.3">
      <c r="A56">
        <v>55</v>
      </c>
      <c r="B56" t="s">
        <v>757</v>
      </c>
      <c r="E56" t="s">
        <v>763</v>
      </c>
      <c r="F56" s="46">
        <v>0.43263888888888885</v>
      </c>
    </row>
    <row r="57" spans="1:8" x14ac:dyDescent="0.3">
      <c r="A57">
        <v>56</v>
      </c>
      <c r="B57" t="s">
        <v>757</v>
      </c>
      <c r="E57" t="s">
        <v>764</v>
      </c>
      <c r="F57" s="46">
        <v>0.43124999999999997</v>
      </c>
    </row>
    <row r="58" spans="1:8" x14ac:dyDescent="0.3">
      <c r="A58">
        <v>57</v>
      </c>
      <c r="B58" t="s">
        <v>757</v>
      </c>
      <c r="E58" t="s">
        <v>766</v>
      </c>
      <c r="F58" s="46">
        <v>0.44930555555555557</v>
      </c>
      <c r="G58" s="46">
        <v>0.5083333333333333</v>
      </c>
      <c r="H58" t="s">
        <v>797</v>
      </c>
    </row>
    <row r="59" spans="1:8" x14ac:dyDescent="0.3">
      <c r="A59">
        <v>58</v>
      </c>
      <c r="B59" t="s">
        <v>757</v>
      </c>
      <c r="E59" t="s">
        <v>771</v>
      </c>
      <c r="F59" s="46">
        <v>0.47847222222222219</v>
      </c>
      <c r="G59" s="46">
        <v>0.56458333333333333</v>
      </c>
      <c r="H59" t="s">
        <v>831</v>
      </c>
    </row>
    <row r="60" spans="1:8" x14ac:dyDescent="0.3">
      <c r="A60">
        <v>59</v>
      </c>
      <c r="B60" t="s">
        <v>757</v>
      </c>
      <c r="E60" t="s">
        <v>763</v>
      </c>
      <c r="F60" s="46">
        <v>0.47569444444444442</v>
      </c>
      <c r="G60" s="46">
        <v>0.54097222222222219</v>
      </c>
      <c r="H60" t="s">
        <v>809</v>
      </c>
    </row>
    <row r="61" spans="1:8" x14ac:dyDescent="0.3">
      <c r="A61">
        <v>60</v>
      </c>
      <c r="B61" t="s">
        <v>757</v>
      </c>
      <c r="E61" t="s">
        <v>764</v>
      </c>
      <c r="F61" s="46">
        <v>0.49583333333333335</v>
      </c>
      <c r="G61" s="46">
        <v>0.56111111111111112</v>
      </c>
      <c r="H61" t="s">
        <v>809</v>
      </c>
    </row>
    <row r="62" spans="1:8" x14ac:dyDescent="0.3">
      <c r="A62">
        <v>61</v>
      </c>
      <c r="B62" t="s">
        <v>757</v>
      </c>
      <c r="E62" t="s">
        <v>770</v>
      </c>
      <c r="F62" s="46">
        <v>0.48819444444444443</v>
      </c>
      <c r="G62" s="46">
        <v>0.57222222222222219</v>
      </c>
      <c r="H62" t="s">
        <v>832</v>
      </c>
    </row>
    <row r="63" spans="1:8" x14ac:dyDescent="0.3">
      <c r="A63">
        <v>62</v>
      </c>
      <c r="B63" t="s">
        <v>757</v>
      </c>
      <c r="E63" t="s">
        <v>769</v>
      </c>
      <c r="F63" s="46">
        <v>0.53402777777777777</v>
      </c>
    </row>
    <row r="64" spans="1:8" x14ac:dyDescent="0.3">
      <c r="A64">
        <v>63</v>
      </c>
      <c r="B64" t="s">
        <v>757</v>
      </c>
      <c r="E64" t="s">
        <v>769</v>
      </c>
      <c r="F64" s="46">
        <v>0.55277777777777781</v>
      </c>
    </row>
    <row r="65" spans="1:8" x14ac:dyDescent="0.3">
      <c r="A65">
        <v>64</v>
      </c>
      <c r="B65" t="s">
        <v>757</v>
      </c>
      <c r="E65" t="s">
        <v>771</v>
      </c>
      <c r="F65" s="46">
        <v>0.58124999999999993</v>
      </c>
      <c r="G65" s="46">
        <v>0.6645833333333333</v>
      </c>
      <c r="H65">
        <v>2</v>
      </c>
    </row>
    <row r="66" spans="1:8" x14ac:dyDescent="0.3">
      <c r="A66">
        <v>65</v>
      </c>
      <c r="B66" t="s">
        <v>757</v>
      </c>
      <c r="E66" t="s">
        <v>770</v>
      </c>
      <c r="F66" s="46">
        <v>0.37847222222222227</v>
      </c>
    </row>
    <row r="67" spans="1:8" x14ac:dyDescent="0.3">
      <c r="A67">
        <v>66</v>
      </c>
      <c r="B67" t="s">
        <v>757</v>
      </c>
      <c r="E67" t="s">
        <v>771</v>
      </c>
      <c r="F67" s="46">
        <v>0.40069444444444446</v>
      </c>
      <c r="G67" s="46">
        <v>0.49027777777777781</v>
      </c>
      <c r="H67" t="s">
        <v>800</v>
      </c>
    </row>
    <row r="68" spans="1:8" x14ac:dyDescent="0.3">
      <c r="A68">
        <v>67</v>
      </c>
      <c r="B68" t="s">
        <v>757</v>
      </c>
      <c r="E68" t="s">
        <v>769</v>
      </c>
      <c r="F68" s="46">
        <v>0.42708333333333331</v>
      </c>
    </row>
    <row r="69" spans="1:8" x14ac:dyDescent="0.3">
      <c r="A69">
        <v>68</v>
      </c>
      <c r="B69" t="s">
        <v>757</v>
      </c>
      <c r="E69" t="s">
        <v>768</v>
      </c>
      <c r="F69" s="46">
        <v>0.44861111111111113</v>
      </c>
      <c r="G69" s="46">
        <v>0.53472222222222221</v>
      </c>
      <c r="H69" t="s">
        <v>831</v>
      </c>
    </row>
    <row r="70" spans="1:8" x14ac:dyDescent="0.3">
      <c r="A70">
        <v>69</v>
      </c>
      <c r="B70" t="s">
        <v>757</v>
      </c>
      <c r="E70" t="s">
        <v>769</v>
      </c>
      <c r="F70" s="46">
        <v>0.44444444444444442</v>
      </c>
      <c r="G70" s="46">
        <v>0.52569444444444446</v>
      </c>
      <c r="H70" t="s">
        <v>833</v>
      </c>
    </row>
    <row r="71" spans="1:8" x14ac:dyDescent="0.3">
      <c r="A71">
        <v>70</v>
      </c>
      <c r="B71" t="s">
        <v>757</v>
      </c>
      <c r="E71" t="s">
        <v>769</v>
      </c>
      <c r="F71" s="46">
        <v>0.46388888888888885</v>
      </c>
      <c r="G71" s="46">
        <v>0.54722222222222217</v>
      </c>
      <c r="H71">
        <v>2</v>
      </c>
    </row>
    <row r="72" spans="1:8" x14ac:dyDescent="0.3">
      <c r="A72">
        <v>71</v>
      </c>
      <c r="B72" t="s">
        <v>757</v>
      </c>
      <c r="E72" t="s">
        <v>766</v>
      </c>
      <c r="F72" s="46">
        <v>0.50208333333333333</v>
      </c>
      <c r="G72" s="46">
        <v>0.55972222222222223</v>
      </c>
      <c r="H72" t="s">
        <v>834</v>
      </c>
    </row>
    <row r="73" spans="1:8" x14ac:dyDescent="0.3">
      <c r="A73">
        <v>72</v>
      </c>
      <c r="B73" t="s">
        <v>757</v>
      </c>
      <c r="E73" t="s">
        <v>771</v>
      </c>
      <c r="F73" s="46">
        <v>0.55208333333333337</v>
      </c>
      <c r="G73" s="46">
        <v>0.6333333333333333</v>
      </c>
      <c r="H73" t="s">
        <v>833</v>
      </c>
    </row>
    <row r="74" spans="1:8" x14ac:dyDescent="0.3">
      <c r="A74">
        <v>73</v>
      </c>
      <c r="B74" t="s">
        <v>757</v>
      </c>
      <c r="E74" t="s">
        <v>767</v>
      </c>
      <c r="F74" s="46">
        <v>0.54236111111111118</v>
      </c>
      <c r="G74" s="46">
        <v>0.63750000000000007</v>
      </c>
      <c r="H74" t="s">
        <v>799</v>
      </c>
    </row>
    <row r="75" spans="1:8" x14ac:dyDescent="0.3">
      <c r="A75">
        <v>74</v>
      </c>
      <c r="B75" t="s">
        <v>757</v>
      </c>
      <c r="E75" t="s">
        <v>769</v>
      </c>
      <c r="F75" s="46">
        <v>0.57361111111111118</v>
      </c>
    </row>
    <row r="76" spans="1:8" x14ac:dyDescent="0.3">
      <c r="A76">
        <v>75</v>
      </c>
      <c r="B76" t="s">
        <v>757</v>
      </c>
      <c r="E76" t="s">
        <v>769</v>
      </c>
      <c r="F76" s="46">
        <v>0.6381944444444444</v>
      </c>
    </row>
    <row r="77" spans="1:8" x14ac:dyDescent="0.3">
      <c r="A77">
        <v>76</v>
      </c>
      <c r="B77" t="s">
        <v>757</v>
      </c>
      <c r="E77" t="s">
        <v>766</v>
      </c>
      <c r="F77" s="46">
        <v>0.37777777777777777</v>
      </c>
      <c r="G77" s="46">
        <v>0.42638888888888887</v>
      </c>
      <c r="H77" t="s">
        <v>835</v>
      </c>
    </row>
    <row r="78" spans="1:8" x14ac:dyDescent="0.3">
      <c r="A78">
        <v>77</v>
      </c>
      <c r="B78" t="s">
        <v>757</v>
      </c>
      <c r="E78" t="s">
        <v>768</v>
      </c>
      <c r="F78" s="46">
        <v>0.40902777777777777</v>
      </c>
    </row>
    <row r="79" spans="1:8" x14ac:dyDescent="0.3">
      <c r="A79">
        <v>78</v>
      </c>
      <c r="B79" t="s">
        <v>757</v>
      </c>
      <c r="E79" t="s">
        <v>766</v>
      </c>
      <c r="F79" s="46">
        <v>0.4368055555555555</v>
      </c>
      <c r="G79" s="46">
        <v>0.47500000000000003</v>
      </c>
      <c r="H79" t="s">
        <v>836</v>
      </c>
    </row>
    <row r="80" spans="1:8" x14ac:dyDescent="0.3">
      <c r="A80">
        <v>79</v>
      </c>
      <c r="B80" t="s">
        <v>757</v>
      </c>
      <c r="E80" t="s">
        <v>769</v>
      </c>
      <c r="F80" s="46">
        <v>0.43888888888888888</v>
      </c>
      <c r="G80" s="46">
        <v>0.52222222222222225</v>
      </c>
      <c r="H80">
        <v>2</v>
      </c>
    </row>
    <row r="81" spans="1:8" x14ac:dyDescent="0.3">
      <c r="A81">
        <v>80</v>
      </c>
      <c r="B81" t="s">
        <v>757</v>
      </c>
      <c r="E81" t="s">
        <v>772</v>
      </c>
      <c r="F81" s="46">
        <v>0.44722222222222219</v>
      </c>
      <c r="G81" s="46">
        <v>0.52013888888888882</v>
      </c>
      <c r="H81" t="s">
        <v>804</v>
      </c>
    </row>
    <row r="82" spans="1:8" x14ac:dyDescent="0.3">
      <c r="A82">
        <v>81</v>
      </c>
      <c r="B82" t="s">
        <v>757</v>
      </c>
      <c r="E82" t="s">
        <v>770</v>
      </c>
      <c r="F82" s="46">
        <v>0.4465277777777778</v>
      </c>
      <c r="G82" s="46">
        <v>0.52708333333333335</v>
      </c>
      <c r="H82" t="s">
        <v>821</v>
      </c>
    </row>
    <row r="83" spans="1:8" x14ac:dyDescent="0.3">
      <c r="A83">
        <v>82</v>
      </c>
      <c r="B83" t="s">
        <v>757</v>
      </c>
      <c r="E83" t="s">
        <v>764</v>
      </c>
      <c r="F83" s="46">
        <v>0.4548611111111111</v>
      </c>
      <c r="G83" s="46">
        <v>0.53472222222222221</v>
      </c>
      <c r="H83" t="s">
        <v>837</v>
      </c>
    </row>
    <row r="84" spans="1:8" x14ac:dyDescent="0.3">
      <c r="A84">
        <v>83</v>
      </c>
      <c r="B84" t="s">
        <v>757</v>
      </c>
      <c r="E84" t="s">
        <v>772</v>
      </c>
      <c r="F84" s="46">
        <v>0.45277777777777778</v>
      </c>
    </row>
    <row r="85" spans="1:8" x14ac:dyDescent="0.3">
      <c r="A85">
        <v>84</v>
      </c>
      <c r="B85" t="s">
        <v>757</v>
      </c>
      <c r="E85" t="s">
        <v>766</v>
      </c>
      <c r="F85" s="46">
        <v>0.49444444444444446</v>
      </c>
      <c r="G85" s="46">
        <v>0.53402777777777777</v>
      </c>
      <c r="H85" t="s">
        <v>838</v>
      </c>
    </row>
    <row r="86" spans="1:8" x14ac:dyDescent="0.3">
      <c r="A86">
        <v>85</v>
      </c>
      <c r="B86" t="s">
        <v>757</v>
      </c>
      <c r="E86" t="s">
        <v>772</v>
      </c>
      <c r="F86" s="46">
        <v>0.51874999999999993</v>
      </c>
    </row>
    <row r="87" spans="1:8" x14ac:dyDescent="0.3">
      <c r="A87">
        <v>86</v>
      </c>
      <c r="B87" t="s">
        <v>757</v>
      </c>
      <c r="E87" t="s">
        <v>772</v>
      </c>
      <c r="F87" s="46">
        <v>0.54861111111111105</v>
      </c>
      <c r="G87" s="46">
        <v>0.63472222222222219</v>
      </c>
      <c r="H87" t="s">
        <v>831</v>
      </c>
    </row>
    <row r="88" spans="1:8" x14ac:dyDescent="0.3">
      <c r="A88">
        <v>87</v>
      </c>
      <c r="B88" t="s">
        <v>757</v>
      </c>
      <c r="E88" t="s">
        <v>771</v>
      </c>
      <c r="F88" s="46">
        <v>0.39097222222222222</v>
      </c>
      <c r="G88" s="46">
        <v>0.48194444444444445</v>
      </c>
      <c r="H88" t="s">
        <v>839</v>
      </c>
    </row>
    <row r="89" spans="1:8" x14ac:dyDescent="0.3">
      <c r="A89">
        <v>88</v>
      </c>
      <c r="B89" t="s">
        <v>757</v>
      </c>
      <c r="E89" t="s">
        <v>772</v>
      </c>
      <c r="F89" s="46">
        <v>0.39513888888888887</v>
      </c>
      <c r="G89" s="46">
        <v>0.47222222222222227</v>
      </c>
      <c r="H89" t="s">
        <v>803</v>
      </c>
    </row>
    <row r="90" spans="1:8" x14ac:dyDescent="0.3">
      <c r="A90">
        <v>89</v>
      </c>
      <c r="B90" t="s">
        <v>757</v>
      </c>
      <c r="E90" t="s">
        <v>770</v>
      </c>
      <c r="F90" s="46">
        <v>0.40347222222222223</v>
      </c>
      <c r="G90" s="46">
        <v>0.47569444444444442</v>
      </c>
      <c r="H90" t="s">
        <v>820</v>
      </c>
    </row>
    <row r="91" spans="1:8" x14ac:dyDescent="0.3">
      <c r="A91">
        <v>90</v>
      </c>
      <c r="B91" t="s">
        <v>757</v>
      </c>
      <c r="E91" t="s">
        <v>766</v>
      </c>
      <c r="F91" s="46">
        <v>0.43958333333333338</v>
      </c>
      <c r="G91" s="46">
        <v>0.48958333333333331</v>
      </c>
      <c r="H91" t="s">
        <v>840</v>
      </c>
    </row>
    <row r="92" spans="1:8" x14ac:dyDescent="0.3">
      <c r="A92">
        <v>91</v>
      </c>
      <c r="B92" t="s">
        <v>757</v>
      </c>
      <c r="E92" t="s">
        <v>768</v>
      </c>
      <c r="F92" s="46">
        <v>0.40347222222222223</v>
      </c>
      <c r="G92" s="46">
        <v>0.46736111111111112</v>
      </c>
      <c r="H92" t="s">
        <v>845</v>
      </c>
    </row>
    <row r="93" spans="1:8" x14ac:dyDescent="0.3">
      <c r="A93">
        <v>92</v>
      </c>
      <c r="B93" t="s">
        <v>757</v>
      </c>
      <c r="E93" t="s">
        <v>770</v>
      </c>
      <c r="F93" s="46">
        <v>0.45833333333333331</v>
      </c>
    </row>
    <row r="94" spans="1:8" x14ac:dyDescent="0.3">
      <c r="A94">
        <v>93</v>
      </c>
      <c r="B94" t="s">
        <v>757</v>
      </c>
      <c r="E94" t="s">
        <v>772</v>
      </c>
      <c r="F94" s="46">
        <v>0.46458333333333335</v>
      </c>
      <c r="G94" s="46">
        <v>0.53333333333333333</v>
      </c>
      <c r="H94" t="s">
        <v>846</v>
      </c>
    </row>
    <row r="95" spans="1:8" x14ac:dyDescent="0.3">
      <c r="A95">
        <v>94</v>
      </c>
      <c r="B95" t="s">
        <v>757</v>
      </c>
      <c r="E95" t="s">
        <v>772</v>
      </c>
      <c r="F95" s="46">
        <v>0.54027777777777775</v>
      </c>
    </row>
    <row r="96" spans="1:8" x14ac:dyDescent="0.3">
      <c r="A96">
        <v>95</v>
      </c>
      <c r="B96" t="s">
        <v>757</v>
      </c>
      <c r="E96" t="s">
        <v>770</v>
      </c>
      <c r="F96" s="46">
        <v>0.53611111111111109</v>
      </c>
      <c r="G96" s="46">
        <v>0.62986111111111109</v>
      </c>
      <c r="H96" t="s">
        <v>847</v>
      </c>
    </row>
    <row r="97" spans="1:8" x14ac:dyDescent="0.3">
      <c r="A97">
        <v>96</v>
      </c>
      <c r="B97" t="s">
        <v>757</v>
      </c>
      <c r="E97" t="s">
        <v>764</v>
      </c>
      <c r="F97" s="46">
        <v>0.38611111111111113</v>
      </c>
      <c r="G97" s="46">
        <v>0.45624999999999999</v>
      </c>
      <c r="H97" t="s">
        <v>848</v>
      </c>
    </row>
    <row r="98" spans="1:8" x14ac:dyDescent="0.3">
      <c r="A98">
        <v>97</v>
      </c>
      <c r="B98" t="s">
        <v>757</v>
      </c>
      <c r="E98" t="s">
        <v>763</v>
      </c>
      <c r="F98" s="46">
        <v>0.37708333333333338</v>
      </c>
      <c r="G98" s="46">
        <v>0.46736111111111112</v>
      </c>
      <c r="H98" t="s">
        <v>814</v>
      </c>
    </row>
    <row r="99" spans="1:8" x14ac:dyDescent="0.3">
      <c r="A99">
        <v>98</v>
      </c>
      <c r="B99" t="s">
        <v>757</v>
      </c>
      <c r="E99" t="s">
        <v>766</v>
      </c>
      <c r="F99" s="46">
        <v>0.39583333333333331</v>
      </c>
      <c r="G99" s="46">
        <v>0.45416666666666666</v>
      </c>
      <c r="H99" t="s">
        <v>849</v>
      </c>
    </row>
    <row r="100" spans="1:8" x14ac:dyDescent="0.3">
      <c r="A100">
        <v>99</v>
      </c>
      <c r="B100" t="s">
        <v>757</v>
      </c>
      <c r="E100" t="s">
        <v>772</v>
      </c>
      <c r="F100" s="46">
        <v>0.42638888888888887</v>
      </c>
      <c r="G100" s="46">
        <v>0.49861111111111112</v>
      </c>
      <c r="H100" t="s">
        <v>820</v>
      </c>
    </row>
    <row r="101" spans="1:8" x14ac:dyDescent="0.3">
      <c r="A101">
        <v>100</v>
      </c>
      <c r="B101" t="s">
        <v>757</v>
      </c>
      <c r="E101" t="s">
        <v>768</v>
      </c>
      <c r="F101" s="46">
        <v>0.4368055555555555</v>
      </c>
      <c r="G101" s="46">
        <v>0.4826388888888889</v>
      </c>
      <c r="H101" t="s">
        <v>850</v>
      </c>
    </row>
    <row r="102" spans="1:8" x14ac:dyDescent="0.3">
      <c r="A102">
        <v>101</v>
      </c>
      <c r="B102" t="s">
        <v>757</v>
      </c>
      <c r="E102" t="s">
        <v>771</v>
      </c>
      <c r="F102" s="46">
        <v>0.48125000000000001</v>
      </c>
      <c r="G102" s="46">
        <v>0.53194444444444444</v>
      </c>
      <c r="H102" t="s">
        <v>822</v>
      </c>
    </row>
    <row r="103" spans="1:8" x14ac:dyDescent="0.3">
      <c r="A103">
        <v>102</v>
      </c>
      <c r="B103" t="s">
        <v>757</v>
      </c>
      <c r="E103" t="s">
        <v>770</v>
      </c>
      <c r="F103" s="46">
        <v>0.4916666666666667</v>
      </c>
      <c r="G103" s="46">
        <v>0.58888888888888891</v>
      </c>
      <c r="H103" t="s">
        <v>806</v>
      </c>
    </row>
    <row r="104" spans="1:8" x14ac:dyDescent="0.3">
      <c r="A104">
        <v>103</v>
      </c>
      <c r="B104" t="s">
        <v>757</v>
      </c>
      <c r="E104" t="s">
        <v>767</v>
      </c>
      <c r="F104" s="46">
        <v>0.52361111111111114</v>
      </c>
      <c r="G104" s="46">
        <v>0.625</v>
      </c>
      <c r="H104" t="s">
        <v>807</v>
      </c>
    </row>
    <row r="105" spans="1:8" x14ac:dyDescent="0.3">
      <c r="A105">
        <v>104</v>
      </c>
      <c r="B105" t="s">
        <v>757</v>
      </c>
      <c r="E105" t="s">
        <v>770</v>
      </c>
      <c r="F105" s="46">
        <v>0.37152777777777773</v>
      </c>
      <c r="G105" s="46">
        <v>0.46319444444444446</v>
      </c>
      <c r="H105" t="s">
        <v>851</v>
      </c>
    </row>
    <row r="106" spans="1:8" x14ac:dyDescent="0.3">
      <c r="A106">
        <v>105</v>
      </c>
      <c r="B106" t="s">
        <v>757</v>
      </c>
      <c r="E106" t="s">
        <v>769</v>
      </c>
      <c r="F106" s="46">
        <v>0.38680555555555557</v>
      </c>
    </row>
    <row r="107" spans="1:8" x14ac:dyDescent="0.3">
      <c r="A107">
        <v>106</v>
      </c>
      <c r="B107" t="s">
        <v>757</v>
      </c>
      <c r="E107" t="s">
        <v>765</v>
      </c>
      <c r="F107" s="46">
        <v>0.40277777777777773</v>
      </c>
      <c r="G107" s="46">
        <v>0.45833333333333331</v>
      </c>
      <c r="H107" t="s">
        <v>852</v>
      </c>
    </row>
    <row r="108" spans="1:8" x14ac:dyDescent="0.3">
      <c r="A108">
        <v>107</v>
      </c>
      <c r="B108" t="s">
        <v>757</v>
      </c>
      <c r="E108" t="s">
        <v>771</v>
      </c>
      <c r="F108" s="46">
        <v>0.43194444444444446</v>
      </c>
      <c r="G108" s="46">
        <v>0.48194444444444445</v>
      </c>
      <c r="H108" t="s">
        <v>840</v>
      </c>
    </row>
    <row r="109" spans="1:8" x14ac:dyDescent="0.3">
      <c r="A109">
        <v>108</v>
      </c>
      <c r="B109" t="s">
        <v>757</v>
      </c>
      <c r="E109" t="s">
        <v>769</v>
      </c>
      <c r="F109" s="46">
        <v>0.47638888888888892</v>
      </c>
    </row>
    <row r="110" spans="1:8" x14ac:dyDescent="0.3">
      <c r="A110">
        <v>109</v>
      </c>
      <c r="B110" t="s">
        <v>757</v>
      </c>
      <c r="E110" t="s">
        <v>771</v>
      </c>
      <c r="F110" s="46">
        <v>0.58819444444444446</v>
      </c>
      <c r="G110" s="46">
        <v>0.65</v>
      </c>
      <c r="H110" t="s">
        <v>853</v>
      </c>
    </row>
    <row r="111" spans="1:8" x14ac:dyDescent="0.3">
      <c r="A111">
        <v>110</v>
      </c>
      <c r="B111" t="s">
        <v>757</v>
      </c>
      <c r="E111" t="s">
        <v>770</v>
      </c>
      <c r="F111" s="46">
        <v>0.37083333333333335</v>
      </c>
      <c r="G111" s="46">
        <v>0.45833333333333331</v>
      </c>
      <c r="H111" t="s">
        <v>819</v>
      </c>
    </row>
    <row r="112" spans="1:8" x14ac:dyDescent="0.3">
      <c r="A112">
        <v>111</v>
      </c>
      <c r="B112" t="s">
        <v>757</v>
      </c>
      <c r="E112" t="s">
        <v>768</v>
      </c>
      <c r="F112" s="46">
        <v>0.39583333333333331</v>
      </c>
      <c r="G112" s="46">
        <v>0.44791666666666669</v>
      </c>
      <c r="H112" t="s">
        <v>854</v>
      </c>
    </row>
    <row r="113" spans="1:8" x14ac:dyDescent="0.3">
      <c r="A113">
        <v>112</v>
      </c>
      <c r="B113" t="s">
        <v>757</v>
      </c>
      <c r="E113" t="s">
        <v>764</v>
      </c>
      <c r="F113" s="46">
        <v>0.4055555555555555</v>
      </c>
      <c r="G113" s="46">
        <v>0.49027777777777781</v>
      </c>
      <c r="H113" t="s">
        <v>810</v>
      </c>
    </row>
    <row r="114" spans="1:8" x14ac:dyDescent="0.3">
      <c r="A114">
        <v>113</v>
      </c>
      <c r="B114" t="s">
        <v>757</v>
      </c>
      <c r="E114" t="s">
        <v>768</v>
      </c>
      <c r="F114" s="46">
        <v>0.5</v>
      </c>
      <c r="G114" s="46">
        <v>0.56319444444444444</v>
      </c>
      <c r="H114" t="s">
        <v>855</v>
      </c>
    </row>
    <row r="115" spans="1:8" x14ac:dyDescent="0.3">
      <c r="A115">
        <v>114</v>
      </c>
      <c r="B115" t="s">
        <v>757</v>
      </c>
      <c r="E115" t="s">
        <v>770</v>
      </c>
      <c r="F115" s="46">
        <v>0.49583333333333335</v>
      </c>
      <c r="G115" s="46">
        <v>0.61388888888888882</v>
      </c>
      <c r="H115" t="s">
        <v>856</v>
      </c>
    </row>
    <row r="116" spans="1:8" x14ac:dyDescent="0.3">
      <c r="A116">
        <v>115</v>
      </c>
      <c r="B116" t="s">
        <v>757</v>
      </c>
      <c r="E116" t="s">
        <v>767</v>
      </c>
      <c r="F116" s="46">
        <v>0.52569444444444446</v>
      </c>
      <c r="G116" s="46">
        <v>0.62430555555555556</v>
      </c>
      <c r="H116" t="s">
        <v>857</v>
      </c>
    </row>
    <row r="117" spans="1:8" x14ac:dyDescent="0.3">
      <c r="A117">
        <v>116</v>
      </c>
      <c r="B117" t="s">
        <v>757</v>
      </c>
      <c r="E117" t="s">
        <v>769</v>
      </c>
      <c r="F117" s="46">
        <v>0.6118055555555556</v>
      </c>
    </row>
    <row r="118" spans="1:8" x14ac:dyDescent="0.3">
      <c r="A118">
        <v>117</v>
      </c>
      <c r="B118" t="s">
        <v>757</v>
      </c>
      <c r="E118" t="s">
        <v>770</v>
      </c>
      <c r="F118" s="46">
        <v>0.3611111111111111</v>
      </c>
      <c r="G118" s="46">
        <v>0.43194444444444446</v>
      </c>
      <c r="H118" t="s">
        <v>858</v>
      </c>
    </row>
    <row r="119" spans="1:8" x14ac:dyDescent="0.3">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4" x14ac:dyDescent="0.3"/>
  <cols>
    <col min="1" max="1" width="20" customWidth="1"/>
    <col min="2" max="2" width="16.33203125" customWidth="1"/>
    <col min="3" max="3" width="4.109375" customWidth="1"/>
    <col min="4" max="4" width="11.33203125" customWidth="1"/>
    <col min="5" max="5" width="7.33203125" customWidth="1"/>
    <col min="6" max="6" width="11.33203125" bestFit="1" customWidth="1"/>
  </cols>
  <sheetData>
    <row r="3" spans="1:4" ht="16.5" customHeight="1" x14ac:dyDescent="0.3">
      <c r="A3" s="48" t="s">
        <v>864</v>
      </c>
      <c r="B3" s="48" t="s">
        <v>865</v>
      </c>
    </row>
    <row r="4" spans="1:4" x14ac:dyDescent="0.3">
      <c r="A4" s="48" t="s">
        <v>618</v>
      </c>
      <c r="B4" t="s">
        <v>7</v>
      </c>
      <c r="C4" t="s">
        <v>9</v>
      </c>
      <c r="D4" t="s">
        <v>620</v>
      </c>
    </row>
    <row r="5" spans="1:4" x14ac:dyDescent="0.3">
      <c r="A5" s="49">
        <v>23</v>
      </c>
      <c r="B5">
        <v>1</v>
      </c>
      <c r="C5">
        <v>1</v>
      </c>
      <c r="D5">
        <v>2</v>
      </c>
    </row>
    <row r="6" spans="1:4" x14ac:dyDescent="0.3">
      <c r="A6" s="49">
        <v>24</v>
      </c>
      <c r="C6">
        <v>1</v>
      </c>
      <c r="D6">
        <v>1</v>
      </c>
    </row>
    <row r="7" spans="1:4" x14ac:dyDescent="0.3">
      <c r="A7" s="49">
        <v>36</v>
      </c>
      <c r="C7">
        <v>1</v>
      </c>
      <c r="D7">
        <v>1</v>
      </c>
    </row>
    <row r="8" spans="1:4" x14ac:dyDescent="0.3">
      <c r="A8" s="49">
        <v>45</v>
      </c>
      <c r="B8">
        <v>1</v>
      </c>
      <c r="D8">
        <v>1</v>
      </c>
    </row>
    <row r="9" spans="1:4" x14ac:dyDescent="0.3">
      <c r="A9" s="49">
        <v>46</v>
      </c>
      <c r="B9">
        <v>2</v>
      </c>
      <c r="D9">
        <v>2</v>
      </c>
    </row>
    <row r="10" spans="1:4" x14ac:dyDescent="0.3">
      <c r="A10" s="49">
        <v>51</v>
      </c>
      <c r="B10">
        <v>2</v>
      </c>
      <c r="C10">
        <v>4</v>
      </c>
      <c r="D10">
        <v>6</v>
      </c>
    </row>
    <row r="11" spans="1:4" x14ac:dyDescent="0.3">
      <c r="A11" s="49">
        <v>56</v>
      </c>
      <c r="C11">
        <v>2</v>
      </c>
      <c r="D11">
        <v>2</v>
      </c>
    </row>
    <row r="12" spans="1:4" x14ac:dyDescent="0.3">
      <c r="A12" s="49">
        <v>64</v>
      </c>
      <c r="B12">
        <v>2</v>
      </c>
      <c r="C12">
        <v>1</v>
      </c>
      <c r="D12">
        <v>3</v>
      </c>
    </row>
    <row r="13" spans="1:4" x14ac:dyDescent="0.3">
      <c r="A13" s="49">
        <v>85</v>
      </c>
      <c r="B13">
        <v>1</v>
      </c>
      <c r="D13">
        <v>1</v>
      </c>
    </row>
    <row r="14" spans="1:4" x14ac:dyDescent="0.3">
      <c r="A14" s="49">
        <v>93</v>
      </c>
      <c r="B14">
        <v>1</v>
      </c>
      <c r="D14">
        <v>1</v>
      </c>
    </row>
    <row r="15" spans="1:4" x14ac:dyDescent="0.3">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109375" defaultRowHeight="14.4" x14ac:dyDescent="0.3"/>
  <cols>
    <col min="1" max="1" width="3.33203125" style="1" customWidth="1"/>
    <col min="2" max="2" width="39.6640625" style="1" customWidth="1"/>
    <col min="3" max="3" width="10.88671875" style="5" customWidth="1"/>
    <col min="4" max="4" width="12.33203125" style="15" customWidth="1"/>
    <col min="5" max="5" width="10.88671875" style="15" customWidth="1"/>
    <col min="6" max="6" width="5.6640625" style="1" customWidth="1"/>
    <col min="7" max="7" width="21.44140625" style="1" hidden="1" customWidth="1"/>
    <col min="8" max="8" width="0" style="1" hidden="1" customWidth="1"/>
    <col min="9" max="9" width="7.6640625" style="1" hidden="1" customWidth="1"/>
    <col min="10" max="10" width="3" style="37" hidden="1" customWidth="1"/>
    <col min="11" max="11" width="1" style="1" hidden="1" customWidth="1"/>
    <col min="12" max="12" width="4.109375" style="1" hidden="1" customWidth="1"/>
    <col min="13" max="13" width="9.109375" style="1"/>
    <col min="14" max="14" width="6.44140625" style="1" customWidth="1"/>
    <col min="15" max="15" width="23.44140625" style="1" customWidth="1"/>
    <col min="16" max="16" width="9.109375" style="1"/>
    <col min="17" max="17" width="13.33203125" style="1" customWidth="1"/>
    <col min="18" max="16384" width="9.109375" style="1"/>
  </cols>
  <sheetData>
    <row r="1" spans="2:16" ht="7.5" customHeight="1" x14ac:dyDescent="0.3"/>
    <row r="2" spans="2:16" x14ac:dyDescent="0.3">
      <c r="B2" s="47" t="s">
        <v>751</v>
      </c>
    </row>
    <row r="3" spans="2:16" ht="15" thickBot="1" x14ac:dyDescent="0.35"/>
    <row r="4" spans="2:16" ht="15" thickBot="1" x14ac:dyDescent="0.35">
      <c r="B4" s="229" t="s">
        <v>65</v>
      </c>
      <c r="C4" s="230"/>
      <c r="D4" s="230"/>
      <c r="E4" s="231"/>
      <c r="G4" s="222" t="s">
        <v>31</v>
      </c>
      <c r="H4" s="223"/>
      <c r="I4" s="223"/>
      <c r="J4" s="223"/>
      <c r="K4" s="223"/>
      <c r="L4" s="224"/>
      <c r="M4" s="2"/>
    </row>
    <row r="5" spans="2:16" x14ac:dyDescent="0.3">
      <c r="B5" s="30"/>
      <c r="C5" s="16" t="s">
        <v>28</v>
      </c>
      <c r="D5" s="32"/>
      <c r="E5" s="19"/>
      <c r="G5" s="22"/>
      <c r="H5" s="16" t="s">
        <v>28</v>
      </c>
      <c r="I5" s="32" t="s">
        <v>29</v>
      </c>
      <c r="J5" s="38"/>
      <c r="K5" s="32"/>
      <c r="L5" s="19"/>
      <c r="M5" s="25"/>
    </row>
    <row r="6" spans="2:16" x14ac:dyDescent="0.3">
      <c r="B6" s="3" t="s">
        <v>76</v>
      </c>
      <c r="C6" s="2">
        <v>6555</v>
      </c>
      <c r="D6" s="25"/>
      <c r="E6" s="34"/>
      <c r="G6" s="3" t="s">
        <v>32</v>
      </c>
      <c r="H6" s="5"/>
      <c r="I6" s="26"/>
      <c r="J6" s="39"/>
      <c r="K6" s="26"/>
      <c r="L6" s="9"/>
      <c r="M6" s="25"/>
    </row>
    <row r="7" spans="2:16" x14ac:dyDescent="0.3">
      <c r="B7" s="33"/>
      <c r="C7" s="2"/>
      <c r="D7" s="261" t="s">
        <v>749</v>
      </c>
      <c r="E7" s="263" t="s">
        <v>750</v>
      </c>
      <c r="G7" s="4" t="s">
        <v>33</v>
      </c>
      <c r="H7" s="5" t="e">
        <f>COUNTIFS(#REF!, "Female",#REF!, "Yes")</f>
        <v>#REF!</v>
      </c>
      <c r="I7" s="15" t="e">
        <f>H7/SUM($H$7:$H$8)</f>
        <v>#REF!</v>
      </c>
      <c r="J7" s="39"/>
      <c r="K7" s="15"/>
      <c r="L7" s="6"/>
      <c r="M7" s="25"/>
    </row>
    <row r="8" spans="2:16" x14ac:dyDescent="0.3">
      <c r="B8" s="3" t="s">
        <v>77</v>
      </c>
      <c r="C8" s="2">
        <v>5076</v>
      </c>
      <c r="D8" s="262"/>
      <c r="E8" s="264"/>
      <c r="G8" s="4" t="s">
        <v>34</v>
      </c>
      <c r="H8" s="5" t="e">
        <f>COUNTIFS(#REF!, "Male",#REF!, "Yes")</f>
        <v>#REF!</v>
      </c>
      <c r="I8" s="15" t="e">
        <f>H8/SUM($H$7:$H$8)</f>
        <v>#REF!</v>
      </c>
      <c r="J8" s="39"/>
      <c r="K8" s="15"/>
      <c r="L8" s="6"/>
      <c r="M8" s="26"/>
    </row>
    <row r="9" spans="2:16" x14ac:dyDescent="0.3">
      <c r="B9" s="4" t="s">
        <v>63</v>
      </c>
      <c r="C9" s="5">
        <v>4745</v>
      </c>
      <c r="D9" s="15">
        <v>0.93479117415287627</v>
      </c>
      <c r="E9" s="6">
        <v>0.93479117415287627</v>
      </c>
      <c r="G9" s="3" t="s">
        <v>67</v>
      </c>
      <c r="H9" s="2"/>
      <c r="I9" s="15"/>
      <c r="J9" s="39"/>
      <c r="K9" s="15"/>
      <c r="L9" s="6"/>
      <c r="M9" s="15"/>
      <c r="O9" s="24"/>
      <c r="P9" s="2"/>
    </row>
    <row r="10" spans="2:16" x14ac:dyDescent="0.3">
      <c r="B10" s="4" t="s">
        <v>58</v>
      </c>
      <c r="C10" s="5">
        <v>4194</v>
      </c>
      <c r="D10" s="15">
        <v>0.88387776606954693</v>
      </c>
      <c r="E10" s="6">
        <v>0.82624113475177308</v>
      </c>
      <c r="G10" s="4" t="s">
        <v>54</v>
      </c>
      <c r="H10" s="10" t="e">
        <f>AVERAGE(#REF!)</f>
        <v>#REF!</v>
      </c>
      <c r="I10" s="27"/>
      <c r="J10" s="40"/>
      <c r="K10" s="27"/>
      <c r="L10" s="11"/>
      <c r="M10" s="15"/>
    </row>
    <row r="11" spans="2:16" x14ac:dyDescent="0.3">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35">
      <c r="B12" s="13" t="s">
        <v>64</v>
      </c>
      <c r="C12" s="17">
        <v>4178</v>
      </c>
      <c r="D12" s="50">
        <v>0.99928246830901701</v>
      </c>
      <c r="E12" s="21">
        <v>0.82308904649330183</v>
      </c>
      <c r="G12" s="4" t="s">
        <v>55</v>
      </c>
      <c r="H12" s="12" t="e">
        <f>MIN(#REF!)</f>
        <v>#REF!</v>
      </c>
      <c r="I12" s="15"/>
      <c r="J12" s="39"/>
      <c r="K12" s="15"/>
      <c r="L12" s="6"/>
      <c r="M12" s="27"/>
      <c r="O12" s="10"/>
    </row>
    <row r="13" spans="2:16" ht="15" thickBot="1" x14ac:dyDescent="0.35">
      <c r="B13" s="2"/>
      <c r="C13" s="2"/>
      <c r="D13" s="2"/>
      <c r="E13" s="2"/>
      <c r="G13" s="4" t="s">
        <v>56</v>
      </c>
      <c r="H13" s="12" t="e">
        <f>MAX(#REF!)</f>
        <v>#REF!</v>
      </c>
      <c r="I13" s="12"/>
      <c r="J13" s="41"/>
      <c r="K13" s="12"/>
      <c r="L13" s="23"/>
      <c r="O13" s="31"/>
    </row>
    <row r="14" spans="2:16" ht="15" thickBot="1" x14ac:dyDescent="0.35">
      <c r="B14" s="229" t="s">
        <v>66</v>
      </c>
      <c r="C14" s="230"/>
      <c r="D14" s="231"/>
      <c r="E14" s="28"/>
      <c r="G14" s="3" t="s">
        <v>71</v>
      </c>
      <c r="L14" s="20"/>
      <c r="M14" s="15"/>
    </row>
    <row r="15" spans="2:16" x14ac:dyDescent="0.3">
      <c r="B15" s="18"/>
      <c r="C15" s="16" t="s">
        <v>28</v>
      </c>
      <c r="D15" s="19" t="s">
        <v>29</v>
      </c>
      <c r="E15" s="2"/>
      <c r="G15" s="4" t="s">
        <v>68</v>
      </c>
      <c r="H15" s="59" t="e">
        <f>COUNTIFS(#REF!,"&gt;=18",#REF!, "&lt;=35")</f>
        <v>#REF!</v>
      </c>
      <c r="I15" s="15" t="e">
        <f>H15/SUM($H$15:$H$18)</f>
        <v>#REF!</v>
      </c>
      <c r="J15" s="39"/>
      <c r="K15" s="15"/>
      <c r="L15" s="6"/>
      <c r="M15" s="54"/>
    </row>
    <row r="16" spans="2:16" x14ac:dyDescent="0.3">
      <c r="B16" s="3" t="s">
        <v>736</v>
      </c>
      <c r="C16" s="2"/>
      <c r="D16" s="34"/>
      <c r="E16" s="25"/>
      <c r="G16" s="4" t="s">
        <v>69</v>
      </c>
      <c r="H16" s="59" t="e">
        <f>COUNTIFS(#REF!,"&gt;=36",#REF!, "&lt;=50")</f>
        <v>#REF!</v>
      </c>
      <c r="I16" s="15" t="e">
        <f>H16/SUM($H$15:$H$18)</f>
        <v>#REF!</v>
      </c>
      <c r="J16" s="39"/>
      <c r="K16" s="15"/>
      <c r="L16" s="6"/>
    </row>
    <row r="17" spans="2:13" x14ac:dyDescent="0.3">
      <c r="B17" s="4" t="s">
        <v>737</v>
      </c>
      <c r="C17" s="5">
        <v>294</v>
      </c>
      <c r="D17" s="6">
        <v>7.0368597415031112E-2</v>
      </c>
      <c r="E17" s="25"/>
      <c r="G17" s="4" t="s">
        <v>70</v>
      </c>
      <c r="H17" s="59" t="e">
        <f>COUNTIFS(#REF!,"&gt;=51",#REF!, "&lt;=65")</f>
        <v>#REF!</v>
      </c>
      <c r="I17" s="15" t="e">
        <f>H17/SUM($H$15:$H$18)</f>
        <v>#REF!</v>
      </c>
      <c r="J17" s="39"/>
      <c r="K17" s="15"/>
      <c r="L17" s="6"/>
    </row>
    <row r="18" spans="2:13" ht="15" thickBot="1" x14ac:dyDescent="0.35">
      <c r="B18" s="4" t="s">
        <v>738</v>
      </c>
      <c r="C18" s="5">
        <v>357</v>
      </c>
      <c r="D18" s="6">
        <v>8.544758257539492E-2</v>
      </c>
      <c r="G18" s="13" t="s">
        <v>733</v>
      </c>
      <c r="H18" s="60" t="e">
        <f>COUNTIFS(#REF!,"&gt;=66")</f>
        <v>#REF!</v>
      </c>
      <c r="I18" s="50" t="e">
        <f>H18/SUM($H$15:$H$18)</f>
        <v>#REF!</v>
      </c>
      <c r="J18" s="61"/>
      <c r="K18" s="50"/>
      <c r="L18" s="21"/>
    </row>
    <row r="19" spans="2:13" x14ac:dyDescent="0.3">
      <c r="B19" s="4" t="s">
        <v>739</v>
      </c>
      <c r="C19" s="5">
        <v>1060</v>
      </c>
      <c r="D19" s="6">
        <v>0.2537099090473911</v>
      </c>
      <c r="G19" s="3" t="s">
        <v>36</v>
      </c>
      <c r="H19" s="5"/>
      <c r="I19" s="5"/>
      <c r="K19" s="5"/>
      <c r="L19" s="6"/>
    </row>
    <row r="20" spans="2:13" x14ac:dyDescent="0.3">
      <c r="B20" s="4" t="s">
        <v>744</v>
      </c>
      <c r="C20" s="5">
        <v>504</v>
      </c>
      <c r="D20" s="6">
        <v>0.12063188128291048</v>
      </c>
      <c r="G20" s="4" t="s">
        <v>37</v>
      </c>
      <c r="H20" s="57" t="e">
        <f>COUNTIF(#REF!, "Yes")+COUNTIF(#REF!, "Ewe")</f>
        <v>#REF!</v>
      </c>
      <c r="I20" s="15" t="e">
        <f t="shared" ref="I20:I26" si="0">H20/SUM($H$20:$H$26)</f>
        <v>#REF!</v>
      </c>
      <c r="K20" s="5"/>
      <c r="L20" s="6"/>
    </row>
    <row r="21" spans="2:13" x14ac:dyDescent="0.3">
      <c r="B21" s="3" t="s">
        <v>6</v>
      </c>
      <c r="D21" s="6"/>
      <c r="G21" s="4" t="s">
        <v>38</v>
      </c>
      <c r="H21" s="57" t="e">
        <f>COUNTIF(#REF!, "Zimbabwe")</f>
        <v>#REF!</v>
      </c>
      <c r="I21" s="15" t="e">
        <f t="shared" si="0"/>
        <v>#REF!</v>
      </c>
      <c r="K21" s="5"/>
      <c r="L21" s="6"/>
    </row>
    <row r="22" spans="2:13" x14ac:dyDescent="0.3">
      <c r="B22" s="4" t="s">
        <v>745</v>
      </c>
      <c r="C22" s="5">
        <v>337</v>
      </c>
      <c r="D22" s="6">
        <v>8.0660603159406416E-2</v>
      </c>
      <c r="E22" s="25"/>
      <c r="G22" s="4" t="s">
        <v>39</v>
      </c>
      <c r="H22" s="57" t="e">
        <f>COUNTIF(#REF!, "Malawi")</f>
        <v>#REF!</v>
      </c>
      <c r="I22" s="15" t="e">
        <f t="shared" si="0"/>
        <v>#REF!</v>
      </c>
      <c r="K22" s="5"/>
      <c r="L22" s="6"/>
    </row>
    <row r="23" spans="2:13" x14ac:dyDescent="0.3">
      <c r="B23" s="4" t="s">
        <v>746</v>
      </c>
      <c r="C23" s="5">
        <v>262</v>
      </c>
      <c r="D23" s="6">
        <v>6.2709430349449494E-2</v>
      </c>
      <c r="E23" s="55"/>
      <c r="G23" s="4" t="s">
        <v>707</v>
      </c>
      <c r="H23" s="57" t="e">
        <f>COUNTIF(#REF!, "Mozambique")</f>
        <v>#REF!</v>
      </c>
      <c r="I23" s="15" t="e">
        <f t="shared" si="0"/>
        <v>#REF!</v>
      </c>
      <c r="K23" s="5"/>
      <c r="L23" s="6"/>
      <c r="M23" s="15"/>
    </row>
    <row r="24" spans="2:13" x14ac:dyDescent="0.3">
      <c r="B24" s="4" t="s">
        <v>747</v>
      </c>
      <c r="C24" s="5">
        <v>208</v>
      </c>
      <c r="D24" s="6">
        <v>4.9784585926280517E-2</v>
      </c>
      <c r="E24" s="55"/>
      <c r="G24" s="4" t="s">
        <v>708</v>
      </c>
      <c r="H24" s="57" t="e">
        <f>COUNTIF(#REF!, "Lesotho")</f>
        <v>#REF!</v>
      </c>
      <c r="I24" s="15" t="e">
        <f t="shared" si="0"/>
        <v>#REF!</v>
      </c>
      <c r="K24" s="5"/>
      <c r="L24" s="6"/>
      <c r="M24" s="15"/>
    </row>
    <row r="25" spans="2:13" x14ac:dyDescent="0.3">
      <c r="B25" s="4" t="s">
        <v>748</v>
      </c>
      <c r="C25" s="5">
        <v>441</v>
      </c>
      <c r="D25" s="6">
        <v>0.10555289612254667</v>
      </c>
      <c r="E25" s="55"/>
      <c r="G25" s="4" t="s">
        <v>734</v>
      </c>
      <c r="H25" s="57" t="e">
        <f>COUNTIF(#REF!, "Ethopia")+COUNTIF(#REF!, "Ethiopia ")</f>
        <v>#REF!</v>
      </c>
      <c r="I25" s="15" t="e">
        <f t="shared" si="0"/>
        <v>#REF!</v>
      </c>
      <c r="K25" s="5"/>
      <c r="L25" s="6"/>
      <c r="M25" s="15"/>
    </row>
    <row r="26" spans="2:13" x14ac:dyDescent="0.3">
      <c r="B26" s="3" t="s">
        <v>742</v>
      </c>
      <c r="C26" s="1"/>
      <c r="D26" s="20"/>
      <c r="E26" s="55"/>
      <c r="G26" s="4" t="s">
        <v>735</v>
      </c>
      <c r="H26" s="57" t="e">
        <f>COUNTIF(#REF!, "LYBIA")</f>
        <v>#REF!</v>
      </c>
      <c r="I26" s="15" t="e">
        <f t="shared" si="0"/>
        <v>#REF!</v>
      </c>
      <c r="K26" s="5"/>
      <c r="L26" s="6"/>
      <c r="M26" s="15"/>
    </row>
    <row r="27" spans="2:13" x14ac:dyDescent="0.3">
      <c r="B27" s="4" t="s">
        <v>740</v>
      </c>
      <c r="C27" s="5">
        <v>201</v>
      </c>
      <c r="D27" s="6">
        <v>4.810914313068454E-2</v>
      </c>
      <c r="E27" s="55"/>
      <c r="G27" s="3" t="s">
        <v>40</v>
      </c>
      <c r="H27" s="57"/>
      <c r="I27" s="5"/>
      <c r="K27" s="5"/>
      <c r="L27" s="6"/>
      <c r="M27" s="15"/>
    </row>
    <row r="28" spans="2:13" x14ac:dyDescent="0.3">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35">
      <c r="B29" s="13" t="s">
        <v>743</v>
      </c>
      <c r="C29" s="17">
        <v>358</v>
      </c>
      <c r="D29" s="21">
        <v>8.5686931546194348E-2</v>
      </c>
      <c r="E29" s="56"/>
      <c r="G29" s="4" t="s">
        <v>42</v>
      </c>
      <c r="H29" s="57" t="e">
        <f>COUNTIF(#REF!, "Colored")+COUNTIF(#REF!, "XXX")</f>
        <v>#REF!</v>
      </c>
      <c r="I29" s="15" t="e">
        <f>H29/SUM($H$28:$H$32)</f>
        <v>#REF!</v>
      </c>
      <c r="K29" s="5"/>
      <c r="L29" s="6"/>
      <c r="M29" s="15"/>
    </row>
    <row r="30" spans="2:13" x14ac:dyDescent="0.3">
      <c r="G30" s="4" t="s">
        <v>43</v>
      </c>
      <c r="H30" s="57" t="e">
        <f>COUNTIF(#REF!, "White")+COUNTIF(#REF!, "XXX")</f>
        <v>#REF!</v>
      </c>
      <c r="I30" s="15" t="e">
        <f>H30/SUM($H$28:$H$32)</f>
        <v>#REF!</v>
      </c>
      <c r="K30" s="5"/>
      <c r="L30" s="6"/>
      <c r="M30" s="15"/>
    </row>
    <row r="31" spans="2:13" ht="15" hidden="1" thickBot="1" x14ac:dyDescent="0.35">
      <c r="B31" s="62" t="s">
        <v>80</v>
      </c>
      <c r="C31" s="63"/>
      <c r="D31" s="64"/>
      <c r="G31" s="4" t="s">
        <v>44</v>
      </c>
      <c r="H31" s="57" t="e">
        <f>COUNTIF(#REF!, "Indian")+COUNTIF(#REF!, "XXX")</f>
        <v>#REF!</v>
      </c>
      <c r="I31" s="15" t="e">
        <f>H31/SUM($H$28:$H$32)</f>
        <v>#REF!</v>
      </c>
      <c r="K31" s="5"/>
      <c r="L31" s="6"/>
      <c r="M31" s="15"/>
    </row>
    <row r="32" spans="2:13" hidden="1" x14ac:dyDescent="0.3">
      <c r="B32" s="18"/>
      <c r="C32" s="16" t="s">
        <v>28</v>
      </c>
      <c r="D32" s="19" t="s">
        <v>29</v>
      </c>
      <c r="G32" s="4" t="s">
        <v>35</v>
      </c>
      <c r="H32" s="57">
        <v>0</v>
      </c>
      <c r="I32" s="15" t="e">
        <f>H32/SUM($H$28:$H$32)</f>
        <v>#REF!</v>
      </c>
      <c r="K32" s="5"/>
      <c r="L32" s="6"/>
      <c r="M32" s="15"/>
    </row>
    <row r="33" spans="2:13" hidden="1" x14ac:dyDescent="0.3">
      <c r="B33" s="4" t="s">
        <v>81</v>
      </c>
      <c r="C33" s="5" t="e">
        <f>COUNTIFS(#REF!, "Yes",#REF!, "Yes")+COUNTIFS(#REF!, "Ewe",#REF!, "Ewe")</f>
        <v>#REF!</v>
      </c>
      <c r="D33" s="6" t="e">
        <f>C33/SUM($C$33:$C$34)</f>
        <v>#REF!</v>
      </c>
      <c r="E33" s="1"/>
      <c r="G33" s="3" t="s">
        <v>45</v>
      </c>
      <c r="H33" s="57"/>
      <c r="I33" s="5"/>
      <c r="K33" s="5"/>
      <c r="L33" s="6"/>
      <c r="M33" s="15"/>
    </row>
    <row r="34" spans="2:13" ht="15" hidden="1" thickBot="1" x14ac:dyDescent="0.35">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
      <c r="E35" s="2"/>
      <c r="G35" s="4" t="s">
        <v>47</v>
      </c>
      <c r="H35" s="57" t="e">
        <f>COUNTIF(#REF!, "Employed full-time")+COUNTIF(#REF!, "Uqeshwe isigxina")</f>
        <v>#REF!</v>
      </c>
      <c r="I35" s="15" t="e">
        <f>H35/SUM($H$34:$H$37)</f>
        <v>#REF!</v>
      </c>
      <c r="K35" s="5"/>
      <c r="L35" s="6"/>
      <c r="M35" s="15"/>
    </row>
    <row r="36" spans="2:13" x14ac:dyDescent="0.3">
      <c r="E36" s="25"/>
      <c r="G36" s="4" t="s">
        <v>48</v>
      </c>
      <c r="H36" s="57" t="e">
        <f>COUNTIF(#REF!, "Employed part-time")+COUNTIF(#REF!, "Uqeshwa okwexeshana")</f>
        <v>#REF!</v>
      </c>
      <c r="I36" s="15" t="e">
        <f>H36/SUM($H$34:$H$37)</f>
        <v>#REF!</v>
      </c>
      <c r="K36" s="5"/>
      <c r="L36" s="6"/>
      <c r="M36" s="15"/>
    </row>
    <row r="37" spans="2:13" x14ac:dyDescent="0.3">
      <c r="G37" s="4" t="s">
        <v>49</v>
      </c>
      <c r="H37" s="57" t="e">
        <f>COUNTIF(#REF!, "Self-Employed")+COUNTIF(#REF!, "Uziqeshile")</f>
        <v>#REF!</v>
      </c>
      <c r="I37" s="15" t="e">
        <f>H37/SUM($H$34:$H$37)</f>
        <v>#REF!</v>
      </c>
      <c r="K37" s="5"/>
      <c r="L37" s="6"/>
      <c r="M37" s="15"/>
    </row>
    <row r="38" spans="2:13" x14ac:dyDescent="0.3">
      <c r="G38" s="3" t="s">
        <v>50</v>
      </c>
      <c r="H38" s="57"/>
      <c r="I38" s="5"/>
      <c r="K38" s="5"/>
      <c r="L38" s="6"/>
      <c r="M38" s="15"/>
    </row>
    <row r="39" spans="2:13" x14ac:dyDescent="0.3">
      <c r="C39" s="1"/>
      <c r="D39" s="1"/>
      <c r="E39" s="1"/>
      <c r="G39" s="4" t="s">
        <v>51</v>
      </c>
      <c r="H39" s="57" t="e">
        <f>COUNTIF(#REF!, "Less than Matric")+COUNTIF(#REF!, "Ngaphantsi kwebanga leshumi")</f>
        <v>#REF!</v>
      </c>
      <c r="I39" s="15" t="e">
        <f>H39/SUM($H$39:$H$41)</f>
        <v>#REF!</v>
      </c>
      <c r="K39" s="5"/>
      <c r="L39" s="6"/>
      <c r="M39" s="15"/>
    </row>
    <row r="40" spans="2:13" x14ac:dyDescent="0.3">
      <c r="C40" s="1"/>
      <c r="D40" s="1"/>
      <c r="E40" s="1"/>
      <c r="G40" s="4" t="s">
        <v>52</v>
      </c>
      <c r="H40" s="57" t="e">
        <f>COUNTIF(#REF!, "Matric")+COUNTIF(#REF!, "Ibanga leshumi")</f>
        <v>#REF!</v>
      </c>
      <c r="I40" s="15" t="e">
        <f>H40/SUM($H$39:$H$41)</f>
        <v>#REF!</v>
      </c>
      <c r="K40" s="5"/>
      <c r="L40" s="6"/>
      <c r="M40" s="15"/>
    </row>
    <row r="41" spans="2:13" ht="15" thickBot="1" x14ac:dyDescent="0.35">
      <c r="C41" s="1"/>
      <c r="D41" s="1"/>
      <c r="E41" s="1"/>
      <c r="G41" s="13" t="s">
        <v>53</v>
      </c>
      <c r="H41" s="58" t="e">
        <f>COUNTIF(#REF!, "Tertiary")+COUNTIF(#REF!, "Imfundo enomsila")</f>
        <v>#REF!</v>
      </c>
      <c r="I41" s="50" t="e">
        <f>H41/SUM($H$39:$H$41)</f>
        <v>#REF!</v>
      </c>
      <c r="J41" s="42"/>
      <c r="K41" s="17"/>
      <c r="L41" s="21"/>
      <c r="M41" s="15"/>
    </row>
    <row r="42" spans="2:13" x14ac:dyDescent="0.3">
      <c r="C42" s="1"/>
      <c r="D42" s="1"/>
      <c r="E42" s="1"/>
      <c r="J42" s="1"/>
      <c r="M42" s="15"/>
    </row>
    <row r="43" spans="2:13" x14ac:dyDescent="0.3">
      <c r="C43" s="1"/>
      <c r="D43" s="1"/>
      <c r="E43" s="1"/>
      <c r="J43" s="1"/>
      <c r="M43" s="15"/>
    </row>
    <row r="44" spans="2:13" x14ac:dyDescent="0.3">
      <c r="J44" s="1"/>
      <c r="M44" s="15"/>
    </row>
    <row r="45" spans="2:13" x14ac:dyDescent="0.3">
      <c r="J45" s="1"/>
      <c r="M45" s="15"/>
    </row>
    <row r="46" spans="2:13" x14ac:dyDescent="0.3">
      <c r="J46" s="1"/>
      <c r="M46" s="15"/>
    </row>
    <row r="47" spans="2:13" x14ac:dyDescent="0.3">
      <c r="D47" s="29"/>
      <c r="E47" s="29"/>
      <c r="J47" s="1"/>
      <c r="M47" s="15"/>
    </row>
    <row r="48" spans="2:13" x14ac:dyDescent="0.3">
      <c r="J48" s="1"/>
      <c r="M48" s="15"/>
    </row>
    <row r="49" spans="2:18" x14ac:dyDescent="0.3">
      <c r="J49" s="1"/>
      <c r="M49" s="15"/>
    </row>
    <row r="50" spans="2:18" x14ac:dyDescent="0.3">
      <c r="J50" s="1"/>
      <c r="M50" s="15"/>
    </row>
    <row r="51" spans="2:18" x14ac:dyDescent="0.3">
      <c r="J51" s="1"/>
      <c r="M51" s="15"/>
    </row>
    <row r="52" spans="2:18" x14ac:dyDescent="0.3">
      <c r="J52" s="1"/>
      <c r="M52" s="15"/>
    </row>
    <row r="53" spans="2:18" x14ac:dyDescent="0.3">
      <c r="J53" s="1"/>
      <c r="M53" s="15"/>
    </row>
    <row r="54" spans="2:18" x14ac:dyDescent="0.3">
      <c r="B54" s="24"/>
      <c r="C54" s="2"/>
      <c r="D54" s="25"/>
      <c r="E54" s="25"/>
      <c r="J54" s="1"/>
      <c r="M54" s="15"/>
    </row>
    <row r="55" spans="2:18" x14ac:dyDescent="0.3">
      <c r="M55" s="15"/>
    </row>
    <row r="56" spans="2:18" x14ac:dyDescent="0.3">
      <c r="M56" s="15"/>
    </row>
    <row r="58" spans="2:18" x14ac:dyDescent="0.3">
      <c r="C58" s="2"/>
      <c r="F58" s="7"/>
      <c r="N58" s="8"/>
      <c r="O58" s="8"/>
      <c r="P58" s="8"/>
      <c r="Q58" s="8"/>
      <c r="R58" s="8"/>
    </row>
    <row r="59" spans="2:18" x14ac:dyDescent="0.3">
      <c r="B59" s="24"/>
      <c r="C59" s="2"/>
      <c r="D59" s="25"/>
      <c r="E59" s="25"/>
      <c r="F59" s="7"/>
      <c r="N59" s="8"/>
      <c r="O59" s="8"/>
      <c r="P59" s="8"/>
      <c r="Q59" s="8"/>
      <c r="R59" s="8"/>
    </row>
    <row r="60" spans="2:18" x14ac:dyDescent="0.3">
      <c r="D60" s="26"/>
      <c r="E60" s="26"/>
      <c r="F60" s="7"/>
      <c r="G60" s="8"/>
      <c r="H60" s="8"/>
      <c r="I60" s="8"/>
      <c r="J60" s="43"/>
      <c r="K60" s="8"/>
      <c r="L60" s="8"/>
      <c r="M60" s="8"/>
      <c r="N60" s="8"/>
      <c r="O60" s="8"/>
      <c r="P60" s="8"/>
      <c r="Q60" s="8"/>
      <c r="R60" s="8"/>
    </row>
    <row r="61" spans="2:18" x14ac:dyDescent="0.3">
      <c r="F61" s="7"/>
      <c r="G61" s="8"/>
      <c r="H61" s="8"/>
      <c r="I61" s="8"/>
      <c r="J61" s="43"/>
      <c r="K61" s="8"/>
      <c r="L61" s="8"/>
      <c r="M61" s="8"/>
      <c r="N61" s="8"/>
      <c r="O61" s="8"/>
      <c r="P61" s="8"/>
      <c r="Q61" s="8"/>
      <c r="R61" s="8"/>
    </row>
    <row r="62" spans="2:18" x14ac:dyDescent="0.3">
      <c r="F62" s="7"/>
      <c r="G62" s="8"/>
      <c r="H62" s="8"/>
      <c r="I62" s="8"/>
      <c r="J62" s="43"/>
      <c r="K62" s="8"/>
      <c r="L62" s="8"/>
      <c r="M62" s="8"/>
      <c r="N62" s="8"/>
      <c r="O62" s="8"/>
      <c r="P62" s="8"/>
      <c r="Q62" s="8"/>
      <c r="R62" s="8"/>
    </row>
    <row r="63" spans="2:18" x14ac:dyDescent="0.3">
      <c r="C63" s="2"/>
    </row>
    <row r="87" spans="3:5" x14ac:dyDescent="0.3">
      <c r="C87" s="2"/>
    </row>
    <row r="88" spans="3:5" x14ac:dyDescent="0.3">
      <c r="C88" s="10"/>
      <c r="D88" s="27"/>
      <c r="E88" s="27"/>
    </row>
    <row r="89" spans="3:5" x14ac:dyDescent="0.3">
      <c r="C89" s="12"/>
    </row>
    <row r="90" spans="3:5" x14ac:dyDescent="0.3">
      <c r="C90" s="12"/>
      <c r="D90" s="12"/>
      <c r="E90" s="12"/>
    </row>
    <row r="91" spans="3:5" x14ac:dyDescent="0.3">
      <c r="C91" s="1"/>
      <c r="D91" s="1"/>
      <c r="E91" s="1"/>
    </row>
    <row r="92" spans="3:5" x14ac:dyDescent="0.3">
      <c r="C92" s="1"/>
      <c r="D92" s="1"/>
      <c r="E92" s="1"/>
    </row>
    <row r="93" spans="3:5" x14ac:dyDescent="0.3">
      <c r="C93" s="1"/>
      <c r="D93" s="1"/>
      <c r="E93" s="1"/>
    </row>
    <row r="94" spans="3:5" x14ac:dyDescent="0.3">
      <c r="C94" s="1"/>
      <c r="D94" s="1"/>
      <c r="E94" s="1"/>
    </row>
    <row r="95" spans="3:5" x14ac:dyDescent="0.3">
      <c r="C95" s="1"/>
      <c r="D95" s="1"/>
      <c r="E95" s="1"/>
    </row>
    <row r="96" spans="3:5" x14ac:dyDescent="0.3">
      <c r="C96" s="1"/>
      <c r="D96" s="1"/>
      <c r="E96" s="1"/>
    </row>
    <row r="97" spans="2:5" x14ac:dyDescent="0.3">
      <c r="C97" s="1"/>
      <c r="D97" s="1"/>
      <c r="E97" s="1"/>
    </row>
    <row r="98" spans="2:5" x14ac:dyDescent="0.3">
      <c r="C98" s="1"/>
      <c r="D98" s="1"/>
      <c r="E98" s="1"/>
    </row>
    <row r="99" spans="2:5" x14ac:dyDescent="0.3">
      <c r="C99" s="1"/>
      <c r="D99" s="1"/>
      <c r="E99" s="1"/>
    </row>
    <row r="100" spans="2:5" x14ac:dyDescent="0.3">
      <c r="C100" s="1"/>
      <c r="D100" s="1"/>
      <c r="E100" s="1"/>
    </row>
    <row r="101" spans="2:5" x14ac:dyDescent="0.3">
      <c r="C101" s="1"/>
      <c r="D101" s="1"/>
      <c r="E101" s="1"/>
    </row>
    <row r="102" spans="2:5" x14ac:dyDescent="0.3">
      <c r="C102" s="1"/>
      <c r="D102" s="1"/>
      <c r="E102" s="1"/>
    </row>
    <row r="103" spans="2:5" x14ac:dyDescent="0.3">
      <c r="C103" s="1"/>
      <c r="D103" s="1"/>
      <c r="E103" s="1"/>
    </row>
    <row r="110" spans="2:5" x14ac:dyDescent="0.3">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Nkagisang Ntwagae</cp:lastModifiedBy>
  <cp:lastPrinted>2023-06-21T08:36:00Z</cp:lastPrinted>
  <dcterms:created xsi:type="dcterms:W3CDTF">2022-06-14T12:16:36Z</dcterms:created>
  <dcterms:modified xsi:type="dcterms:W3CDTF">2023-09-19T11:57:09Z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