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esmondtutuhivre-my.sharepoint.com/personal/mbasa_njomane_hiv-research_org_za/Documents/Documents/R Projects DTHF/TB-Stigma/Metadata/"/>
    </mc:Choice>
  </mc:AlternateContent>
  <xr:revisionPtr revIDLastSave="68" documentId="13_ncr:1_{481F5BB4-AAC8-4006-950E-346FE1586B0D}" xr6:coauthVersionLast="47" xr6:coauthVersionMax="47" xr10:uidLastSave="{D1830942-A93A-4642-8162-6BA8EAD64825}"/>
  <bookViews>
    <workbookView xWindow="28680" yWindow="-120" windowWidth="29040" windowHeight="15840" firstSheet="5" activeTab="5"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4" r:id="rId15"/>
    <pivotCache cacheId="5" r:id="rId16"/>
    <pivotCache cacheId="6" r:id="rId17"/>
    <pivotCache cacheId="7"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24" l="1"/>
  <c r="D15" i="2"/>
  <c r="C5" i="2"/>
  <c r="D9" i="26"/>
  <c r="D11" i="26"/>
  <c r="D11" i="25"/>
  <c r="D11" i="24"/>
  <c r="D15" i="26"/>
  <c r="D15" i="25"/>
  <c r="D8" i="25"/>
  <c r="D15" i="24"/>
  <c r="D3" i="25" l="1"/>
  <c r="P31" i="22"/>
  <c r="C61" i="25"/>
  <c r="C60" i="25"/>
  <c r="C59" i="25"/>
  <c r="C58" i="25"/>
  <c r="C57" i="25"/>
  <c r="C56" i="25"/>
  <c r="Z79" i="25"/>
  <c r="D26" i="25"/>
  <c r="Z79" i="26"/>
  <c r="D26" i="26"/>
  <c r="Z85" i="24"/>
  <c r="D26" i="24"/>
  <c r="S27" i="2"/>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1" i="24"/>
  <c r="T5" i="2"/>
  <c r="L5" i="2"/>
  <c r="D5" i="2"/>
  <c r="C2" i="24" s="1"/>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13" i="25"/>
  <c r="D10" i="25"/>
  <c r="D9" i="25"/>
  <c r="D53" i="26"/>
  <c r="D34" i="26"/>
  <c r="D29" i="26"/>
  <c r="D28" i="26"/>
  <c r="D21" i="26"/>
  <c r="D13" i="26"/>
  <c r="D10"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17" i="24"/>
  <c r="C18" i="24"/>
  <c r="C37" i="24"/>
  <c r="C49" i="24"/>
  <c r="C61" i="24"/>
  <c r="C26" i="24"/>
  <c r="C33" i="24"/>
  <c r="C22" i="24"/>
  <c r="C23" i="24"/>
  <c r="C48" i="24"/>
  <c r="C45" i="24"/>
  <c r="C32" i="24"/>
  <c r="C36" i="24"/>
  <c r="D29" i="24"/>
  <c r="D53" i="24"/>
  <c r="D67" i="15"/>
  <c r="C57" i="24"/>
  <c r="D28" i="24"/>
  <c r="D10" i="24"/>
  <c r="C30" i="24"/>
  <c r="C42" i="24"/>
  <c r="C54" i="24"/>
  <c r="C25" i="24"/>
  <c r="G67" i="15"/>
  <c r="C39" i="24" s="1"/>
  <c r="C44" i="24"/>
  <c r="C60" i="24"/>
  <c r="C19" i="24"/>
  <c r="C31" i="24"/>
  <c r="C43" i="24"/>
  <c r="C56" i="24"/>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D6" i="2"/>
  <c r="N6" i="23" l="1"/>
  <c r="C3" i="24"/>
  <c r="J13" i="23"/>
  <c r="D41" i="15"/>
  <c r="N29" i="23" s="1"/>
  <c r="D40" i="15"/>
  <c r="N28" i="23" s="1"/>
  <c r="D42" i="15"/>
  <c r="N30" i="23" s="1"/>
  <c r="D39" i="15"/>
  <c r="N27" i="23" s="1"/>
  <c r="D38" i="15"/>
  <c r="N26" i="23" s="1"/>
  <c r="D37" i="15"/>
  <c r="N25" i="23" s="1"/>
  <c r="E43" i="2"/>
  <c r="C7" i="24" s="1"/>
  <c r="E42" i="2"/>
  <c r="C6" i="24" s="1"/>
  <c r="T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E3" i="25"/>
  <c r="E3" i="26"/>
  <c r="C4" i="24"/>
  <c r="N7" i="23"/>
  <c r="E3" i="24"/>
  <c r="N8" i="23"/>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<sst xmlns="http://schemas.openxmlformats.org/spreadsheetml/2006/main" count="107272" uniqueCount="1014">
  <si>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</si>
  <si>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</si>
  <si>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</si>
  <si>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</si>
  <si>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</si>
  <si>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</si>
  <si>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</si>
  <si>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</si>
  <si>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</si>
  <si>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</si>
  <si>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</si>
  <si>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</si>
  <si>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</si>
  <si>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</si>
  <si>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</si>
  <si>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</si>
  <si>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</si>
  <si>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</si>
  <si>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</si>
  <si>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</si>
  <si>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</si>
  <si>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</si>
  <si>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</si>
  <si>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</si>
  <si>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</si>
  <si>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</si>
  <si>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</si>
  <si>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</si>
  <si>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</si>
  <si>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</si>
  <si>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</si>
  <si>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</si>
  <si>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</si>
  <si>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</si>
  <si>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</si>
  <si>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</si>
  <si>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</si>
  <si>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</si>
  <si>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</si>
  <si>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</si>
  <si>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</si>
  <si>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</si>
  <si>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</si>
  <si>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</si>
  <si>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</si>
  <si>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</si>
  <si>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</si>
  <si>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</si>
  <si>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</si>
  <si>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</si>
  <si>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</si>
  <si>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</si>
  <si>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</si>
  <si>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</si>
  <si>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</si>
  <si>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</si>
  <si>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</si>
  <si>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</si>
  <si>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</si>
  <si>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</si>
  <si>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</si>
  <si>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</si>
  <si>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</si>
  <si>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</si>
  <si>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</si>
  <si>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</si>
  <si>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</si>
  <si>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</si>
  <si>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</si>
  <si>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</si>
  <si>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</si>
  <si>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</si>
  <si>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</si>
  <si>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</si>
  <si>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</si>
  <si>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</si>
  <si>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</si>
  <si>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</si>
  <si>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</si>
  <si>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</si>
  <si>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</si>
  <si>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</si>
  <si>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</si>
  <si>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</si>
  <si>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</si>
  <si>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</si>
  <si>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</si>
  <si>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</si>
  <si>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</si>
  <si>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</si>
  <si>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</si>
  <si>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</si>
  <si>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</si>
  <si>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</si>
  <si>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</si>
  <si>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</si>
  <si>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</si>
  <si>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</si>
  <si>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</si>
  <si>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</si>
  <si>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</si>
  <si>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</si>
  <si>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</si>
  <si>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</si>
  <si>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</si>
  <si>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</si>
  <si>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</si>
  <si>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</si>
  <si>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</si>
  <si>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</si>
  <si>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</si>
  <si>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</si>
  <si>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</si>
  <si>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</si>
  <si>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</si>
  <si>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</si>
  <si>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</si>
  <si>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</si>
  <si>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</si>
  <si>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</si>
  <si>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</si>
  <si>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</si>
  <si>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</si>
  <si>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</si>
  <si>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</si>
  <si>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</si>
  <si>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</si>
  <si>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</si>
  <si>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</si>
  <si>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</si>
  <si>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</si>
  <si>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</si>
  <si>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</si>
  <si>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</si>
  <si>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</si>
  <si>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</si>
  <si>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</si>
  <si>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</si>
  <si>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</si>
  <si>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</si>
  <si>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</si>
  <si>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</si>
  <si>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</si>
  <si>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</si>
  <si>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</si>
  <si>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</si>
  <si>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</si>
  <si>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</si>
  <si>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</si>
  <si>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</si>
  <si>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</si>
  <si>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</si>
  <si>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</si>
  <si>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</si>
  <si>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</si>
  <si>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</si>
  <si>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</si>
  <si>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</si>
  <si>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</si>
  <si>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</si>
  <si>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</si>
  <si>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</si>
  <si>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</si>
  <si>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</si>
  <si>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</si>
  <si>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</si>
  <si>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</si>
  <si>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</si>
  <si>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</si>
  <si>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</si>
  <si>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</si>
  <si>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</si>
  <si>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</si>
  <si>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</si>
  <si>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</si>
  <si>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</si>
  <si>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</si>
  <si>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</si>
  <si>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</si>
  <si>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</si>
  <si>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</si>
  <si>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</si>
  <si>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</si>
  <si>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</si>
  <si>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</si>
  <si>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</si>
  <si>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</si>
  <si>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</si>
  <si>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</si>
  <si>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</si>
  <si>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</si>
  <si>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</si>
  <si>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</si>
  <si>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</si>
  <si>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</si>
  <si>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</si>
  <si>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</si>
  <si>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</si>
  <si>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</si>
  <si>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</si>
  <si>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</si>
  <si>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</si>
  <si>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</si>
  <si>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</si>
  <si>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</si>
  <si>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</si>
  <si>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</si>
  <si>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</si>
  <si>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</si>
  <si>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</si>
  <si>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</si>
  <si>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</si>
  <si>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</si>
  <si>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</si>
  <si>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</si>
  <si>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</si>
  <si>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</si>
  <si>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</si>
  <si>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</si>
  <si>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</si>
  <si>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</si>
  <si>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</si>
  <si>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</si>
  <si>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</si>
  <si>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</si>
  <si>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</si>
  <si>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</si>
  <si>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</si>
  <si>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</si>
  <si>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</si>
  <si>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</si>
  <si>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</si>
  <si>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</si>
  <si>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</si>
  <si>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</si>
  <si>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</si>
  <si>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</si>
  <si>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</si>
  <si>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</si>
  <si>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</si>
  <si>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</si>
  <si>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</si>
  <si>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</si>
  <si>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</si>
  <si>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</si>
  <si>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</si>
  <si>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</si>
  <si>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</si>
  <si>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</si>
  <si>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</si>
  <si>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</si>
  <si>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</si>
  <si>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</si>
  <si>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</si>
  <si>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</si>
  <si>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</si>
  <si>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</si>
  <si>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</si>
  <si>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</si>
  <si>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</si>
  <si>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</si>
  <si>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</si>
  <si>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</si>
  <si>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</si>
  <si>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</si>
  <si>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</si>
  <si>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</si>
  <si>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</si>
  <si>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</si>
  <si>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</si>
  <si>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</si>
  <si>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</si>
  <si>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</si>
  <si>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</si>
  <si>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</si>
  <si>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</si>
  <si>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</si>
  <si>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</si>
  <si>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</si>
  <si>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</si>
  <si>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</si>
  <si>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</si>
  <si>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</si>
  <si>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</si>
  <si>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</si>
  <si>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</si>
  <si>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</si>
  <si>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</si>
  <si>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</si>
  <si>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</si>
  <si>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</si>
  <si>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</si>
  <si>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</si>
  <si>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</si>
  <si>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</si>
  <si>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</si>
  <si>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</si>
  <si>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</si>
  <si>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</si>
  <si>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</si>
  <si>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</si>
  <si>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</si>
  <si>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</si>
  <si>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</si>
  <si>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</si>
  <si>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</si>
  <si>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</si>
  <si>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</si>
  <si>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</si>
  <si>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</si>
  <si>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</si>
  <si>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</si>
  <si>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</si>
  <si>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</si>
  <si>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</si>
  <si>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</si>
  <si>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</si>
  <si>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</si>
  <si>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</si>
  <si>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</si>
  <si>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</si>
  <si>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</si>
  <si>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</si>
  <si>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</si>
  <si>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</si>
  <si>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</si>
  <si>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</si>
  <si>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</si>
  <si>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</si>
  <si>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</si>
  <si>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</si>
  <si>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</si>
  <si>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</si>
  <si>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</si>
  <si>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</si>
  <si>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</si>
  <si>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</si>
  <si>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</si>
  <si>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</si>
  <si>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</si>
  <si>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</si>
  <si>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</si>
  <si>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</si>
  <si>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</si>
  <si>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</si>
  <si>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</si>
  <si>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</si>
  <si>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</si>
  <si>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</si>
  <si>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</si>
  <si>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</si>
  <si>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</si>
  <si>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</si>
  <si>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</si>
  <si>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</si>
  <si>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</si>
  <si>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</si>
  <si>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</si>
  <si>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</si>
  <si>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</si>
  <si>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</si>
  <si>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</si>
  <si>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</si>
  <si>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</si>
  <si>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</si>
  <si>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</si>
  <si>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</si>
  <si>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</si>
  <si>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</si>
  <si>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</si>
  <si>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</si>
  <si>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</si>
  <si>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</si>
  <si>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</si>
  <si>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</si>
  <si>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</si>
  <si>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</si>
  <si>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</si>
  <si>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</si>
  <si>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</si>
  <si>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</si>
  <si>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</si>
  <si>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</si>
  <si>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</si>
  <si>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</si>
  <si>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</si>
  <si>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</si>
  <si>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</si>
  <si>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</si>
  <si>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</si>
  <si>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</si>
  <si>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</si>
  <si>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</si>
  <si>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</si>
  <si>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</si>
  <si>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</si>
  <si>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</si>
  <si>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</si>
  <si>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</si>
  <si>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</si>
  <si>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</si>
  <si>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</si>
  <si>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</si>
  <si>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</si>
  <si>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</si>
  <si>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</si>
  <si>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</si>
  <si>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</si>
  <si>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</si>
  <si>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</si>
  <si>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</si>
  <si>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</si>
  <si>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</si>
  <si>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</si>
  <si>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</si>
  <si>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</si>
  <si>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</si>
  <si>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</si>
  <si>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</si>
  <si>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</si>
  <si>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</si>
  <si>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</si>
  <si>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</si>
  <si>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</si>
  <si>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</si>
  <si>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</si>
  <si>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</si>
  <si>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</si>
  <si>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</si>
  <si>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</si>
  <si>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</si>
  <si>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</si>
  <si>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</si>
  <si>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</si>
  <si>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</si>
  <si>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</si>
  <si>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</si>
  <si>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</si>
  <si>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</si>
  <si>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</si>
  <si>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</si>
  <si>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</si>
  <si>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</si>
  <si>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</si>
  <si>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</si>
  <si>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</si>
  <si>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</si>
  <si>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</si>
  <si>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</si>
  <si>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</si>
  <si>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</si>
  <si>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</si>
  <si>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</si>
  <si>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</si>
  <si>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</si>
  <si>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</si>
  <si>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</si>
  <si>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</si>
  <si>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</si>
  <si>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</si>
  <si>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</si>
  <si>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</si>
  <si>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</si>
  <si>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</si>
  <si>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</si>
  <si>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</si>
  <si>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</si>
  <si>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</si>
  <si>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</si>
  <si>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</si>
  <si>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</si>
  <si>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</si>
  <si>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</si>
  <si>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</si>
  <si>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</si>
  <si>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</si>
  <si>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</si>
  <si>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</si>
  <si>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</si>
  <si>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</si>
  <si>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</si>
  <si>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</si>
  <si>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</si>
  <si>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</si>
  <si>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</si>
  <si>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</si>
  <si>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</si>
  <si>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</si>
  <si>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</si>
  <si>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</si>
  <si>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</si>
  <si>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</si>
  <si>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</si>
  <si>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</si>
  <si>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</si>
  <si>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</si>
  <si>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</si>
  <si>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</si>
  <si>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</si>
  <si>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</si>
  <si>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</si>
  <si>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</si>
  <si>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</si>
  <si>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</si>
  <si>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</si>
  <si>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</si>
  <si>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</si>
  <si>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</si>
  <si>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</si>
  <si>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</si>
  <si>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</si>
  <si>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</si>
  <si>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</si>
  <si>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</si>
  <si>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</si>
  <si>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</si>
  <si>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</si>
  <si>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</si>
  <si>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</si>
  <si>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</si>
  <si>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</si>
  <si>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</si>
  <si>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</si>
  <si>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</si>
  <si>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</si>
  <si>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</si>
  <si>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</si>
  <si>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</si>
  <si>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</si>
  <si>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</si>
  <si>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</si>
  <si>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</si>
  <si>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</si>
  <si>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</si>
  <si>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</si>
  <si>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</si>
  <si>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</si>
  <si>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</si>
  <si>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</si>
  <si>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</si>
  <si>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</si>
  <si>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</si>
  <si>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</si>
  <si>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</si>
  <si>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</si>
  <si>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</si>
  <si>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</si>
  <si>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</si>
  <si>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</si>
  <si>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</si>
  <si>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</si>
  <si>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</si>
  <si>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</si>
  <si>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</si>
  <si>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</si>
  <si>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</si>
  <si>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</si>
  <si>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</si>
  <si>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</si>
  <si>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</si>
  <si>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</si>
  <si>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</si>
  <si>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</si>
  <si>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</si>
  <si>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</si>
  <si>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</si>
  <si>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</si>
  <si>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</si>
  <si>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</si>
  <si>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</si>
  <si>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</si>
  <si>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</si>
  <si>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</si>
  <si>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</si>
  <si>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</si>
  <si>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</si>
  <si>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</si>
  <si>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</si>
  <si>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</si>
  <si>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</si>
  <si>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</si>
  <si>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</si>
  <si>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</si>
  <si>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</si>
  <si>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</si>
  <si>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</si>
  <si>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</si>
  <si>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</si>
  <si>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</si>
  <si>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</si>
  <si>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</si>
  <si>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</si>
  <si>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</si>
  <si>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</si>
  <si>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</si>
  <si>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</si>
  <si>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</si>
  <si>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</si>
  <si>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</si>
  <si>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</si>
  <si>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</si>
  <si>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</si>
  <si>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</si>
  <si>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</si>
  <si>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</si>
  <si>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</si>
  <si>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</si>
  <si>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</si>
  <si>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</si>
  <si>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</si>
  <si>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</si>
  <si>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</si>
  <si>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</si>
  <si>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</si>
  <si>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</si>
  <si>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</si>
  <si>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</si>
  <si>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</si>
  <si>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</si>
  <si>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</si>
  <si>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</si>
  <si>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</si>
  <si>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</si>
  <si>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</si>
  <si>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</si>
  <si>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</si>
  <si>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</si>
  <si>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</si>
  <si>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</si>
  <si>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</si>
  <si>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</si>
  <si>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</si>
  <si>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</si>
  <si>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</si>
  <si>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</si>
  <si>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</si>
  <si>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</si>
  <si>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</si>
  <si>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</si>
  <si>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</si>
  <si>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</si>
  <si>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</si>
  <si>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</si>
  <si>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</si>
  <si>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</si>
  <si>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</si>
  <si>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</si>
  <si>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</si>
  <si>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</si>
  <si>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</si>
  <si>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</si>
  <si>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</si>
  <si>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</si>
  <si>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</si>
  <si>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</si>
  <si>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</si>
  <si>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</si>
  <si>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</si>
  <si>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</si>
  <si>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</si>
  <si>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</si>
  <si>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</si>
  <si>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</si>
  <si>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</si>
  <si>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</si>
  <si>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</si>
  <si>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</si>
  <si>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</si>
  <si>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</si>
  <si>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</si>
  <si>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</si>
  <si>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</si>
  <si>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</si>
  <si>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</si>
  <si>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</si>
  <si>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</si>
  <si>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</si>
  <si>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</si>
  <si>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</si>
  <si>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</si>
  <si>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</si>
  <si>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</si>
  <si>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</si>
  <si>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</si>
  <si>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</si>
  <si>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</si>
  <si>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</si>
  <si>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</si>
  <si>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</si>
  <si>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</si>
  <si>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</si>
  <si>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</si>
  <si>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</si>
  <si>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</si>
  <si>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</si>
  <si>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</si>
  <si>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</si>
  <si>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</si>
  <si>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</si>
  <si>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</si>
  <si>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</si>
  <si>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</si>
  <si>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</si>
  <si>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</si>
  <si>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</si>
  <si>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</si>
  <si>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</si>
  <si>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</si>
  <si>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</si>
  <si>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</si>
  <si>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</si>
  <si>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</si>
  <si>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</si>
  <si>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</si>
  <si>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</si>
  <si>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</si>
  <si>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</si>
  <si>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</si>
  <si>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</si>
  <si>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</si>
  <si>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</si>
  <si>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</si>
  <si>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</si>
  <si>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</si>
  <si>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</si>
  <si>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</si>
  <si>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</si>
  <si>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</si>
  <si>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</si>
  <si>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</si>
  <si>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</si>
  <si>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</si>
  <si>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</si>
  <si>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</si>
  <si>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</si>
  <si>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</si>
  <si>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</si>
  <si>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</si>
  <si>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</si>
  <si>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</si>
  <si>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</si>
  <si>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</si>
  <si>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</si>
  <si>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</si>
  <si>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</si>
  <si>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</si>
  <si>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</si>
  <si>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</si>
  <si>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</si>
  <si>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</si>
  <si>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</si>
  <si>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</si>
  <si>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</si>
  <si>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</si>
  <si>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</si>
  <si>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</si>
  <si>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</si>
  <si>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</si>
  <si>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</si>
  <si>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</si>
  <si>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</si>
  <si>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</si>
  <si>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</si>
  <si>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</si>
  <si>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</si>
  <si>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</si>
  <si>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</si>
  <si>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</si>
  <si>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</si>
  <si>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</si>
  <si>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</si>
  <si>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</si>
  <si>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</si>
  <si>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</si>
  <si>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</si>
  <si>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</si>
  <si>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</si>
  <si>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</si>
  <si>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</si>
  <si>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</si>
  <si>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</si>
  <si>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</si>
  <si>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</si>
  <si>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</si>
  <si>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</si>
  <si>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</si>
  <si>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</si>
  <si>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</si>
  <si>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</si>
  <si>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</si>
  <si>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</si>
  <si>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</si>
  <si>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</si>
  <si>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</si>
  <si>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</si>
  <si>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</si>
  <si>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</si>
  <si>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</si>
  <si>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</si>
  <si>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</si>
  <si>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</si>
  <si>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</si>
  <si>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</si>
  <si>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</si>
  <si>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</si>
  <si>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</si>
  <si>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</si>
  <si>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</si>
  <si>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</si>
  <si>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</si>
  <si>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</si>
  <si>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</si>
  <si>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</si>
  <si>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</si>
  <si>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</si>
  <si>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</si>
  <si>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</si>
  <si>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</si>
  <si>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</si>
  <si>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</si>
  <si>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</si>
  <si>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</si>
  <si>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</si>
  <si>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</si>
  <si>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</si>
  <si>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</si>
  <si>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</si>
  <si>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</si>
  <si>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</si>
  <si>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</si>
  <si>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</si>
  <si>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</si>
  <si>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</si>
  <si>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</si>
  <si>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</si>
  <si>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</si>
  <si>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</si>
  <si>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</si>
  <si>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</si>
  <si>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</si>
  <si>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</si>
  <si>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</si>
  <si>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</si>
  <si>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</si>
  <si>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</si>
  <si>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</si>
  <si>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</si>
  <si>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</si>
  <si>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</si>
  <si>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</si>
  <si>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</si>
  <si>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</si>
  <si>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</si>
  <si>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</si>
  <si>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</si>
  <si>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</si>
  <si>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</si>
  <si>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</si>
  <si>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</si>
  <si>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</si>
  <si>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</si>
  <si>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</si>
  <si>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</si>
  <si>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</si>
  <si>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</si>
  <si>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</si>
  <si>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</si>
  <si>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</si>
  <si>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</si>
  <si>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</si>
  <si>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</si>
  <si>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</si>
  <si>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</si>
  <si>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</si>
  <si>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</si>
  <si>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</si>
  <si>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</si>
  <si>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</si>
  <si>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</si>
  <si>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</si>
  <si>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</si>
  <si>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</si>
  <si>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</si>
  <si>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</si>
  <si>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</si>
  <si>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</si>
  <si>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</si>
  <si>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</si>
  <si>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</si>
  <si>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</si>
  <si>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</si>
  <si>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</si>
  <si>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</si>
  <si>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</si>
  <si>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</si>
  <si>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</si>
  <si>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</si>
  <si>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</si>
  <si>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</si>
  <si>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</si>
  <si>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</si>
  <si>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</si>
  <si>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</si>
  <si>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</si>
  <si>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</si>
  <si>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</si>
  <si>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</si>
  <si>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</si>
  <si>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</si>
  <si>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</si>
  <si>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</si>
  <si>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</si>
  <si>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</si>
  <si>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</si>
  <si>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</si>
  <si>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</si>
  <si>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</si>
  <si>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</si>
  <si>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</si>
  <si>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</si>
  <si>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</si>
  <si>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</si>
  <si>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</si>
  <si>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</si>
  <si>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</si>
  <si>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</si>
  <si>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</si>
  <si>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</si>
  <si>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</si>
  <si>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</si>
  <si>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</si>
  <si>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</si>
  <si>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</si>
  <si>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</si>
  <si>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</si>
  <si>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</si>
  <si>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</si>
  <si>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</si>
  <si>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</si>
  <si>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</si>
  <si>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</si>
  <si>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</si>
  <si>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</si>
  <si>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</si>
  <si>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</si>
  <si>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</si>
  <si>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</si>
  <si>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</si>
  <si>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</si>
  <si>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</si>
  <si>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</si>
  <si>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</si>
  <si>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</si>
  <si>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</si>
  <si>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</si>
  <si>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</si>
  <si>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</si>
  <si>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</si>
  <si>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</si>
  <si>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</si>
  <si>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</si>
  <si>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</si>
  <si>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</si>
  <si>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</si>
  <si>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</si>
  <si>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</si>
  <si>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</si>
  <si>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</si>
  <si>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</si>
  <si>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</si>
  <si>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</si>
  <si>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</si>
  <si>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</si>
  <si>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</si>
  <si>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</si>
  <si>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</si>
  <si>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</si>
  <si>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</si>
  <si>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</si>
  <si>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</si>
  <si>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</si>
  <si>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</si>
  <si>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</si>
  <si>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</si>
  <si>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</si>
  <si>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</si>
  <si>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</si>
  <si>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</si>
  <si>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</si>
  <si>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</si>
  <si>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</si>
  <si>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</si>
  <si>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</si>
  <si>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</si>
  <si>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</si>
  <si>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</si>
  <si>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</si>
  <si>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</si>
  <si>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</si>
  <si>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</si>
  <si>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</si>
  <si>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</si>
  <si>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</si>
  <si>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</si>
  <si>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</si>
  <si>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</si>
  <si>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</si>
  <si>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</si>
  <si>
    <t>Pre-TUTT</t>
  </si>
  <si>
    <t>HHC Enrolled</t>
  </si>
  <si>
    <t>HH Enrolled</t>
  </si>
  <si>
    <t>New Initiated (No HHC)</t>
  </si>
  <si>
    <t>Aim 3 participants</t>
  </si>
  <si>
    <t>TB experience no HHC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</si>
</sst>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
      <patternFill patternType="solid">
        <fgColor theme="2" tint="-0.249977111117893"/>
        <bgColor indexed="64"/>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7">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xf numFmtId="0" fontId="9" fillId="0" borderId="0" xfId="0" applyFont="1"/>
    <xf numFmtId="0" fontId="2" fillId="3" borderId="17" xfId="0" applyFont="1" applyFill="1" applyBorder="1" applyAlignment="1">
      <alignment horizontal="center"/>
    </xf>
    <xf numFmtId="0" fontId="0" fillId="3" borderId="17" xfId="0" applyFill="1" applyBorder="1"/>
    <xf numFmtId="0" fontId="0" fillId="3" borderId="17" xfId="0" applyFill="1" applyBorder="1" applyAlignment="1">
      <alignment horizontal="center"/>
    </xf>
    <xf numFmtId="0" fontId="3" fillId="3" borderId="17" xfId="0" applyFont="1" applyFill="1" applyBorder="1" applyAlignment="1">
      <alignment horizontal="left"/>
    </xf>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0" fontId="2" fillId="18" borderId="17" xfId="0" applyFont="1" applyFill="1" applyBorder="1" applyAlignment="1">
      <alignment horizontal="center"/>
    </xf>
    <xf numFmtId="0" fontId="0" fillId="18" borderId="17" xfId="0" applyFill="1" applyBorder="1" applyAlignment="1">
      <alignment horizontal="center"/>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2" fillId="2" borderId="0" xfId="0"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504748" y="1250402"/>
          <a:ext cx="10640255" cy="3821865"/>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3(100%)</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1(33%)</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Eligible(excl. &lt;18) = 1(33%)
Lives outside study communities = 1(100%)
Not Pulmonary TB Positive = 1(100%)
Not fluent in Xhosa or English = 1(100%)
No household contacts = 1(100%)
TB Experienced no HHC = 1(100%)
Enrolled on other Cohort/HHC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537873" y="9262240"/>
          <a:ext cx="2500857" cy="72275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537955" y="10729057"/>
          <a:ext cx="2500694" cy="689342"/>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
Refused to participate = 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767887" y="8295599"/>
          <a:ext cx="3938545" cy="110276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550897" y="6438051"/>
          <a:ext cx="2471634" cy="208008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683694" y="7180038"/>
          <a:ext cx="4079628" cy="322661"/>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409292" y="4546678"/>
          <a:ext cx="5090808" cy="2506356"/>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516752" y="12255170"/>
          <a:ext cx="2554761" cy="430721"/>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563396" y="12255170"/>
          <a:ext cx="2506866" cy="42504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113482" y="16015481"/>
          <a:ext cx="3338784" cy="84587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544077" y="13495235"/>
          <a:ext cx="1255873" cy="43992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741685" y="13495235"/>
          <a:ext cx="2151011" cy="43992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95081" y="13495835"/>
          <a:ext cx="2157360" cy="439328"/>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508625" y="14960176"/>
          <a:ext cx="2572070" cy="407235"/>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576962" y="14615366"/>
          <a:ext cx="9671672" cy="88619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585763" y="16045437"/>
          <a:ext cx="3222045" cy="815917"/>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199390" y="16015387"/>
          <a:ext cx="3221568" cy="84596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560734" y="16017477"/>
          <a:ext cx="3238424" cy="843877"/>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636895" y="5664200"/>
          <a:ext cx="4084708" cy="317581"/>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twoCellAnchor>
    <xdr:from>
      <xdr:col>14</xdr:col>
      <xdr:colOff>238126</xdr:colOff>
      <xdr:row>61</xdr:row>
      <xdr:rowOff>74611</xdr:rowOff>
    </xdr:from>
    <xdr:to>
      <xdr:col>18</xdr:col>
      <xdr:colOff>322618</xdr:colOff>
      <xdr:row>65</xdr:row>
      <xdr:rowOff>62278</xdr:rowOff>
    </xdr:to>
    <xdr:grpSp>
      <xdr:nvGrpSpPr>
        <xdr:cNvPr id="211" name="Group 210">
          <a:extLst>
            <a:ext uri="{FF2B5EF4-FFF2-40B4-BE49-F238E27FC236}">
              <a16:creationId xmlns:a16="http://schemas.microsoft.com/office/drawing/2014/main" id="{061EA49F-B215-43EC-8203-68BA0C1E5358}"/>
            </a:ext>
          </a:extLst>
        </xdr:cNvPr>
        <xdr:cNvGrpSpPr/>
      </xdr:nvGrpSpPr>
      <xdr:grpSpPr>
        <a:xfrm>
          <a:off x="12014201" y="10726736"/>
          <a:ext cx="2500667" cy="689342"/>
          <a:chOff x="12954156" y="5119897"/>
          <a:chExt cx="2526353" cy="662513"/>
        </a:xfrm>
      </xdr:grpSpPr>
      <xdr:sp macro="" textlink="">
        <xdr:nvSpPr>
          <xdr:cNvPr id="212" name="Rectangle 211">
            <a:extLst>
              <a:ext uri="{FF2B5EF4-FFF2-40B4-BE49-F238E27FC236}">
                <a16:creationId xmlns:a16="http://schemas.microsoft.com/office/drawing/2014/main" id="{970407ED-DE0C-0613-BF71-5B3B6D790266}"/>
              </a:ext>
            </a:extLst>
          </xdr:cNvPr>
          <xdr:cNvSpPr>
            <a:spLocks noChangeAspect="1"/>
          </xdr:cNvSpPr>
        </xdr:nvSpPr>
        <xdr:spPr>
          <a:xfrm>
            <a:off x="12954156" y="5119897"/>
            <a:ext cx="2510640" cy="218155"/>
          </a:xfrm>
          <a:prstGeom prst="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Pre-TUTT Enrolled in Study</a:t>
            </a:r>
          </a:p>
        </xdr:txBody>
      </xdr:sp>
      <xdr:sp macro="" textlink="#REF!">
        <xdr:nvSpPr>
          <xdr:cNvPr id="213" name="Rectangle 212">
            <a:extLst>
              <a:ext uri="{FF2B5EF4-FFF2-40B4-BE49-F238E27FC236}">
                <a16:creationId xmlns:a16="http://schemas.microsoft.com/office/drawing/2014/main" id="{EDA9C30E-0902-731A-3AEE-8ACDF0453C6F}"/>
              </a:ext>
            </a:extLst>
          </xdr:cNvPr>
          <xdr:cNvSpPr/>
        </xdr:nvSpPr>
        <xdr:spPr>
          <a:xfrm>
            <a:off x="12957326" y="5338691"/>
            <a:ext cx="1261592" cy="21506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214" name="Rectangle 213">
            <a:extLst>
              <a:ext uri="{FF2B5EF4-FFF2-40B4-BE49-F238E27FC236}">
                <a16:creationId xmlns:a16="http://schemas.microsoft.com/office/drawing/2014/main" id="{5C2D3231-A458-26DB-1148-3769B26796D9}"/>
              </a:ext>
            </a:extLst>
          </xdr:cNvPr>
          <xdr:cNvSpPr>
            <a:spLocks/>
          </xdr:cNvSpPr>
        </xdr:nvSpPr>
        <xdr:spPr>
          <a:xfrm>
            <a:off x="14220510" y="5351874"/>
            <a:ext cx="1259999"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215" name="Rectangle 214">
            <a:extLst>
              <a:ext uri="{FF2B5EF4-FFF2-40B4-BE49-F238E27FC236}">
                <a16:creationId xmlns:a16="http://schemas.microsoft.com/office/drawing/2014/main" id="{D404E75F-C263-AB58-7FDD-D2A690210102}"/>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216" name="Rectangle 215">
            <a:extLst>
              <a:ext uri="{FF2B5EF4-FFF2-40B4-BE49-F238E27FC236}">
                <a16:creationId xmlns:a16="http://schemas.microsoft.com/office/drawing/2014/main" id="{379E271D-55AA-3A78-4285-CB6FC5666AC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464344</xdr:colOff>
      <xdr:row>64</xdr:row>
      <xdr:rowOff>11906</xdr:rowOff>
    </xdr:from>
    <xdr:to>
      <xdr:col>14</xdr:col>
      <xdr:colOff>202406</xdr:colOff>
      <xdr:row>64</xdr:row>
      <xdr:rowOff>11906</xdr:rowOff>
    </xdr:to>
    <xdr:cxnSp macro="">
      <xdr:nvCxnSpPr>
        <xdr:cNvPr id="218" name="Straight Connector 217">
          <a:extLst>
            <a:ext uri="{FF2B5EF4-FFF2-40B4-BE49-F238E27FC236}">
              <a16:creationId xmlns:a16="http://schemas.microsoft.com/office/drawing/2014/main" id="{85DAC2DE-0883-C72D-AB30-5457185F9B1E}"/>
            </a:ext>
          </a:extLst>
        </xdr:cNvPr>
        <xdr:cNvCxnSpPr/>
      </xdr:nvCxnSpPr>
      <xdr:spPr>
        <a:xfrm>
          <a:off x="11037094" y="11441906"/>
          <a:ext cx="9525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1481667</xdr:colOff>
      <xdr:row>27</xdr:row>
      <xdr:rowOff>84667</xdr:rowOff>
    </xdr:from>
    <xdr:to>
      <xdr:col>6</xdr:col>
      <xdr:colOff>1513417</xdr:colOff>
      <xdr:row>27</xdr:row>
      <xdr:rowOff>84667</xdr:rowOff>
    </xdr:to>
    <xdr:cxnSp macro="">
      <xdr:nvCxnSpPr>
        <xdr:cNvPr id="127" name="Straight Connector 126">
          <a:extLst>
            <a:ext uri="{FF2B5EF4-FFF2-40B4-BE49-F238E27FC236}">
              <a16:creationId xmlns:a16="http://schemas.microsoft.com/office/drawing/2014/main" id="{3D9C37AA-3901-56BE-FF9A-BD518A2E4BBD}"/>
            </a:ext>
          </a:extLst>
        </xdr:cNvPr>
        <xdr:cNvCxnSpPr/>
      </xdr:nvCxnSpPr>
      <xdr:spPr>
        <a:xfrm flipH="1">
          <a:off x="7069667" y="4942417"/>
          <a:ext cx="317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486833</xdr:colOff>
      <xdr:row>27</xdr:row>
      <xdr:rowOff>158750</xdr:rowOff>
    </xdr:from>
    <xdr:to>
      <xdr:col>6</xdr:col>
      <xdr:colOff>1513416</xdr:colOff>
      <xdr:row>27</xdr:row>
      <xdr:rowOff>158750</xdr:rowOff>
    </xdr:to>
    <xdr:cxnSp macro="">
      <xdr:nvCxnSpPr>
        <xdr:cNvPr id="142" name="Straight Connector 141">
          <a:extLst>
            <a:ext uri="{FF2B5EF4-FFF2-40B4-BE49-F238E27FC236}">
              <a16:creationId xmlns:a16="http://schemas.microsoft.com/office/drawing/2014/main" id="{BB9A2756-DE72-E3C9-16F3-B79B1B24E169}"/>
            </a:ext>
          </a:extLst>
        </xdr:cNvPr>
        <xdr:cNvCxnSpPr/>
      </xdr:nvCxnSpPr>
      <xdr:spPr>
        <a:xfrm flipH="1">
          <a:off x="3693583" y="5016500"/>
          <a:ext cx="3407833"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846666</xdr:colOff>
      <xdr:row>25</xdr:row>
      <xdr:rowOff>155363</xdr:rowOff>
    </xdr:from>
    <xdr:to>
      <xdr:col>3</xdr:col>
      <xdr:colOff>465666</xdr:colOff>
      <xdr:row>29</xdr:row>
      <xdr:rowOff>158750</xdr:rowOff>
    </xdr:to>
    <xdr:sp macro="" textlink="">
      <xdr:nvSpPr>
        <xdr:cNvPr id="160" name="Rectangle 159">
          <a:extLst>
            <a:ext uri="{FF2B5EF4-FFF2-40B4-BE49-F238E27FC236}">
              <a16:creationId xmlns:a16="http://schemas.microsoft.com/office/drawing/2014/main" id="{C086A3F4-D604-29A0-12CA-AAD998992670}"/>
            </a:ext>
          </a:extLst>
        </xdr:cNvPr>
        <xdr:cNvSpPr/>
      </xdr:nvSpPr>
      <xdr:spPr>
        <a:xfrm>
          <a:off x="1301749" y="4653280"/>
          <a:ext cx="2370667" cy="723053"/>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100" b="1">
              <a:solidFill>
                <a:sysClr val="windowText" lastClr="000000"/>
              </a:solidFill>
            </a:rPr>
            <a:t>New</a:t>
          </a:r>
          <a:r>
            <a:rPr lang="en-ZA" sz="1100" b="1" baseline="0">
              <a:solidFill>
                <a:sysClr val="windowText" lastClr="000000"/>
              </a:solidFill>
            </a:rPr>
            <a:t> Initiated (No HHC)</a:t>
          </a:r>
          <a:endParaRPr lang="en-ZA" sz="1100" b="1">
            <a:solidFill>
              <a:sysClr val="windowText" lastClr="000000"/>
            </a:solidFill>
          </a:endParaRPr>
        </a:p>
      </xdr:txBody>
    </xdr:sp>
    <xdr:clientData/>
  </xdr:twoCellAnchor>
  <xdr:twoCellAnchor>
    <xdr:from>
      <xdr:col>1</xdr:col>
      <xdr:colOff>846666</xdr:colOff>
      <xdr:row>27</xdr:row>
      <xdr:rowOff>157057</xdr:rowOff>
    </xdr:from>
    <xdr:to>
      <xdr:col>3</xdr:col>
      <xdr:colOff>465666</xdr:colOff>
      <xdr:row>27</xdr:row>
      <xdr:rowOff>157057</xdr:rowOff>
    </xdr:to>
    <xdr:cxnSp macro="">
      <xdr:nvCxnSpPr>
        <xdr:cNvPr id="182" name="Straight Connector 181">
          <a:extLst>
            <a:ext uri="{FF2B5EF4-FFF2-40B4-BE49-F238E27FC236}">
              <a16:creationId xmlns:a16="http://schemas.microsoft.com/office/drawing/2014/main" id="{D53D98D4-0EA9-BF1D-2996-B0AA3D34A204}"/>
            </a:ext>
          </a:extLst>
        </xdr:cNvPr>
        <xdr:cNvCxnSpPr>
          <a:stCxn id="160" idx="1"/>
          <a:endCxn id="160" idx="3"/>
        </xdr:cNvCxnSpPr>
      </xdr:nvCxnSpPr>
      <xdr:spPr>
        <a:xfrm>
          <a:off x="1301749" y="5014807"/>
          <a:ext cx="2370667"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867834</xdr:colOff>
      <xdr:row>27</xdr:row>
      <xdr:rowOff>158750</xdr:rowOff>
    </xdr:from>
    <xdr:to>
      <xdr:col>3</xdr:col>
      <xdr:colOff>455083</xdr:colOff>
      <xdr:row>29</xdr:row>
      <xdr:rowOff>158750</xdr:rowOff>
    </xdr:to>
    <xdr:sp macro="" textlink="">
      <xdr:nvSpPr>
        <xdr:cNvPr id="16" name="TextBox 15">
          <a:extLst>
            <a:ext uri="{FF2B5EF4-FFF2-40B4-BE49-F238E27FC236}">
              <a16:creationId xmlns:a16="http://schemas.microsoft.com/office/drawing/2014/main" id="{D06A5CD8-340B-F278-CF81-9180CC4DD42D}"/>
            </a:ext>
          </a:extLst>
        </xdr:cNvPr>
        <xdr:cNvSpPr txBox="1"/>
      </xdr:nvSpPr>
      <xdr:spPr>
        <a:xfrm>
          <a:off x="1322917" y="5016500"/>
          <a:ext cx="2338916" cy="359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ZA" sz="1100"/>
        </a:p>
      </xdr:txBody>
    </xdr:sp>
    <xdr:clientData/>
  </xdr:twoCellAnchor>
  <xdr:twoCellAnchor>
    <xdr:from>
      <xdr:col>1</xdr:col>
      <xdr:colOff>1905000</xdr:colOff>
      <xdr:row>34</xdr:row>
      <xdr:rowOff>10583</xdr:rowOff>
    </xdr:from>
    <xdr:to>
      <xdr:col>4</xdr:col>
      <xdr:colOff>476250</xdr:colOff>
      <xdr:row>37</xdr:row>
      <xdr:rowOff>169333</xdr:rowOff>
    </xdr:to>
    <xdr:sp macro="" textlink="">
      <xdr:nvSpPr>
        <xdr:cNvPr id="17" name="Rectangle 16">
          <a:extLst>
            <a:ext uri="{FF2B5EF4-FFF2-40B4-BE49-F238E27FC236}">
              <a16:creationId xmlns:a16="http://schemas.microsoft.com/office/drawing/2014/main" id="{05CD41B3-0391-9246-B92D-9F8102192A4B}"/>
            </a:ext>
          </a:extLst>
        </xdr:cNvPr>
        <xdr:cNvSpPr/>
      </xdr:nvSpPr>
      <xdr:spPr>
        <a:xfrm>
          <a:off x="2360083" y="6127750"/>
          <a:ext cx="2381250" cy="698500"/>
        </a:xfrm>
        <a:prstGeom prst="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100" b="1">
              <a:solidFill>
                <a:sysClr val="windowText" lastClr="000000"/>
              </a:solidFill>
            </a:rPr>
            <a:t>Aim 3 participants</a:t>
          </a:r>
          <a:r>
            <a:rPr lang="en-ZA" sz="1100" b="1" baseline="0">
              <a:solidFill>
                <a:sysClr val="windowText" lastClr="000000"/>
              </a:solidFill>
            </a:rPr>
            <a:t> enrolled</a:t>
          </a:r>
          <a:endParaRPr lang="en-ZA" sz="1100" b="1">
            <a:solidFill>
              <a:sysClr val="windowText" lastClr="000000"/>
            </a:solidFill>
          </a:endParaRPr>
        </a:p>
      </xdr:txBody>
    </xdr:sp>
    <xdr:clientData/>
  </xdr:twoCellAnchor>
  <xdr:twoCellAnchor>
    <xdr:from>
      <xdr:col>1</xdr:col>
      <xdr:colOff>1905000</xdr:colOff>
      <xdr:row>36</xdr:row>
      <xdr:rowOff>0</xdr:rowOff>
    </xdr:from>
    <xdr:to>
      <xdr:col>4</xdr:col>
      <xdr:colOff>476250</xdr:colOff>
      <xdr:row>36</xdr:row>
      <xdr:rowOff>0</xdr:rowOff>
    </xdr:to>
    <xdr:cxnSp macro="">
      <xdr:nvCxnSpPr>
        <xdr:cNvPr id="128" name="Straight Connector 127">
          <a:extLst>
            <a:ext uri="{FF2B5EF4-FFF2-40B4-BE49-F238E27FC236}">
              <a16:creationId xmlns:a16="http://schemas.microsoft.com/office/drawing/2014/main" id="{C1AB620C-6B12-A2AA-3DC2-A92E7F4735E8}"/>
            </a:ext>
          </a:extLst>
        </xdr:cNvPr>
        <xdr:cNvCxnSpPr>
          <a:stCxn id="17" idx="1"/>
          <a:endCxn id="17" idx="3"/>
        </xdr:cNvCxnSpPr>
      </xdr:nvCxnSpPr>
      <xdr:spPr>
        <a:xfrm>
          <a:off x="2360083" y="6477000"/>
          <a:ext cx="2381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1905000</xdr:colOff>
      <xdr:row>36</xdr:row>
      <xdr:rowOff>0</xdr:rowOff>
    </xdr:from>
    <xdr:to>
      <xdr:col>4</xdr:col>
      <xdr:colOff>486834</xdr:colOff>
      <xdr:row>37</xdr:row>
      <xdr:rowOff>158750</xdr:rowOff>
    </xdr:to>
    <xdr:sp macro="" textlink="">
      <xdr:nvSpPr>
        <xdr:cNvPr id="143" name="TextBox 142">
          <a:extLst>
            <a:ext uri="{FF2B5EF4-FFF2-40B4-BE49-F238E27FC236}">
              <a16:creationId xmlns:a16="http://schemas.microsoft.com/office/drawing/2014/main" id="{E9F579AA-BF52-3501-2370-642C575BD509}"/>
            </a:ext>
          </a:extLst>
        </xdr:cNvPr>
        <xdr:cNvSpPr txBox="1"/>
      </xdr:nvSpPr>
      <xdr:spPr>
        <a:xfrm>
          <a:off x="2360083" y="6477000"/>
          <a:ext cx="2391834" cy="338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ZA" sz="1100"/>
        </a:p>
      </xdr:txBody>
    </xdr:sp>
    <xdr:clientData/>
  </xdr:twoCellAnchor>
  <xdr:twoCellAnchor>
    <xdr:from>
      <xdr:col>3</xdr:col>
      <xdr:colOff>677334</xdr:colOff>
      <xdr:row>28</xdr:row>
      <xdr:rowOff>10583</xdr:rowOff>
    </xdr:from>
    <xdr:to>
      <xdr:col>4</xdr:col>
      <xdr:colOff>148168</xdr:colOff>
      <xdr:row>34</xdr:row>
      <xdr:rowOff>21166</xdr:rowOff>
    </xdr:to>
    <xdr:cxnSp macro="">
      <xdr:nvCxnSpPr>
        <xdr:cNvPr id="145" name="Connector: Elbow 144">
          <a:extLst>
            <a:ext uri="{FF2B5EF4-FFF2-40B4-BE49-F238E27FC236}">
              <a16:creationId xmlns:a16="http://schemas.microsoft.com/office/drawing/2014/main" id="{38BBD0A9-D9C0-F35C-77B2-0795EC8415E9}"/>
            </a:ext>
          </a:extLst>
        </xdr:cNvPr>
        <xdr:cNvCxnSpPr/>
      </xdr:nvCxnSpPr>
      <xdr:spPr>
        <a:xfrm rot="5400000">
          <a:off x="3603626" y="5328708"/>
          <a:ext cx="1090083" cy="529167"/>
        </a:xfrm>
        <a:prstGeom prst="bentConnector3">
          <a:avLst>
            <a:gd name="adj1" fmla="val 6068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2037291</xdr:colOff>
      <xdr:row>29</xdr:row>
      <xdr:rowOff>158750</xdr:rowOff>
    </xdr:from>
    <xdr:to>
      <xdr:col>3</xdr:col>
      <xdr:colOff>761999</xdr:colOff>
      <xdr:row>31</xdr:row>
      <xdr:rowOff>127000</xdr:rowOff>
    </xdr:to>
    <xdr:cxnSp macro="">
      <xdr:nvCxnSpPr>
        <xdr:cNvPr id="157" name="Connector: Elbow 156">
          <a:extLst>
            <a:ext uri="{FF2B5EF4-FFF2-40B4-BE49-F238E27FC236}">
              <a16:creationId xmlns:a16="http://schemas.microsoft.com/office/drawing/2014/main" id="{0477CFB3-F069-D8A3-E8D5-6166F1CFD086}"/>
            </a:ext>
          </a:extLst>
        </xdr:cNvPr>
        <xdr:cNvCxnSpPr>
          <a:stCxn id="16" idx="2"/>
        </xdr:cNvCxnSpPr>
      </xdr:nvCxnSpPr>
      <xdr:spPr>
        <a:xfrm rot="16200000" flipH="1">
          <a:off x="3066520" y="4802187"/>
          <a:ext cx="328084" cy="1476375"/>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512793" y="135342"/>
          <a:ext cx="2522142" cy="52576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108878" y="1638016"/>
          <a:ext cx="2564450" cy="508770"/>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10011286" y="1638016"/>
          <a:ext cx="2531619" cy="501207"/>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108878" y="3595798"/>
          <a:ext cx="5424907" cy="557786"/>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516706" y="8386787"/>
          <a:ext cx="2540016" cy="743916"/>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516788" y="9896149"/>
          <a:ext cx="2539853" cy="71029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
Refused to participate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767887" y="7385432"/>
          <a:ext cx="4012628" cy="113451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532905" y="5472851"/>
          <a:ext cx="2507618" cy="214358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683694" y="6244260"/>
          <a:ext cx="4079628" cy="324989"/>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405684" y="4128593"/>
          <a:ext cx="5161721" cy="1983653"/>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518869" y="11476025"/>
          <a:ext cx="2542061" cy="43516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619488" y="11476025"/>
          <a:ext cx="2542849" cy="43266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124065" y="15344498"/>
          <a:ext cx="3303859" cy="869156"/>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540902" y="12753132"/>
          <a:ext cx="1280215" cy="44119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794602" y="12753132"/>
          <a:ext cx="2193344" cy="44119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211498" y="12747382"/>
          <a:ext cx="2189110" cy="446948"/>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513917" y="13894434"/>
          <a:ext cx="2559370" cy="426074"/>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555795" y="13902049"/>
          <a:ext cx="9841006" cy="909480"/>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561421" y="15371279"/>
          <a:ext cx="3291895" cy="842375"/>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241723" y="15338054"/>
          <a:ext cx="3285068" cy="875600"/>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669742" y="15346494"/>
          <a:ext cx="3288166" cy="867160"/>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721350" y="4801658"/>
          <a:ext cx="4084708" cy="323085"/>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94855" y="2850127"/>
          <a:ext cx="2557485" cy="49654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528880" y="135342"/>
          <a:ext cx="2484888" cy="505198"/>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101893" y="1582303"/>
          <a:ext cx="2547171" cy="488664"/>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995623" y="1582303"/>
          <a:ext cx="2489285" cy="47872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987368" y="2850127"/>
          <a:ext cx="2489310" cy="503532"/>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537873" y="8140195"/>
          <a:ext cx="2500857" cy="725925"/>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537955" y="9605107"/>
          <a:ext cx="2500694" cy="694422"/>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
Refused to participate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767887" y="7171649"/>
          <a:ext cx="3938545" cy="110276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550897" y="5314101"/>
          <a:ext cx="2471634" cy="208008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683694" y="6061168"/>
          <a:ext cx="4079628" cy="317581"/>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409088" y="3346673"/>
          <a:ext cx="5091013" cy="2587171"/>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516752" y="11145825"/>
          <a:ext cx="2554761" cy="41611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563396" y="11145825"/>
          <a:ext cx="2506866" cy="410441"/>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113482" y="14891531"/>
          <a:ext cx="3338784" cy="84587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544077" y="12385890"/>
          <a:ext cx="1255873" cy="425323"/>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741685" y="12385890"/>
          <a:ext cx="2151011" cy="425323"/>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95081" y="12376965"/>
          <a:ext cx="2157360" cy="43424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508625" y="13486976"/>
          <a:ext cx="2572070" cy="412315"/>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576962" y="13491416"/>
          <a:ext cx="9671672" cy="88619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585763" y="14921487"/>
          <a:ext cx="3222045" cy="815917"/>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199390" y="14891437"/>
          <a:ext cx="3221568" cy="84596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560734" y="14893527"/>
          <a:ext cx="3238424" cy="84387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636895" y="4540250"/>
          <a:ext cx="4084708" cy="31948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foundationcoza-my.sharepoint.com/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5" x14ac:dyDescent="0.35"/>
  <cols>
    <col min="1" max="1" width="13.08984375" customWidth="1"/>
    <col min="2" max="2" width="15.6328125" customWidth="1"/>
    <col min="3" max="3" width="7.36328125" customWidth="1"/>
    <col min="4" max="4" width="11.36328125" bestFit="1" customWidth="1"/>
  </cols>
  <sheetData>
    <row r="3" spans="1:2" x14ac:dyDescent="0.35">
      <c r="A3" s="48" t="s">
        <v>618</v>
      </c>
      <c r="B3" t="s">
        <v>732</v>
      </c>
    </row>
    <row r="4" spans="1:2" x14ac:dyDescent="0.35">
      <c r="A4" s="49" t="s">
        <v>619</v>
      </c>
      <c r="B4">
        <v>10</v>
      </c>
    </row>
    <row r="5" spans="1:2" x14ac:dyDescent="0.35">
      <c r="A5" s="49" t="s">
        <v>630</v>
      </c>
      <c r="B5">
        <v>32</v>
      </c>
    </row>
    <row r="6" spans="1:2" x14ac:dyDescent="0.35">
      <c r="A6" s="49" t="s">
        <v>631</v>
      </c>
      <c r="B6">
        <v>31</v>
      </c>
    </row>
    <row r="7" spans="1:2" x14ac:dyDescent="0.35">
      <c r="A7" s="49" t="s">
        <v>632</v>
      </c>
      <c r="B7">
        <v>16</v>
      </c>
    </row>
    <row r="8" spans="1:2" x14ac:dyDescent="0.35">
      <c r="A8" s="49" t="s">
        <v>633</v>
      </c>
      <c r="B8">
        <v>15</v>
      </c>
    </row>
    <row r="9" spans="1:2" x14ac:dyDescent="0.35">
      <c r="A9" s="49" t="s">
        <v>634</v>
      </c>
      <c r="B9">
        <v>18</v>
      </c>
    </row>
    <row r="10" spans="1:2" x14ac:dyDescent="0.35">
      <c r="A10" s="49" t="s">
        <v>635</v>
      </c>
      <c r="B10">
        <v>15</v>
      </c>
    </row>
    <row r="11" spans="1:2" x14ac:dyDescent="0.35">
      <c r="A11" s="49" t="s">
        <v>636</v>
      </c>
      <c r="B11">
        <v>26</v>
      </c>
    </row>
    <row r="12" spans="1:2" x14ac:dyDescent="0.35">
      <c r="A12" s="49" t="s">
        <v>637</v>
      </c>
      <c r="B12">
        <v>39</v>
      </c>
    </row>
    <row r="13" spans="1:2" x14ac:dyDescent="0.35">
      <c r="A13" s="49" t="s">
        <v>638</v>
      </c>
      <c r="B13">
        <v>30</v>
      </c>
    </row>
    <row r="14" spans="1:2" x14ac:dyDescent="0.35">
      <c r="A14" s="49" t="s">
        <v>640</v>
      </c>
      <c r="B14">
        <v>39</v>
      </c>
    </row>
    <row r="15" spans="1:2" x14ac:dyDescent="0.35">
      <c r="A15" s="49" t="s">
        <v>641</v>
      </c>
      <c r="B15">
        <v>24</v>
      </c>
    </row>
    <row r="16" spans="1:2" x14ac:dyDescent="0.35">
      <c r="A16" s="49" t="s">
        <v>642</v>
      </c>
      <c r="B16">
        <v>24</v>
      </c>
    </row>
    <row r="17" spans="1:2" x14ac:dyDescent="0.35">
      <c r="A17" s="49" t="s">
        <v>643</v>
      </c>
      <c r="B17">
        <v>45</v>
      </c>
    </row>
    <row r="18" spans="1:2" x14ac:dyDescent="0.35">
      <c r="A18" s="49" t="s">
        <v>644</v>
      </c>
      <c r="B18">
        <v>47</v>
      </c>
    </row>
    <row r="19" spans="1:2" x14ac:dyDescent="0.35">
      <c r="A19" s="49" t="s">
        <v>645</v>
      </c>
      <c r="B19">
        <v>47</v>
      </c>
    </row>
    <row r="20" spans="1:2" x14ac:dyDescent="0.35">
      <c r="A20" s="49" t="s">
        <v>646</v>
      </c>
      <c r="B20">
        <v>39</v>
      </c>
    </row>
    <row r="21" spans="1:2" x14ac:dyDescent="0.35">
      <c r="A21" s="49" t="s">
        <v>647</v>
      </c>
      <c r="B21">
        <v>38</v>
      </c>
    </row>
    <row r="22" spans="1:2" x14ac:dyDescent="0.35">
      <c r="A22" s="49" t="s">
        <v>648</v>
      </c>
      <c r="B22">
        <v>41</v>
      </c>
    </row>
    <row r="23" spans="1:2" x14ac:dyDescent="0.35">
      <c r="A23" s="49" t="s">
        <v>717</v>
      </c>
      <c r="B23">
        <v>53</v>
      </c>
    </row>
    <row r="24" spans="1:2" x14ac:dyDescent="0.35">
      <c r="A24" s="49" t="s">
        <v>718</v>
      </c>
      <c r="B24">
        <v>29</v>
      </c>
    </row>
    <row r="25" spans="1:2" x14ac:dyDescent="0.35">
      <c r="A25" s="49" t="s">
        <v>719</v>
      </c>
      <c r="B25">
        <v>52</v>
      </c>
    </row>
    <row r="26" spans="1:2" x14ac:dyDescent="0.35">
      <c r="A26" s="49" t="s">
        <v>720</v>
      </c>
      <c r="B26">
        <v>59</v>
      </c>
    </row>
    <row r="27" spans="1:2" x14ac:dyDescent="0.35">
      <c r="A27" s="49" t="s">
        <v>721</v>
      </c>
      <c r="B27">
        <v>73</v>
      </c>
    </row>
    <row r="28" spans="1:2" x14ac:dyDescent="0.35">
      <c r="A28" s="49" t="s">
        <v>722</v>
      </c>
      <c r="B28">
        <v>61</v>
      </c>
    </row>
    <row r="29" spans="1:2" x14ac:dyDescent="0.35">
      <c r="A29" s="49" t="s">
        <v>723</v>
      </c>
      <c r="B29">
        <v>58</v>
      </c>
    </row>
    <row r="30" spans="1:2" x14ac:dyDescent="0.35">
      <c r="A30" s="49" t="s">
        <v>724</v>
      </c>
      <c r="B30">
        <v>33</v>
      </c>
    </row>
    <row r="31" spans="1:2" x14ac:dyDescent="0.35">
      <c r="A31" s="49" t="s">
        <v>725</v>
      </c>
      <c r="B31">
        <v>63</v>
      </c>
    </row>
    <row r="32" spans="1:2" x14ac:dyDescent="0.35">
      <c r="A32" s="49" t="s">
        <v>726</v>
      </c>
      <c r="B32">
        <v>62</v>
      </c>
    </row>
    <row r="33" spans="1:2" x14ac:dyDescent="0.35">
      <c r="A33" s="49" t="s">
        <v>727</v>
      </c>
      <c r="B33">
        <v>55</v>
      </c>
    </row>
    <row r="34" spans="1:2" x14ac:dyDescent="0.35">
      <c r="A34" s="49" t="s">
        <v>728</v>
      </c>
      <c r="B34">
        <v>38</v>
      </c>
    </row>
    <row r="35" spans="1:2" x14ac:dyDescent="0.35">
      <c r="A35" s="49" t="s">
        <v>729</v>
      </c>
      <c r="B35">
        <v>4</v>
      </c>
    </row>
    <row r="36" spans="1:2" x14ac:dyDescent="0.35">
      <c r="A36" s="49" t="s">
        <v>730</v>
      </c>
      <c r="B36">
        <v>65</v>
      </c>
    </row>
    <row r="37" spans="1:2" x14ac:dyDescent="0.35">
      <c r="A37" s="49" t="s">
        <v>731</v>
      </c>
      <c r="B37">
        <v>57</v>
      </c>
    </row>
    <row r="38" spans="1:2" x14ac:dyDescent="0.35">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5" x14ac:dyDescent="0.35"/>
  <cols>
    <col min="1" max="1" width="28.54296875" customWidth="1"/>
    <col min="2" max="2" width="61.453125" customWidth="1"/>
  </cols>
  <sheetData>
    <row r="3" spans="1:4" x14ac:dyDescent="0.35">
      <c r="A3" s="48" t="s">
        <v>618</v>
      </c>
      <c r="B3" t="s">
        <v>621</v>
      </c>
    </row>
    <row r="4" spans="1:4" x14ac:dyDescent="0.35">
      <c r="A4" s="49" t="s">
        <v>365</v>
      </c>
      <c r="B4">
        <v>34</v>
      </c>
      <c r="D4">
        <f>34+10</f>
        <v>44</v>
      </c>
    </row>
    <row r="5" spans="1:4" x14ac:dyDescent="0.35">
      <c r="A5" s="49" t="s">
        <v>475</v>
      </c>
      <c r="B5">
        <v>17</v>
      </c>
      <c r="D5">
        <f>17+9</f>
        <v>26</v>
      </c>
    </row>
    <row r="6" spans="1:4" x14ac:dyDescent="0.35">
      <c r="A6" s="49" t="s">
        <v>469</v>
      </c>
      <c r="B6">
        <v>20</v>
      </c>
      <c r="D6">
        <f>20+7</f>
        <v>27</v>
      </c>
    </row>
    <row r="7" spans="1:4" x14ac:dyDescent="0.35">
      <c r="A7" s="49" t="s">
        <v>403</v>
      </c>
      <c r="B7">
        <v>112</v>
      </c>
      <c r="D7">
        <f>112+99</f>
        <v>211</v>
      </c>
    </row>
    <row r="8" spans="1:4" x14ac:dyDescent="0.35">
      <c r="A8" s="49" t="s">
        <v>619</v>
      </c>
    </row>
    <row r="9" spans="1:4" x14ac:dyDescent="0.35">
      <c r="A9" s="49" t="s">
        <v>620</v>
      </c>
      <c r="B9">
        <v>183</v>
      </c>
    </row>
    <row r="13" spans="1:4" x14ac:dyDescent="0.35">
      <c r="A13" s="48" t="s">
        <v>618</v>
      </c>
      <c r="B13" t="s">
        <v>622</v>
      </c>
    </row>
    <row r="14" spans="1:4" x14ac:dyDescent="0.35">
      <c r="A14" s="49" t="s">
        <v>388</v>
      </c>
      <c r="B14">
        <v>99</v>
      </c>
      <c r="D14" t="s">
        <v>403</v>
      </c>
    </row>
    <row r="15" spans="1:4" x14ac:dyDescent="0.35">
      <c r="A15" s="49" t="s">
        <v>447</v>
      </c>
      <c r="B15">
        <v>9</v>
      </c>
      <c r="D15" s="49" t="s">
        <v>475</v>
      </c>
    </row>
    <row r="16" spans="1:4" x14ac:dyDescent="0.35">
      <c r="A16" s="49" t="s">
        <v>512</v>
      </c>
      <c r="B16">
        <v>10</v>
      </c>
      <c r="D16" s="49" t="s">
        <v>365</v>
      </c>
    </row>
    <row r="17" spans="1:4" x14ac:dyDescent="0.35">
      <c r="A17" s="49" t="s">
        <v>427</v>
      </c>
      <c r="B17">
        <v>7</v>
      </c>
      <c r="D17" s="49" t="s">
        <v>469</v>
      </c>
    </row>
    <row r="18" spans="1:4" x14ac:dyDescent="0.35">
      <c r="A18" s="49" t="s">
        <v>619</v>
      </c>
    </row>
    <row r="19" spans="1:4" x14ac:dyDescent="0.35">
      <c r="A19" s="49" t="s">
        <v>620</v>
      </c>
      <c r="B19">
        <v>125</v>
      </c>
    </row>
    <row r="23" spans="1:4" x14ac:dyDescent="0.35">
      <c r="A23" s="48" t="s">
        <v>618</v>
      </c>
      <c r="B23" t="s">
        <v>623</v>
      </c>
    </row>
    <row r="24" spans="1:4" x14ac:dyDescent="0.35">
      <c r="A24" s="49" t="s">
        <v>402</v>
      </c>
      <c r="B24">
        <v>81</v>
      </c>
      <c r="D24">
        <f>81+90</f>
        <v>171</v>
      </c>
    </row>
    <row r="25" spans="1:4" x14ac:dyDescent="0.35">
      <c r="A25" s="49" t="s">
        <v>443</v>
      </c>
      <c r="B25">
        <v>73</v>
      </c>
      <c r="D25">
        <f>73+23</f>
        <v>96</v>
      </c>
    </row>
    <row r="26" spans="1:4" x14ac:dyDescent="0.35">
      <c r="A26" s="49" t="s">
        <v>364</v>
      </c>
      <c r="B26">
        <v>29</v>
      </c>
      <c r="D26">
        <f>29+12</f>
        <v>41</v>
      </c>
    </row>
    <row r="27" spans="1:4" x14ac:dyDescent="0.35">
      <c r="A27" s="49" t="s">
        <v>619</v>
      </c>
    </row>
    <row r="28" spans="1:4" x14ac:dyDescent="0.35">
      <c r="A28" s="49" t="s">
        <v>620</v>
      </c>
      <c r="B28">
        <v>183</v>
      </c>
    </row>
    <row r="32" spans="1:4" x14ac:dyDescent="0.35">
      <c r="A32" s="48" t="s">
        <v>618</v>
      </c>
      <c r="B32" t="s">
        <v>624</v>
      </c>
    </row>
    <row r="33" spans="1:4" x14ac:dyDescent="0.35">
      <c r="A33" s="49" t="s">
        <v>434</v>
      </c>
      <c r="B33">
        <v>23</v>
      </c>
      <c r="D33" t="s">
        <v>625</v>
      </c>
    </row>
    <row r="34" spans="1:4" x14ac:dyDescent="0.35">
      <c r="A34" s="49" t="s">
        <v>387</v>
      </c>
      <c r="B34">
        <v>12</v>
      </c>
      <c r="D34" t="s">
        <v>626</v>
      </c>
    </row>
    <row r="35" spans="1:4" x14ac:dyDescent="0.35">
      <c r="A35" s="49" t="s">
        <v>414</v>
      </c>
      <c r="B35">
        <v>90</v>
      </c>
      <c r="D35" s="49" t="s">
        <v>402</v>
      </c>
    </row>
    <row r="36" spans="1:4" x14ac:dyDescent="0.35">
      <c r="A36" s="49" t="s">
        <v>619</v>
      </c>
    </row>
    <row r="37" spans="1:4" x14ac:dyDescent="0.35">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5" x14ac:dyDescent="0.35"/>
  <cols>
    <col min="1" max="1" width="13.54296875" bestFit="1" customWidth="1"/>
    <col min="2" max="2" width="9.6328125" customWidth="1"/>
  </cols>
  <sheetData>
    <row r="2" spans="1:2" x14ac:dyDescent="0.35">
      <c r="A2" s="224" t="s">
        <v>716</v>
      </c>
      <c r="B2" s="224"/>
    </row>
    <row r="3" spans="1:2" ht="15.75" customHeight="1" x14ac:dyDescent="0.35">
      <c r="A3" s="48" t="s">
        <v>618</v>
      </c>
      <c r="B3" s="52" t="s">
        <v>715</v>
      </c>
    </row>
    <row r="4" spans="1:2" x14ac:dyDescent="0.35">
      <c r="A4" s="49" t="s">
        <v>628</v>
      </c>
    </row>
    <row r="5" spans="1:2" x14ac:dyDescent="0.35">
      <c r="A5" s="49" t="s">
        <v>629</v>
      </c>
    </row>
    <row r="6" spans="1:2" x14ac:dyDescent="0.35">
      <c r="A6" s="51" t="s">
        <v>630</v>
      </c>
      <c r="B6">
        <v>31</v>
      </c>
    </row>
    <row r="7" spans="1:2" x14ac:dyDescent="0.35">
      <c r="A7" s="51" t="s">
        <v>631</v>
      </c>
      <c r="B7">
        <v>30</v>
      </c>
    </row>
    <row r="8" spans="1:2" x14ac:dyDescent="0.35">
      <c r="A8" s="51" t="s">
        <v>632</v>
      </c>
      <c r="B8">
        <v>14</v>
      </c>
    </row>
    <row r="9" spans="1:2" x14ac:dyDescent="0.35">
      <c r="A9" s="51" t="s">
        <v>633</v>
      </c>
      <c r="B9">
        <v>17</v>
      </c>
    </row>
    <row r="10" spans="1:2" x14ac:dyDescent="0.35">
      <c r="A10" s="51" t="s">
        <v>634</v>
      </c>
      <c r="B10">
        <v>19</v>
      </c>
    </row>
    <row r="11" spans="1:2" x14ac:dyDescent="0.35">
      <c r="A11" s="51" t="s">
        <v>635</v>
      </c>
      <c r="B11">
        <v>15</v>
      </c>
    </row>
    <row r="12" spans="1:2" x14ac:dyDescent="0.35">
      <c r="A12" s="51" t="s">
        <v>636</v>
      </c>
      <c r="B12">
        <v>26</v>
      </c>
    </row>
    <row r="13" spans="1:2" x14ac:dyDescent="0.35">
      <c r="A13" s="51" t="s">
        <v>637</v>
      </c>
      <c r="B13">
        <v>37</v>
      </c>
    </row>
    <row r="14" spans="1:2" x14ac:dyDescent="0.35">
      <c r="A14" s="51" t="s">
        <v>638</v>
      </c>
      <c r="B14">
        <v>29</v>
      </c>
    </row>
    <row r="15" spans="1:2" x14ac:dyDescent="0.35">
      <c r="A15" s="49" t="s">
        <v>639</v>
      </c>
    </row>
    <row r="16" spans="1:2" x14ac:dyDescent="0.35">
      <c r="A16" s="51" t="s">
        <v>640</v>
      </c>
      <c r="B16">
        <v>39</v>
      </c>
    </row>
    <row r="17" spans="1:2" x14ac:dyDescent="0.35">
      <c r="A17" s="51" t="s">
        <v>641</v>
      </c>
      <c r="B17">
        <v>26</v>
      </c>
    </row>
    <row r="18" spans="1:2" x14ac:dyDescent="0.35">
      <c r="A18" s="51" t="s">
        <v>642</v>
      </c>
      <c r="B18">
        <v>25</v>
      </c>
    </row>
    <row r="19" spans="1:2" x14ac:dyDescent="0.35">
      <c r="A19" s="51" t="s">
        <v>643</v>
      </c>
      <c r="B19">
        <v>44</v>
      </c>
    </row>
    <row r="20" spans="1:2" x14ac:dyDescent="0.35">
      <c r="A20" s="51" t="s">
        <v>644</v>
      </c>
      <c r="B20">
        <v>47</v>
      </c>
    </row>
    <row r="21" spans="1:2" x14ac:dyDescent="0.35">
      <c r="A21" s="51" t="s">
        <v>645</v>
      </c>
      <c r="B21">
        <v>47</v>
      </c>
    </row>
    <row r="22" spans="1:2" x14ac:dyDescent="0.35">
      <c r="A22" s="51" t="s">
        <v>646</v>
      </c>
      <c r="B22">
        <v>38</v>
      </c>
    </row>
    <row r="23" spans="1:2" x14ac:dyDescent="0.35">
      <c r="A23" s="51" t="s">
        <v>647</v>
      </c>
      <c r="B23">
        <v>38</v>
      </c>
    </row>
    <row r="24" spans="1:2" x14ac:dyDescent="0.35">
      <c r="A24" s="51" t="s">
        <v>648</v>
      </c>
      <c r="B24">
        <v>40</v>
      </c>
    </row>
    <row r="25" spans="1:2" x14ac:dyDescent="0.35">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5" x14ac:dyDescent="0.35"/>
  <cols>
    <col min="1" max="1" width="9.453125" bestFit="1" customWidth="1"/>
    <col min="2" max="2" width="17.90625" bestFit="1" customWidth="1"/>
    <col min="3" max="3" width="15.36328125" bestFit="1" customWidth="1"/>
    <col min="4" max="4" width="34.453125" bestFit="1" customWidth="1"/>
    <col min="5" max="5" width="12.08984375" bestFit="1" customWidth="1"/>
    <col min="6" max="6" width="25.36328125" bestFit="1" customWidth="1"/>
    <col min="7" max="9" width="81.08984375" bestFit="1" customWidth="1"/>
    <col min="10" max="10" width="62.453125" bestFit="1" customWidth="1"/>
    <col min="11" max="11" width="81.08984375" bestFit="1" customWidth="1"/>
    <col min="12" max="12" width="17.453125" bestFit="1" customWidth="1"/>
    <col min="13" max="13" width="12.453125" bestFit="1" customWidth="1"/>
    <col min="14" max="14" width="17.36328125" bestFit="1" customWidth="1"/>
    <col min="15" max="15" width="6.90625" bestFit="1" customWidth="1"/>
    <col min="16" max="16" width="29" bestFit="1" customWidth="1"/>
    <col min="17" max="17" width="21.6328125" bestFit="1" customWidth="1"/>
    <col min="18" max="18" width="8" bestFit="1" customWidth="1"/>
    <col min="19" max="19" width="29.6328125" bestFit="1" customWidth="1"/>
    <col min="20" max="20" width="17.54296875" bestFit="1" customWidth="1"/>
    <col min="21" max="21" width="6.453125" bestFit="1" customWidth="1"/>
    <col min="22" max="22" width="30.54296875" bestFit="1" customWidth="1"/>
    <col min="23" max="23" width="34.6328125" bestFit="1" customWidth="1"/>
    <col min="24" max="24" width="20.36328125" bestFit="1" customWidth="1"/>
    <col min="25" max="25" width="16.90625" bestFit="1" customWidth="1"/>
    <col min="26" max="26" width="60" bestFit="1" customWidth="1"/>
    <col min="27" max="27" width="53.08984375" bestFit="1" customWidth="1"/>
    <col min="28" max="28" width="31.36328125" bestFit="1" customWidth="1"/>
    <col min="29" max="29" width="29.08984375" bestFit="1" customWidth="1"/>
    <col min="30" max="30" width="45.36328125" bestFit="1" customWidth="1"/>
    <col min="31" max="31" width="49.36328125" bestFit="1" customWidth="1"/>
    <col min="32" max="32" width="31.6328125" bestFit="1" customWidth="1"/>
    <col min="33" max="33" width="47.08984375" bestFit="1" customWidth="1"/>
    <col min="34" max="34" width="81.08984375" bestFit="1" customWidth="1"/>
    <col min="35" max="35" width="33.453125" bestFit="1" customWidth="1"/>
    <col min="36" max="36" width="53" bestFit="1" customWidth="1"/>
    <col min="37" max="37" width="65.453125" bestFit="1" customWidth="1"/>
    <col min="38" max="38" width="81.08984375" bestFit="1" customWidth="1"/>
    <col min="39" max="39" width="23" bestFit="1" customWidth="1"/>
    <col min="40" max="41" width="81.08984375" bestFit="1" customWidth="1"/>
    <col min="42" max="42" width="44.90625" bestFit="1" customWidth="1"/>
    <col min="43" max="43" width="70.08984375" bestFit="1" customWidth="1"/>
    <col min="44" max="44" width="40.453125" bestFit="1" customWidth="1"/>
    <col min="45" max="45" width="66.6328125" bestFit="1" customWidth="1"/>
    <col min="46" max="65" width="81.08984375" bestFit="1" customWidth="1"/>
    <col min="66" max="66" width="32.36328125" bestFit="1" customWidth="1"/>
    <col min="67" max="67" width="44.453125" bestFit="1" customWidth="1"/>
    <col min="68" max="81" width="81.08984375" bestFit="1" customWidth="1"/>
    <col min="82" max="82" width="21" bestFit="1" customWidth="1"/>
    <col min="83" max="83" width="51" bestFit="1" customWidth="1"/>
    <col min="84" max="105" width="81.08984375" bestFit="1" customWidth="1"/>
    <col min="106" max="106" width="13.453125" bestFit="1" customWidth="1"/>
    <col min="107" max="107" width="19.6328125" bestFit="1" customWidth="1"/>
    <col min="108" max="108" width="16.08984375" bestFit="1" customWidth="1"/>
    <col min="109" max="109" width="37" bestFit="1" customWidth="1"/>
    <col min="110" max="110" width="56.90625" bestFit="1" customWidth="1"/>
    <col min="111" max="122" width="81.08984375" bestFit="1" customWidth="1"/>
    <col min="123" max="123" width="14.36328125" bestFit="1" customWidth="1"/>
    <col min="124" max="124" width="81.08984375" bestFit="1" customWidth="1"/>
    <col min="125" max="125" width="80.6328125" bestFit="1" customWidth="1"/>
    <col min="126" max="126" width="76.08984375" bestFit="1" customWidth="1"/>
    <col min="127" max="132" width="81.08984375" bestFit="1" customWidth="1"/>
    <col min="133" max="133" width="76" bestFit="1" customWidth="1"/>
    <col min="134" max="134" width="77" bestFit="1" customWidth="1"/>
    <col min="135" max="135" width="10.90625" bestFit="1" customWidth="1"/>
    <col min="136" max="136" width="56.08984375" bestFit="1" customWidth="1"/>
    <col min="137" max="137" width="60.36328125" bestFit="1" customWidth="1"/>
    <col min="138" max="138" width="74.08984375" bestFit="1" customWidth="1"/>
    <col min="139" max="139" width="75" bestFit="1" customWidth="1"/>
    <col min="140" max="140" width="68.453125" bestFit="1" customWidth="1"/>
    <col min="141" max="141" width="67.08984375" bestFit="1" customWidth="1"/>
    <col min="142" max="142" width="81.08984375" bestFit="1" customWidth="1"/>
    <col min="143" max="143" width="53.08984375" bestFit="1" customWidth="1"/>
    <col min="144" max="144" width="53.90625" bestFit="1" customWidth="1"/>
    <col min="145" max="145" width="53.54296875" bestFit="1" customWidth="1"/>
    <col min="146" max="146" width="53.90625" bestFit="1" customWidth="1"/>
    <col min="147" max="147" width="53.54296875" bestFit="1" customWidth="1"/>
    <col min="148" max="148" width="53.90625" bestFit="1" customWidth="1"/>
    <col min="149" max="149" width="53.08984375" bestFit="1" customWidth="1"/>
    <col min="150" max="150" width="53.90625" bestFit="1" customWidth="1"/>
    <col min="151" max="151" width="53.54296875" bestFit="1" customWidth="1"/>
    <col min="152" max="152" width="53.90625" bestFit="1" customWidth="1"/>
    <col min="153" max="153" width="53.54296875" bestFit="1" customWidth="1"/>
    <col min="154" max="154" width="53.90625" bestFit="1" customWidth="1"/>
    <col min="155" max="155" width="53.54296875" bestFit="1" customWidth="1"/>
    <col min="156" max="156" width="53.90625" bestFit="1" customWidth="1"/>
    <col min="157" max="157" width="53.54296875" bestFit="1" customWidth="1"/>
    <col min="158" max="158" width="53.90625" bestFit="1" customWidth="1"/>
    <col min="159" max="159" width="53.54296875" bestFit="1" customWidth="1"/>
    <col min="160" max="160" width="53.90625" bestFit="1" customWidth="1"/>
    <col min="161" max="161" width="54.6328125" bestFit="1" customWidth="1"/>
    <col min="162" max="162" width="55" bestFit="1" customWidth="1"/>
    <col min="163" max="163" width="54.6328125" bestFit="1" customWidth="1"/>
    <col min="164" max="164" width="55" bestFit="1" customWidth="1"/>
    <col min="165" max="165" width="54.6328125" bestFit="1" customWidth="1"/>
    <col min="166" max="166" width="55" bestFit="1" customWidth="1"/>
    <col min="167" max="167" width="54.6328125" bestFit="1" customWidth="1"/>
    <col min="168" max="168" width="55" bestFit="1" customWidth="1"/>
    <col min="169" max="169" width="54.6328125" bestFit="1" customWidth="1"/>
    <col min="170" max="170" width="55" bestFit="1" customWidth="1"/>
    <col min="171" max="171" width="54.6328125" bestFit="1" customWidth="1"/>
    <col min="172" max="172" width="55" bestFit="1" customWidth="1"/>
    <col min="173" max="173" width="81.08984375" bestFit="1" customWidth="1"/>
    <col min="174" max="174" width="55.453125" bestFit="1" customWidth="1"/>
    <col min="175" max="175" width="48.453125" bestFit="1" customWidth="1"/>
    <col min="176" max="176" width="46.36328125" bestFit="1" customWidth="1"/>
    <col min="177" max="177" width="36" bestFit="1" customWidth="1"/>
    <col min="178" max="181" width="81.08984375" bestFit="1" customWidth="1"/>
    <col min="182" max="182" width="48.54296875" bestFit="1" customWidth="1"/>
    <col min="183" max="183" width="64.6328125" bestFit="1" customWidth="1"/>
    <col min="184" max="185" width="41.90625" bestFit="1" customWidth="1"/>
    <col min="186" max="186" width="74" bestFit="1" customWidth="1"/>
    <col min="187" max="187" width="70.6328125" bestFit="1" customWidth="1"/>
    <col min="188" max="189" width="81.08984375" bestFit="1" customWidth="1"/>
    <col min="190" max="190" width="36.90625" bestFit="1" customWidth="1"/>
    <col min="191" max="191" width="42.90625" bestFit="1" customWidth="1"/>
    <col min="192" max="192" width="69.08984375" bestFit="1" customWidth="1"/>
    <col min="193" max="193" width="68.6328125" bestFit="1" customWidth="1"/>
    <col min="194" max="194" width="75.453125" bestFit="1" customWidth="1"/>
    <col min="195" max="195" width="71.453125" bestFit="1" customWidth="1"/>
    <col min="196" max="196" width="33.453125" bestFit="1" customWidth="1"/>
    <col min="197" max="197" width="35.08984375" bestFit="1" customWidth="1"/>
    <col min="198" max="198" width="76.453125" bestFit="1" customWidth="1"/>
    <col min="199" max="199" width="81.08984375" bestFit="1" customWidth="1"/>
    <col min="200" max="200" width="65.36328125" bestFit="1" customWidth="1"/>
    <col min="201" max="201" width="81" bestFit="1" customWidth="1"/>
    <col min="202" max="202" width="65.54296875" bestFit="1" customWidth="1"/>
    <col min="203" max="203" width="71.54296875" bestFit="1" customWidth="1"/>
    <col min="204" max="204" width="46.36328125" bestFit="1" customWidth="1"/>
    <col min="205" max="205" width="70.90625" bestFit="1" customWidth="1"/>
    <col min="206" max="206" width="70.54296875" bestFit="1" customWidth="1"/>
    <col min="207" max="207" width="77.453125" bestFit="1" customWidth="1"/>
    <col min="208" max="208" width="42.36328125" bestFit="1" customWidth="1"/>
    <col min="209" max="209" width="35.08984375" bestFit="1" customWidth="1"/>
    <col min="210" max="210" width="52" bestFit="1" customWidth="1"/>
    <col min="211" max="211" width="59.08984375" bestFit="1" customWidth="1"/>
    <col min="212" max="212" width="63.54296875" bestFit="1" customWidth="1"/>
    <col min="213" max="213" width="70.6328125" bestFit="1" customWidth="1"/>
    <col min="214" max="214" width="8.36328125" bestFit="1" customWidth="1"/>
    <col min="215" max="215" width="12.54296875" bestFit="1" customWidth="1"/>
    <col min="216" max="216" width="21" bestFit="1" customWidth="1"/>
    <col min="217" max="217" width="28.90625" bestFit="1" customWidth="1"/>
    <col min="218" max="218" width="14.08984375" bestFit="1" customWidth="1"/>
    <col min="219" max="219" width="33" bestFit="1" customWidth="1"/>
    <col min="220" max="220" width="18.54296875" bestFit="1" customWidth="1"/>
    <col min="221" max="221" width="22.6328125" bestFit="1" customWidth="1"/>
    <col min="222" max="222" width="19.36328125" bestFit="1" customWidth="1"/>
    <col min="223" max="223" width="16.08984375" bestFit="1" customWidth="1"/>
    <col min="224" max="224" width="15" bestFit="1" customWidth="1"/>
    <col min="225" max="225" width="25" bestFit="1" customWidth="1"/>
    <col min="226" max="226" width="13.90625" bestFit="1" customWidth="1"/>
    <col min="227" max="227" width="14.453125" bestFit="1" customWidth="1"/>
    <col min="229" max="229" width="18" bestFit="1" customWidth="1"/>
    <col min="230" max="230" width="30.90625" bestFit="1" customWidth="1"/>
    <col min="231" max="231" width="29.90625" bestFit="1" customWidth="1"/>
    <col min="232" max="232" width="9" bestFit="1" customWidth="1"/>
    <col min="233" max="233" width="13.08984375" bestFit="1" customWidth="1"/>
    <col min="234" max="234" width="9.90625" bestFit="1" customWidth="1"/>
    <col min="235" max="235" width="29.36328125" bestFit="1" customWidth="1"/>
    <col min="236" max="236" width="21.08984375" bestFit="1" customWidth="1"/>
    <col min="237" max="237" width="24.90625" bestFit="1" customWidth="1"/>
    <col min="238" max="238" width="19.6328125" bestFit="1" customWidth="1"/>
    <col min="239" max="239" width="8.453125" bestFit="1" customWidth="1"/>
    <col min="240" max="240" width="7.90625" bestFit="1" customWidth="1"/>
    <col min="241" max="241" width="12.6328125" bestFit="1" customWidth="1"/>
    <col min="242" max="242" width="13.08984375" bestFit="1" customWidth="1"/>
    <col min="243" max="243" width="9.36328125" bestFit="1" customWidth="1"/>
    <col min="244" max="244" width="25.08984375" bestFit="1" customWidth="1"/>
    <col min="245" max="245" width="12.6328125" bestFit="1" customWidth="1"/>
    <col min="246" max="246" width="45.54296875" bestFit="1" customWidth="1"/>
    <col min="247" max="247" width="48.90625" bestFit="1" customWidth="1"/>
    <col min="248" max="248" width="30" bestFit="1" customWidth="1"/>
    <col min="249" max="249" width="43.54296875" bestFit="1" customWidth="1"/>
    <col min="250" max="250" width="45" bestFit="1" customWidth="1"/>
    <col min="251" max="251" width="39.90625" bestFit="1" customWidth="1"/>
    <col min="252" max="252" width="29.36328125" bestFit="1" customWidth="1"/>
    <col min="253" max="253" width="36.36328125" bestFit="1" customWidth="1"/>
    <col min="254" max="254" width="66.6328125" bestFit="1" customWidth="1"/>
    <col min="255" max="255" width="73.36328125" bestFit="1" customWidth="1"/>
    <col min="256" max="256" width="75" bestFit="1" customWidth="1"/>
    <col min="257" max="257" width="81.08984375" bestFit="1" customWidth="1"/>
    <col min="258" max="258" width="58.6328125" bestFit="1" customWidth="1"/>
    <col min="259" max="259" width="73.36328125" bestFit="1" customWidth="1"/>
    <col min="260" max="260" width="45.08984375" bestFit="1" customWidth="1"/>
    <col min="261" max="261" width="43" bestFit="1" customWidth="1"/>
    <col min="262" max="263" width="81.08984375" bestFit="1" customWidth="1"/>
    <col min="264" max="264" width="51.90625" bestFit="1" customWidth="1"/>
    <col min="265" max="265" width="59" bestFit="1" customWidth="1"/>
    <col min="266" max="266" width="15.54296875" bestFit="1" customWidth="1"/>
    <col min="267" max="267" width="10.453125" bestFit="1" customWidth="1"/>
    <col min="268" max="268" width="34.08984375" bestFit="1" customWidth="1"/>
    <col min="269" max="270" width="18.08984375" bestFit="1" customWidth="1"/>
    <col min="271" max="271" width="34.6328125" bestFit="1" customWidth="1"/>
    <col min="272" max="272" width="43.90625" bestFit="1" customWidth="1"/>
    <col min="273" max="273" width="44.6328125" bestFit="1" customWidth="1"/>
    <col min="274" max="274" width="43.453125" bestFit="1" customWidth="1"/>
    <col min="275" max="275" width="50.453125" bestFit="1" customWidth="1"/>
    <col min="276" max="276" width="44.36328125" bestFit="1" customWidth="1"/>
    <col min="277" max="277" width="45.36328125" bestFit="1" customWidth="1"/>
    <col min="278" max="278" width="43.90625" bestFit="1" customWidth="1"/>
    <col min="279" max="279" width="44.90625" bestFit="1" customWidth="1"/>
    <col min="280" max="280" width="43" bestFit="1" customWidth="1"/>
    <col min="281" max="281" width="45.6328125" bestFit="1" customWidth="1"/>
    <col min="282" max="282" width="47" bestFit="1" customWidth="1"/>
    <col min="283" max="283" width="45.54296875" bestFit="1" customWidth="1"/>
    <col min="284" max="284" width="62.90625" bestFit="1" customWidth="1"/>
    <col min="285" max="285" width="70.08984375" bestFit="1" customWidth="1"/>
    <col min="286" max="286" width="81.08984375" bestFit="1" customWidth="1"/>
    <col min="287" max="287" width="35.54296875" bestFit="1" customWidth="1"/>
    <col min="288" max="288" width="11.08984375" bestFit="1" customWidth="1"/>
  </cols>
  <sheetData>
    <row r="1" spans="1:288" x14ac:dyDescent="0.35">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5">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5">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5">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5">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5">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5">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5">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5">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5">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5">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5">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5">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5">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5">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5">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5">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5">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5">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5">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5">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5">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5">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5">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5">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5">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5">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5">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5">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5">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5">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5">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5">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5">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5">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5">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5">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5">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5">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5">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5">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5">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5">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5">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5">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5">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5">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5">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5">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5">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5">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5">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5">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5">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5">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5">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5">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5">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5">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5">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5">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5">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5">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5">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5">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5">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5">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5">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5">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5">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5">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5">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5">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5">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5">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5">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5">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5">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5">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5">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5">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5">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5">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5">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5">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5">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5">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5">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5">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5">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5">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5">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5">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5">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5">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5">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5">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5">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5">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5">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5">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5">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5">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5">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5">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5">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5">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5">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5">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5">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5">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5">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5">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5">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5">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5">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5">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5">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5">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5">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5">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5">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5">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5">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5">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5">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5">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5">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5">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5">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5">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5">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5">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5">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5">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5">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5">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5">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5">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5">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5">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5">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5">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5">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5">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5">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5">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5">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5">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5">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5">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5">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5">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5">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5">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5">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5">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5">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5">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5">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5">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5">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5">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5">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5">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5">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5">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5">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5">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5">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5">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5">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5">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5">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5">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5">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5">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5">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5">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5">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5">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5">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5">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5">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5">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5">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5">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5">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5">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5">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5">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5">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5">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5">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5">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5">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5">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5">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5">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5">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5">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5">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5">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5">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5">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5">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5">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5">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5">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5">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5">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5">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5">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5">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5">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5">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5">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5">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5">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5">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5">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5">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5">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5">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5">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5">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5">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5">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5">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5">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5">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5">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5">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5">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5">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5">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5">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5">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5">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5">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5">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5">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5">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5">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5">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5">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5">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5">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5">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5">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5">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5">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5">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5">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5">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5">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5">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5">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5">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5">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5">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5">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5">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5">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5">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5">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5">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5">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5">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5">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5">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5">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5">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5">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5">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5">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5">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5">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5">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5">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5">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5">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5">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5">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5">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5">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5">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5">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5">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5">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5">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5">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5">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5">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5">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5">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5">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5">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5">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5">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5">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5">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5">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5">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5">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5">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5">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5">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5">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5">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5">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5">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5">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5">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5">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5">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5">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5">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5">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5">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5">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5">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5">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5">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5">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5">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5">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5">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5">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5">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5">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5">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5">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5">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5">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5">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5">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5">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5">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5">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5">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5">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5">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5">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5">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5">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5">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5">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5">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5">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5">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5">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5">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5">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5">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5">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5">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5">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5">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5">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5">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5">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5">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5">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5">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5">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5">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5">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5">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5">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5">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5">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5">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5">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5">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5">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5">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5">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5">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5">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5">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5">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5">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5">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5">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5">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5">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5">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5">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5">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5">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5">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5">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5">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5">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5">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5">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5">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5">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5">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5">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5">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5">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5">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5">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5">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5">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5">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5">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5">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5">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5">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5">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5">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5">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5">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5">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5">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5">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5">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5">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5">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5">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5">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5">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5">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5">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5">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5">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5">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5">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5">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5">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5">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5">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5">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5">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5">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5">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5">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5">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5">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5">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5">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5">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5">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5">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5">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5">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5">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5">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5">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5">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5">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5">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5">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5">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5">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5">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5">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5">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5">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5">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5">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5">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5">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5">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5">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5">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5">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5">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5">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5">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5">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5">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5">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5">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5">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5">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5">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5">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5">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5">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5">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5">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5">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5">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5">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5">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5">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5">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5">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5">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5">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5">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5">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5">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5">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5">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5">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5">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5">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5">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5">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5">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5">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5">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5">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5">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5">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5">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5">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5">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5">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5">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5">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5">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5">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5">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5">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5">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5">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5">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5">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5">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5">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5">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5">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5">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5">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5">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5">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5">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5">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5">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5">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5">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5">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5">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5">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5">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5">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5">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5">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5">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5">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5">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5">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5">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5">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5">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5">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5">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5">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5">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5">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5">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5">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5">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5">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5">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5">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5">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5">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5">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5">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5">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5">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5">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5">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5">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5">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5">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5">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5">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5">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5">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5">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5">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5">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5">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5">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5">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5">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5">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5">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5">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5">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5">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5">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5">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5">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5">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5">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5">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5">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5">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5">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5">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5">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5">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5">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5">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5">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5">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5">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5">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5">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5">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5">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5">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5">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5">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5">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5">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5">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5">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5">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5">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5">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5">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5">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5">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5">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5">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5">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5">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5">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5">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5">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5">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5">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5">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5">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5">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5">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5">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5">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5">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5">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5">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5">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5">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5">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5">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5">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5">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5">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5">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5">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5">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5">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5">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5">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5">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5">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5">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5">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5">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5">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5">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5">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5">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5">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5">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5">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5">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5">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5">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5">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5">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5">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5">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5">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5">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5">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5">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5">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5">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5">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5">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5">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5">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5">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5">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5">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5">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5">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5">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5">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5">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5">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5">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5">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5">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5">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5">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5">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5">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5">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5">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5">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5">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5">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5">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5">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5">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5">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5">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5">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5">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5">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5">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5">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5">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5">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5">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5">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5">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5">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5">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5">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5">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5">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5">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5">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5">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5">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5">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5">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5">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5">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5">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5">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5">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5">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5">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5">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5">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5">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5">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5">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5">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5">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5">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5">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5">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5">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5">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5">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5">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5">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5">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5">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5">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5">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5">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5">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5">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5">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5">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5">
      <c r="D762" s="45"/>
      <c r="E762" s="46"/>
    </row>
    <row r="763" spans="1:288" x14ac:dyDescent="0.35">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5">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5">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5">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5">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5">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5">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5">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5">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5">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5">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5">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5">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5">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5">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5">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5">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5">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5">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5">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5">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5">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5">
      <c r="D785" s="45"/>
      <c r="E785" s="46"/>
    </row>
    <row r="786" spans="1:288" x14ac:dyDescent="0.35">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5">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5">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5">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5">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5">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5">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5">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5">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5">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5">
      <c r="D796" s="45"/>
      <c r="E796" s="46"/>
    </row>
    <row r="797" spans="1:288" x14ac:dyDescent="0.35">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5">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5">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5">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5">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5">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5">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5">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5">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5">
      <c r="D806" s="45"/>
      <c r="E806" s="46"/>
    </row>
    <row r="807" spans="1:288" x14ac:dyDescent="0.35">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5">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5">
      <c r="D809" s="45"/>
      <c r="E809" s="46"/>
    </row>
    <row r="810" spans="1:288" x14ac:dyDescent="0.35">
      <c r="D810" s="45"/>
      <c r="E810" s="46"/>
    </row>
    <row r="811" spans="1:288" x14ac:dyDescent="0.35">
      <c r="D811" s="45"/>
      <c r="E811" s="46"/>
    </row>
    <row r="812" spans="1:288" x14ac:dyDescent="0.35">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5">
      <c r="D813" s="45"/>
      <c r="E813" s="46"/>
    </row>
    <row r="814" spans="1:288" x14ac:dyDescent="0.35">
      <c r="D814" s="45"/>
      <c r="E814" s="46"/>
    </row>
    <row r="815" spans="1:288" x14ac:dyDescent="0.35">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5">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5">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5">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5">
      <c r="D819" s="45"/>
      <c r="E819" s="46"/>
    </row>
    <row r="820" spans="1:288" x14ac:dyDescent="0.35">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5">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5">
      <c r="D822" s="45"/>
      <c r="E822" s="46"/>
    </row>
    <row r="823" spans="1:288" x14ac:dyDescent="0.35">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5">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5">
      <c r="D825" s="45"/>
      <c r="E825" s="46"/>
    </row>
    <row r="826" spans="1:288" x14ac:dyDescent="0.35">
      <c r="D826" s="45"/>
      <c r="E826" s="46"/>
    </row>
    <row r="827" spans="1:288" x14ac:dyDescent="0.35">
      <c r="D827" s="45"/>
      <c r="E827" s="46"/>
    </row>
    <row r="828" spans="1:288" x14ac:dyDescent="0.35">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5">
      <c r="D829" s="45"/>
      <c r="E829" s="46"/>
    </row>
    <row r="830" spans="1:288" x14ac:dyDescent="0.35">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5">
      <c r="D831" s="45"/>
      <c r="E831" s="46"/>
    </row>
    <row r="832" spans="1:288" x14ac:dyDescent="0.35">
      <c r="D832" s="45"/>
      <c r="E832" s="46"/>
    </row>
    <row r="833" spans="1:288" x14ac:dyDescent="0.35">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5">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5">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5" x14ac:dyDescent="0.35"/>
  <cols>
    <col min="5" max="5" width="21.54296875" customWidth="1"/>
    <col min="10" max="10" width="28" customWidth="1"/>
    <col min="11" max="11" width="23.36328125" customWidth="1"/>
    <col min="14" max="14" width="40.08984375" customWidth="1"/>
  </cols>
  <sheetData>
    <row r="5" spans="10:14" x14ac:dyDescent="0.35">
      <c r="J5" s="227" t="s">
        <v>915</v>
      </c>
      <c r="K5" s="227"/>
    </row>
    <row r="6" spans="10:14" x14ac:dyDescent="0.35">
      <c r="J6" s="225" t="str">
        <f>" "&amp;'Aim 1 - Index Patients'!C5&amp;"("&amp;TEXT('Aim 1 - Index Patients'!D5,"0%")&amp;")"</f>
        <v xml:space="preserve"> 3(100%)</v>
      </c>
      <c r="K6" s="225"/>
      <c r="N6" t="str">
        <f>"Not Eligible = "&amp;'Aim 1 - Index Patients'!C7&amp;"("&amp;TEXT('Aim 1 - Index Patients'!D7,"0%")&amp;")"</f>
        <v>Not Eligible = 1(33%)</v>
      </c>
    </row>
    <row r="7" spans="10:14" x14ac:dyDescent="0.35">
      <c r="J7" s="97"/>
      <c r="K7" s="97"/>
      <c r="N7" t="str">
        <f>"   Age &lt;18 years = "&amp;'Aim 1 - Index Patients'!C8&amp;"("&amp;TEXT('Aim 1 - Index Patients'!D8,"0%")&amp;")"</f>
        <v xml:space="preserve">   Age &lt;18 years = 1(100%)</v>
      </c>
    </row>
    <row r="8" spans="10:14" x14ac:dyDescent="0.35">
      <c r="N8" t="str">
        <f>"   Lives outside study communities = "&amp;'Aim 1 - Index Patients'!C9&amp;"("&amp;TEXT('Aim 1 - Index Patients'!D9,"0%")&amp;")"</f>
        <v xml:space="preserve">   Lives outside study communities = 1(100%)</v>
      </c>
    </row>
    <row r="9" spans="10:14" x14ac:dyDescent="0.35">
      <c r="N9" t="str">
        <f>"   Not Pulmonary TB Positive = "&amp;'Aim 1 - Index Patients'!C10&amp;"("&amp;TEXT('Aim 1 - Index Patients'!D10,"0%")&amp;")"</f>
        <v xml:space="preserve">   Not Pulmonary TB Positive = 1(100%)</v>
      </c>
    </row>
    <row r="10" spans="10:14" x14ac:dyDescent="0.35">
      <c r="N10" t="str">
        <f>"   Not fluent in Xhosa or English = "&amp;'Aim 1 - Index Patients'!C11&amp;"("&amp;TEXT('Aim 1 - Index Patients'!D11,"0%")&amp;")"</f>
        <v xml:space="preserve">   Not fluent in Xhosa or English = 1(100%)</v>
      </c>
    </row>
    <row r="11" spans="10:14" x14ac:dyDescent="0.35">
      <c r="N11" t="str">
        <f>"   No household contacts = "&amp;'Aim 1 - Index Patients'!C12&amp;"("&amp;TEXT('Aim 1 - Index Patients'!D12,"0%")&amp;")"</f>
        <v xml:space="preserve">   No household contacts = 1(100%)</v>
      </c>
    </row>
    <row r="12" spans="10:14" x14ac:dyDescent="0.35">
      <c r="J12" s="227" t="s">
        <v>916</v>
      </c>
      <c r="K12" s="227"/>
      <c r="N12" t="str">
        <f>"   Enrolled on other Cohort / HHC = "&amp;'Aim 1 - Index Patients'!C13&amp;"("&amp;TEXT('Aim 1 - Index Patients'!D13,"0%")&amp;")"</f>
        <v xml:space="preserve">   Enrolled on other Cohort / HHC = 1(100%)</v>
      </c>
    </row>
    <row r="13" spans="10:14" x14ac:dyDescent="0.35">
      <c r="J13" s="225" t="str">
        <f>""&amp;'Aim 1 - Index Patients'!C6&amp;"("&amp;TEXT('Aim 1 - Index Patients'!D6,"0%")&amp;")"</f>
        <v>1(33%)</v>
      </c>
      <c r="K13" s="225"/>
    </row>
    <row r="17" spans="10:14" x14ac:dyDescent="0.35">
      <c r="J17" s="227" t="s">
        <v>917</v>
      </c>
      <c r="K17" s="227"/>
    </row>
    <row r="18" spans="10:14" x14ac:dyDescent="0.35">
      <c r="J18" s="225" t="str">
        <f>""&amp;'Aim 1 - Index Patients'!C19&amp;"("&amp;TEXT('Aim 1 - Index Patients'!D19,"0%")&amp;")"</f>
        <v>1(100%)</v>
      </c>
      <c r="K18" s="225"/>
    </row>
    <row r="22" spans="10:14" x14ac:dyDescent="0.35">
      <c r="J22" s="226" t="s">
        <v>918</v>
      </c>
      <c r="K22" s="226"/>
    </row>
    <row r="23" spans="10:14" x14ac:dyDescent="0.35">
      <c r="J23" s="97" t="s">
        <v>919</v>
      </c>
      <c r="K23" s="97" t="s">
        <v>920</v>
      </c>
    </row>
    <row r="24" spans="10:14" x14ac:dyDescent="0.35">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5">
      <c r="N25" t="str">
        <f>"  On Treatment =  "&amp;'Aim 1 - Household Contacts'!C37&amp;"("&amp;TEXT('Aim 1 - Household Contacts'!D37,"0%")&amp;")"</f>
        <v xml:space="preserve">  On Treatment =  0(-)</v>
      </c>
    </row>
    <row r="26" spans="10:14" x14ac:dyDescent="0.35">
      <c r="N26" t="str">
        <f>"  Visited clinic before HHCI =  "&amp;'Aim 1 - Household Contacts'!C38&amp;"("&amp;TEXT('Aim 1 - Household Contacts'!D38,"0%")&amp;")"</f>
        <v xml:space="preserve">  Visited clinic before HHCI =  0(-)</v>
      </c>
    </row>
    <row r="27" spans="10:14" x14ac:dyDescent="0.35">
      <c r="N27" t="str">
        <f>"  TB asymptomatic =  "&amp;'Aim 1 - Household Contacts'!C39&amp;"("&amp;TEXT('Aim 1 - Household Contacts'!D39,"0%")&amp;")"</f>
        <v xml:space="preserve">  TB asymptomatic =  0(-)</v>
      </c>
    </row>
    <row r="28" spans="10:14" x14ac:dyDescent="0.35">
      <c r="N28" t="str">
        <f>"  Not Interested  =  "&amp;'Aim 1 - Household Contacts'!C40&amp;"("&amp;TEXT('Aim 1 - Household Contacts'!D40,"0%")&amp;")"</f>
        <v xml:space="preserve">  Not Interested  =  0(-)</v>
      </c>
    </row>
    <row r="29" spans="10:14" x14ac:dyDescent="0.35">
      <c r="N29" t="str">
        <f>"  Not fluent in Xhosa or English  =  "&amp;'Aim 1 - Household Contacts'!C41&amp;"("&amp;TEXT('Aim 1 - Household Contacts'!D41,"0%")&amp;")"</f>
        <v xml:space="preserve">  Not fluent in Xhosa or English  =  0(-)</v>
      </c>
    </row>
    <row r="30" spans="10:14" x14ac:dyDescent="0.35">
      <c r="N30" t="str">
        <f>"  &lt;18 Years Old  =  "&amp;'Aim 1 - Household Contacts'!C42&amp;"("&amp;TEXT('Aim 1 - Household Contacts'!D42,"0%")&amp;")"</f>
        <v xml:space="preserve">  &lt;18 Years Old  =  0(-)</v>
      </c>
    </row>
    <row r="31" spans="10:14" x14ac:dyDescent="0.35">
      <c r="J31" s="226" t="s">
        <v>921</v>
      </c>
      <c r="K31" s="226"/>
    </row>
    <row r="32" spans="10:14" x14ac:dyDescent="0.35">
      <c r="J32" s="97" t="s">
        <v>922</v>
      </c>
      <c r="K32" s="97" t="s">
        <v>923</v>
      </c>
    </row>
    <row r="33" spans="10:11" x14ac:dyDescent="0.35">
      <c r="K33" s="97" t="str">
        <f>" "&amp;'Aim 1 - Household Contacts'!C43&amp;"("&amp;TEXT('Aim 1 - Household Contacts'!D43,"0%")&amp;")"</f>
        <v xml:space="preserve"> 0(-)</v>
      </c>
    </row>
    <row r="37" spans="10:11" x14ac:dyDescent="0.35">
      <c r="J37" s="226" t="s">
        <v>924</v>
      </c>
      <c r="K37" s="226"/>
    </row>
    <row r="38" spans="10:11" x14ac:dyDescent="0.35">
      <c r="J38" s="97" t="s">
        <v>880</v>
      </c>
      <c r="K38" s="97" t="s">
        <v>923</v>
      </c>
    </row>
    <row r="39" spans="10:11" x14ac:dyDescent="0.35">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5"/>
  <sheetViews>
    <sheetView showGridLines="0" tabSelected="1" topLeftCell="A4" zoomScale="60" zoomScaleNormal="60" workbookViewId="0">
      <selection activeCell="U35" sqref="U35"/>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91" customWidth="1"/>
    <col min="7" max="7" width="32.1796875" style="191" customWidth="1" collapsed="1"/>
    <col min="8" max="8" width="4.453125" customWidth="1"/>
    <col min="28" max="28" width="16.453125" customWidth="1"/>
  </cols>
  <sheetData>
    <row r="1" spans="2:11" x14ac:dyDescent="0.35">
      <c r="B1" s="191" t="s">
        <v>1001</v>
      </c>
      <c r="C1" s="208" t="str">
        <f>""&amp;'Aim 1 - Index Patients'!C4</f>
        <v>3</v>
      </c>
      <c r="H1" s="152"/>
      <c r="I1" s="152"/>
      <c r="J1" s="152"/>
      <c r="K1" s="152"/>
    </row>
    <row r="2" spans="2:11" x14ac:dyDescent="0.35">
      <c r="B2" s="191" t="s">
        <v>915</v>
      </c>
      <c r="C2" s="208" t="str">
        <f>""&amp;'Aim 1 - Index Patients'!C5&amp;"("&amp;TEXT('Aim 1 - Index Patients'!D5,"0%")&amp;")"</f>
        <v>3(100%)</v>
      </c>
      <c r="H2" s="152"/>
      <c r="I2" s="152"/>
      <c r="J2" s="152"/>
      <c r="K2" s="152"/>
    </row>
    <row r="3" spans="2:11" x14ac:dyDescent="0.35">
      <c r="B3" s="191" t="s">
        <v>916</v>
      </c>
      <c r="C3" s="208" t="str">
        <f>""&amp;'Aim 1 - Index Patients'!C6&amp;"("&amp;TEXT('Aim 1 - Index Patients'!D6,"0%")&amp;")"</f>
        <v>1(33%)</v>
      </c>
      <c r="D3" s="191" t="str">
        <f>"Not Eligible(excl. &lt;18) = "&amp;'Aim 1 - Index Patients'!C7&amp;"("&amp;TEXT('Aim 1 - Index Patients'!D7,"0%")&amp;")"&amp;CHAR(10)&amp;"Lives outside study communities = "&amp;'Aim 1 - Index Patients'!C9&amp;"("&amp;TEXT('Aim 1 - Index Patients'!D9,"0%")&amp;")"&amp;CHAR(10)&amp;"Not Pulmonary TB Positive = "&amp;'Aim 1 - Index Patients'!C10&amp;"("&amp;TEXT('Aim 1 - Index Patients'!D10,"0%")&amp;")"&amp;CHAR(10)&amp;"Not fluent in Xhosa or English = "&amp;'Aim 1 - Index Patients'!C11&amp;"("&amp;TEXT('Aim 1 - Index Patients'!D11,"0%")&amp;")"&amp;CHAR(10)&amp;"No household contacts = "&amp;'Aim 1 - Index Patients'!C12&amp;"("&amp;TEXT('Aim 1 - Index Patients'!D12,"0%")&amp;")"&amp;CHAR(10)&amp;"TB Experienced no HHC = "&amp;'Aim 1 - Index Patients'!C15&amp;"("&amp;TEXT('Aim 1 - Index Patients'!D15,"0%")&amp;")"&amp;CHAR(10)&amp;"Enrolled on other Cohort/HHC = "&amp;'Aim 1 - Index Patients'!C13&amp;"("&amp;TEXT('Aim 1 - Index Patients'!D13,"0%")&amp;")"&amp;CHAR(10)</f>
        <v xml:space="preserve">Not Eligible(excl. &lt;18) = 1(33%)
Lives outside study communities = 1(100%)
Not Pulmonary TB Positive = 1(100%)
Not fluent in Xhosa or English = 1(100%)
No household contacts = 1(100%)
TB Experienced no HHC = 1(100%)
Enrolled on other Cohort/HHC = 1(100%)
</v>
      </c>
      <c r="E3" s="191" t="str">
        <f>"Age &lt;18 years = "&amp;'Aim 1 - Index Patients'!C8&amp;"("&amp;TEXT('Aim 1 - Index Patients'!D8,"0%")&amp;")"</f>
        <v>Age &lt;18 years = 1(100%)</v>
      </c>
      <c r="H3" s="152"/>
      <c r="I3" s="152"/>
      <c r="J3" s="152"/>
      <c r="K3" s="152"/>
    </row>
    <row r="4" spans="2:11" x14ac:dyDescent="0.35">
      <c r="B4" s="191" t="s">
        <v>966</v>
      </c>
      <c r="C4" s="208" t="str">
        <f>""&amp;'Aim 1 - Index Patients'!C8&amp;"("&amp;TEXT('Aim 1 - Index Patients'!D8,"0%")&amp;")"</f>
        <v>1(100%)</v>
      </c>
      <c r="H4" s="152"/>
      <c r="I4" s="152"/>
      <c r="J4" s="152"/>
      <c r="K4" s="152"/>
    </row>
    <row r="5" spans="2:11" x14ac:dyDescent="0.35">
      <c r="B5" s="191" t="s">
        <v>925</v>
      </c>
      <c r="C5" s="208" t="str">
        <f>""&amp;'Aim 1 - Index Patients'!D33&amp;"("&amp;TEXT('Aim 1 - Index Patients'!E33,"0%")&amp;")"</f>
        <v>0(-)</v>
      </c>
      <c r="H5" s="152"/>
      <c r="I5" s="152"/>
      <c r="J5" s="152"/>
      <c r="K5" s="152"/>
    </row>
    <row r="6" spans="2:11" x14ac:dyDescent="0.35">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5">
      <c r="B7" s="191" t="s">
        <v>927</v>
      </c>
      <c r="C7" s="208" t="str">
        <f>""&amp;'Aim 1 - Index Patients'!D43&amp;"("&amp;TEXT('Aim 1 - Index Patients'!E43,"0%")&amp;")"</f>
        <v>0(-)</v>
      </c>
      <c r="H7" s="152"/>
      <c r="I7" s="152"/>
      <c r="J7" s="152"/>
      <c r="K7" s="152"/>
    </row>
    <row r="8" spans="2:11" x14ac:dyDescent="0.35">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5">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5">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5">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Not Interested  =  0(-)
     Not fluent in Xhosa or English  =  0(-)
     &lt;18 Years Old  =  0(-)</v>
      </c>
      <c r="E11" s="192"/>
      <c r="H11" s="152"/>
      <c r="I11" s="152"/>
      <c r="J11" s="152"/>
      <c r="K11" s="152"/>
    </row>
    <row r="12" spans="2:11" x14ac:dyDescent="0.35">
      <c r="B12" s="191" t="s">
        <v>930</v>
      </c>
      <c r="C12" s="191" t="str">
        <f>""&amp;'Aim 1 - Household Contacts'!C35&amp;"("&amp;TEXT('Aim 1 - Household Contacts'!D35,"0%")&amp;")"</f>
        <v>0(-)</v>
      </c>
      <c r="H12" s="152"/>
      <c r="I12" s="152"/>
      <c r="J12" s="152"/>
      <c r="K12" s="152"/>
    </row>
    <row r="13" spans="2:11" x14ac:dyDescent="0.35">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5">
      <c r="B14" s="191" t="s">
        <v>933</v>
      </c>
      <c r="C14" s="191" t="str">
        <f>""&amp;'Aim 1 - Household Contacts'!C43&amp;"("&amp;TEXT('Aim 1 - Household Contacts'!D43,"0%")&amp;")"</f>
        <v>0(-)</v>
      </c>
      <c r="H14" s="152"/>
      <c r="I14" s="152"/>
      <c r="J14" s="152"/>
      <c r="K14" s="152"/>
    </row>
    <row r="15" spans="2:11" x14ac:dyDescent="0.35">
      <c r="B15" s="191" t="s">
        <v>931</v>
      </c>
      <c r="C15" s="191" t="str">
        <f>""&amp;'Aim 1 - Household Contacts'!C17&amp;"("&amp;TEXT('Aim 1 - Household Contacts'!D17,"0%")&amp;")"</f>
        <v>0(-)</v>
      </c>
      <c r="D15" s="191" t="str">
        <f>"Cannot Comprehend = "&amp;'Aim 1 - Household Contacts'!C46&amp;"("&amp;TEXT('Aim 1 - Household Contacts'!D46,"0%")&amp;")" &amp; CHAR(10)&amp;"Refused to participate = "&amp;'Aim 1 - Household Contacts'!C45&amp;"("&amp;TEXT('Aim 1 - Household Contacts'!D45,"0%")&amp;")"</f>
        <v>Cannot Comprehend = 0(-)
Refused to participate = 0(-)</v>
      </c>
      <c r="H15" s="152"/>
      <c r="I15" s="152"/>
      <c r="J15" s="152"/>
      <c r="K15" s="152"/>
    </row>
    <row r="16" spans="2:11" x14ac:dyDescent="0.35">
      <c r="B16" s="191" t="s">
        <v>934</v>
      </c>
      <c r="C16" s="191" t="str">
        <f>""&amp;'Aim 1 - Household Contacts'!C44&amp;"("&amp;TEXT('Aim 1 - Household Contacts'!D44,"0%")&amp;")"</f>
        <v>0(-)</v>
      </c>
      <c r="H16" s="152"/>
      <c r="I16" s="152"/>
      <c r="J16" s="152"/>
      <c r="K16" s="152"/>
    </row>
    <row r="17" spans="2:11" x14ac:dyDescent="0.35">
      <c r="B17" s="191" t="s">
        <v>967</v>
      </c>
      <c r="C17" s="191" t="str">
        <f>""&amp;'Aim 1 - Household Contacts'!C52&amp;"("&amp;TEXT('Aim 1 - Household Contacts'!D52,"0%")&amp;")"</f>
        <v>0(-)</v>
      </c>
      <c r="H17" s="152"/>
      <c r="I17" s="152"/>
      <c r="J17" s="152"/>
      <c r="K17" s="152"/>
    </row>
    <row r="18" spans="2:11" x14ac:dyDescent="0.35">
      <c r="B18" s="191" t="s">
        <v>980</v>
      </c>
      <c r="C18" s="191" t="str">
        <f>""&amp;'Aim 1 - Household Contacts'!F59&amp;"("&amp;TEXT('Aim 1 - Household Contacts'!G59,"0%")&amp;")"</f>
        <v>0(-)</v>
      </c>
      <c r="H18" s="152"/>
      <c r="I18" s="152"/>
      <c r="J18" s="152"/>
      <c r="K18" s="152"/>
    </row>
    <row r="19" spans="2:11" x14ac:dyDescent="0.35">
      <c r="B19" s="191" t="s">
        <v>968</v>
      </c>
      <c r="C19" s="191" t="str">
        <f>""&amp;'Aim 1 - Household Contacts'!F60&amp;"("&amp;TEXT('Aim 1 - Household Contacts'!G60,"0%")&amp;")"</f>
        <v>0(-)</v>
      </c>
      <c r="H19" s="152"/>
      <c r="I19" s="152"/>
      <c r="J19" s="152"/>
      <c r="K19" s="152"/>
    </row>
    <row r="20" spans="2:11" x14ac:dyDescent="0.35">
      <c r="B20" s="191" t="s">
        <v>985</v>
      </c>
      <c r="C20" s="191" t="str">
        <f>"Did not provide sputum"&amp;"(N="&amp;'Aim 1 - Household Contacts'!F61&amp;"("&amp;TEXT('Aim 1 - Household Contacts'!G61,"0%")&amp;"))"</f>
        <v>Did not provide sputum(N=0(-))</v>
      </c>
      <c r="H20" s="152"/>
      <c r="I20" s="152"/>
      <c r="J20" s="152"/>
      <c r="K20" s="152"/>
    </row>
    <row r="21" spans="2:11" x14ac:dyDescent="0.35">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5">
      <c r="B22" s="191" t="s">
        <v>970</v>
      </c>
      <c r="C22" s="191" t="str">
        <f>""&amp;'Aim 1 - Household Contacts'!F63&amp;"("&amp;TEXT('Aim 1 - Household Contacts'!G63,"0%")&amp;")"</f>
        <v>0(-)</v>
      </c>
      <c r="H22" s="152"/>
      <c r="I22" s="152"/>
      <c r="J22" s="152"/>
      <c r="K22" s="152"/>
    </row>
    <row r="23" spans="2:11" x14ac:dyDescent="0.35">
      <c r="B23" s="191" t="s">
        <v>971</v>
      </c>
      <c r="C23" s="191" t="str">
        <f>""&amp;'Aim 1 - Household Contacts'!F64&amp;"("&amp;TEXT('Aim 1 - Household Contacts'!G64,"0%")&amp;")"</f>
        <v>0(-)</v>
      </c>
      <c r="H23" s="152"/>
      <c r="I23" s="152"/>
      <c r="J23" s="152"/>
      <c r="K23" s="152"/>
    </row>
    <row r="24" spans="2:11" x14ac:dyDescent="0.35">
      <c r="B24" s="191" t="s">
        <v>972</v>
      </c>
      <c r="C24" s="191" t="str">
        <f>""&amp;'Aim 1 - Household Contacts'!F65&amp;"("&amp;TEXT('Aim 1 - Household Contacts'!G65,"0%")&amp;")"</f>
        <v>0(-)</v>
      </c>
      <c r="H24" s="152"/>
      <c r="I24" s="152"/>
      <c r="J24" s="152"/>
      <c r="K24" s="152"/>
    </row>
    <row r="25" spans="2:11" x14ac:dyDescent="0.35">
      <c r="B25" s="191" t="s">
        <v>973</v>
      </c>
      <c r="C25" s="191" t="str">
        <f>""&amp;'Aim 1 - Household Contacts'!L59&amp;"("&amp;TEXT('Aim 1 - Household Contacts'!M59,"0%")&amp;")"</f>
        <v>45(-)</v>
      </c>
      <c r="H25" s="152"/>
      <c r="I25" s="152"/>
      <c r="J25" s="152"/>
      <c r="K25" s="152"/>
    </row>
    <row r="26" spans="2:11" x14ac:dyDescent="0.35">
      <c r="B26" s="191" t="s">
        <v>981</v>
      </c>
      <c r="C26" s="191" t="str">
        <f>""&amp;'Aim 1 - Household Contacts'!C53&amp;"("&amp;TEXT('Aim 1 - Household Contacts'!D53,"0%")&amp;")"</f>
        <v>0(-)</v>
      </c>
      <c r="D26" s="191" t="str">
        <f>"Not Outcome Yet = "&amp;'Aim 1 - Household Contacts'!L79&amp;"("&amp;TEXT('Aim 1 - Household Contacts'!M79,"0%")&amp;")"</f>
        <v>Not Outcome Yet = 0(-)</v>
      </c>
      <c r="H26" s="152"/>
      <c r="I26" s="152"/>
      <c r="J26" s="152"/>
      <c r="K26" s="152"/>
    </row>
    <row r="27" spans="2:11" x14ac:dyDescent="0.35">
      <c r="B27" s="209" t="s">
        <v>994</v>
      </c>
      <c r="C27" s="191" t="str">
        <f>""&amp;'Aim 1 - Household Contacts'!C67&amp;"("&amp;TEXT('Aim 1 - Household Contacts'!D67,"0%")&amp;")"</f>
        <v>0(-)</v>
      </c>
      <c r="H27" s="152"/>
      <c r="I27" s="152"/>
      <c r="J27" s="152"/>
      <c r="K27" s="152"/>
    </row>
    <row r="28" spans="2:11" x14ac:dyDescent="0.35">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5">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5">
      <c r="B30" s="191" t="s">
        <v>975</v>
      </c>
      <c r="C30" s="191" t="str">
        <f>""&amp;'Aim 1 - Household Contacts'!C70&amp;"("&amp;TEXT('Aim 1 - Household Contacts'!D70,"0%")&amp;")"</f>
        <v>0(-)</v>
      </c>
      <c r="H30" s="152"/>
      <c r="I30" s="152"/>
      <c r="J30" s="152"/>
      <c r="K30" s="152"/>
    </row>
    <row r="31" spans="2:11" x14ac:dyDescent="0.35">
      <c r="B31" s="191" t="s">
        <v>976</v>
      </c>
      <c r="C31" s="191" t="str">
        <f>""&amp;'Aim 1 - Household Contacts'!C71&amp;"("&amp;TEXT('Aim 1 - Household Contacts'!D71,"0%")&amp;")"</f>
        <v>0(-)</v>
      </c>
      <c r="F31" s="192"/>
      <c r="G31" s="192"/>
      <c r="H31" s="152"/>
      <c r="I31" s="152"/>
      <c r="J31" s="152"/>
      <c r="K31" s="152"/>
    </row>
    <row r="32" spans="2:11" x14ac:dyDescent="0.35">
      <c r="B32" s="191" t="s">
        <v>977</v>
      </c>
      <c r="C32" s="191" t="str">
        <f>""&amp;'Aim 1 - Household Contacts'!C72&amp;"("&amp;TEXT('Aim 1 - Household Contacts'!D72,"0%")&amp;")"</f>
        <v>0(-)</v>
      </c>
      <c r="F32" s="192"/>
      <c r="G32" s="192"/>
      <c r="H32" s="152"/>
      <c r="I32" s="152"/>
      <c r="J32" s="152"/>
      <c r="K32" s="152"/>
    </row>
    <row r="33" spans="2:12" x14ac:dyDescent="0.35">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5">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5">
      <c r="B35" s="191" t="s">
        <v>970</v>
      </c>
      <c r="C35" s="191" t="str">
        <f>""&amp;'Aim 1 - Household Contacts'!C75&amp;"("&amp;TEXT('Aim 1 - Household Contacts'!D75,"0%")&amp;")"</f>
        <v>0(-)</v>
      </c>
      <c r="F35" s="192"/>
      <c r="G35" s="192"/>
      <c r="H35" s="152"/>
      <c r="I35" s="152"/>
      <c r="J35" s="152"/>
      <c r="K35" s="152"/>
    </row>
    <row r="36" spans="2:12" x14ac:dyDescent="0.35">
      <c r="B36" s="191" t="s">
        <v>971</v>
      </c>
      <c r="C36" s="191" t="str">
        <f>""&amp;'Aim 1 - Household Contacts'!C76&amp;"("&amp;TEXT('Aim 1 - Household Contacts'!D76,"0%")&amp;")"</f>
        <v>0(-)</v>
      </c>
      <c r="F36" s="192"/>
      <c r="G36" s="192"/>
      <c r="H36" s="152"/>
      <c r="I36" s="152"/>
      <c r="J36" s="152"/>
      <c r="K36" s="152"/>
    </row>
    <row r="37" spans="2:12" x14ac:dyDescent="0.35">
      <c r="B37" s="191" t="s">
        <v>978</v>
      </c>
      <c r="C37" s="191" t="str">
        <f>""&amp;'Aim 1 - Household Contacts'!C77&amp;"("&amp;TEXT('Aim 1 - Household Contacts'!D77,"0%")&amp;")"</f>
        <v>0(-)</v>
      </c>
      <c r="F37" s="192"/>
      <c r="G37" s="192"/>
      <c r="H37" s="152"/>
      <c r="I37" s="152"/>
      <c r="J37" s="152"/>
      <c r="K37" s="152"/>
    </row>
    <row r="38" spans="2:12" x14ac:dyDescent="0.35">
      <c r="B38" s="191" t="s">
        <v>981</v>
      </c>
      <c r="F38" s="192"/>
      <c r="G38" s="192"/>
      <c r="H38" s="152"/>
      <c r="I38" s="152"/>
      <c r="J38" s="152"/>
      <c r="K38" s="152"/>
      <c r="L38" s="151"/>
    </row>
    <row r="39" spans="2:12" x14ac:dyDescent="0.35">
      <c r="B39" s="209" t="s">
        <v>993</v>
      </c>
      <c r="C39" s="191" t="str">
        <f>""&amp;'Aim 1 - Household Contacts'!F67&amp;"("&amp;TEXT('Aim 1 - Household Contacts'!G67,"0%")&amp;")"</f>
        <v>0(-)</v>
      </c>
      <c r="F39" s="192"/>
      <c r="G39" s="192"/>
      <c r="H39" s="152"/>
      <c r="I39" s="152"/>
      <c r="J39" s="152"/>
      <c r="K39" s="152"/>
      <c r="L39" s="151"/>
    </row>
    <row r="40" spans="2:12" x14ac:dyDescent="0.35">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5">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5">
      <c r="B42" s="191" t="s">
        <v>975</v>
      </c>
      <c r="C42" s="191" t="str">
        <f>""&amp;'Aim 1 - Household Contacts'!F70&amp;"("&amp;TEXT('Aim 1 - Household Contacts'!G70,"0%")&amp;")"</f>
        <v>0(-)</v>
      </c>
      <c r="F42" s="192"/>
      <c r="H42" s="152"/>
      <c r="I42" s="152"/>
      <c r="J42" s="152"/>
      <c r="K42" s="152"/>
      <c r="L42" s="151"/>
    </row>
    <row r="43" spans="2:12" x14ac:dyDescent="0.35">
      <c r="B43" s="191" t="s">
        <v>976</v>
      </c>
      <c r="C43" s="191" t="str">
        <f>""&amp;'Aim 1 - Household Contacts'!F71&amp;"("&amp;TEXT('Aim 1 - Household Contacts'!G71,"0%")&amp;")"</f>
        <v>0(-)</v>
      </c>
      <c r="F43" s="192"/>
      <c r="H43" s="152"/>
      <c r="I43" s="152"/>
      <c r="J43" s="152"/>
      <c r="K43" s="152"/>
      <c r="L43" s="151"/>
    </row>
    <row r="44" spans="2:12" x14ac:dyDescent="0.35">
      <c r="B44" s="191" t="s">
        <v>977</v>
      </c>
      <c r="C44" s="191" t="str">
        <f>""&amp;'Aim 1 - Household Contacts'!F72&amp;"("&amp;TEXT('Aim 1 - Household Contacts'!G72,"0%")&amp;")"</f>
        <v>0(-)</v>
      </c>
      <c r="F44" s="192"/>
      <c r="H44" s="152"/>
      <c r="I44" s="152"/>
      <c r="J44" s="152"/>
      <c r="K44" s="152"/>
      <c r="L44" s="151"/>
    </row>
    <row r="45" spans="2:12" x14ac:dyDescent="0.35">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5">
      <c r="B46" s="191" t="s">
        <v>969</v>
      </c>
      <c r="C46" s="191" t="str">
        <f>""&amp;B46&amp;CHAR(10)&amp;"(N="&amp;'Aim 1 - Household Contacts'!F74&amp;")"</f>
        <v xml:space="preserve">    Provided sputum
(N=0)</v>
      </c>
      <c r="F46" s="192"/>
      <c r="H46" s="152"/>
      <c r="I46" s="152"/>
      <c r="J46" s="152"/>
      <c r="K46" s="152"/>
    </row>
    <row r="47" spans="2:12" x14ac:dyDescent="0.35">
      <c r="B47" s="191" t="s">
        <v>970</v>
      </c>
      <c r="C47" s="191" t="str">
        <f>""&amp;'Aim 1 - Household Contacts'!F75&amp;"("&amp;TEXT('Aim 1 - Household Contacts'!G75,"0%")&amp;")"</f>
        <v>0(-)</v>
      </c>
      <c r="F47" s="192"/>
      <c r="H47" s="152"/>
      <c r="I47" s="152"/>
      <c r="J47" s="152"/>
      <c r="K47" s="152"/>
    </row>
    <row r="48" spans="2:12" x14ac:dyDescent="0.35">
      <c r="B48" s="191" t="s">
        <v>971</v>
      </c>
      <c r="C48" s="191" t="str">
        <f>""&amp;'Aim 1 - Household Contacts'!F76&amp;"("&amp;TEXT('Aim 1 - Household Contacts'!G76,"0%")&amp;")"</f>
        <v>0(-)</v>
      </c>
      <c r="F48" s="192"/>
      <c r="G48" s="192"/>
      <c r="H48" s="152"/>
      <c r="I48" s="152"/>
      <c r="J48" s="152"/>
      <c r="K48" s="152"/>
    </row>
    <row r="49" spans="2:11" x14ac:dyDescent="0.35">
      <c r="B49" s="191" t="s">
        <v>978</v>
      </c>
      <c r="C49" s="191" t="str">
        <f>""&amp;'Aim 1 - Household Contacts'!F77&amp;"("&amp;TEXT('Aim 1 - Household Contacts'!G77,"0%")&amp;")"</f>
        <v>0(-)</v>
      </c>
      <c r="F49" s="192"/>
      <c r="G49" s="192"/>
      <c r="H49" s="152"/>
      <c r="I49" s="152"/>
      <c r="J49" s="152"/>
      <c r="K49" s="152"/>
    </row>
    <row r="50" spans="2:11" x14ac:dyDescent="0.35">
      <c r="B50" s="191" t="s">
        <v>979</v>
      </c>
      <c r="C50" s="191" t="str">
        <f>""&amp;'Aim 1 - Household Contacts'!C75&amp;"("&amp;TEXT('Aim 1 - Household Contacts'!D75,"0%")&amp;")"</f>
        <v>0(-)</v>
      </c>
      <c r="F50" s="192"/>
      <c r="G50" s="192"/>
      <c r="H50" s="152"/>
      <c r="I50" s="152"/>
      <c r="J50" s="152"/>
      <c r="K50" s="152"/>
    </row>
    <row r="51" spans="2:11" x14ac:dyDescent="0.35">
      <c r="B51" s="209" t="s">
        <v>983</v>
      </c>
      <c r="C51" s="191" t="str">
        <f>""&amp;'Aim 1 - Household Contacts'!I67&amp;"("&amp;TEXT('Aim 1 - Household Contacts'!J67,"0%")&amp;")"</f>
        <v>0(-)</v>
      </c>
      <c r="F51" s="192"/>
      <c r="G51" s="192"/>
      <c r="H51" s="152"/>
      <c r="I51" s="152"/>
      <c r="J51" s="152"/>
      <c r="K51" s="152"/>
    </row>
    <row r="52" spans="2:11" x14ac:dyDescent="0.35">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5">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5">
      <c r="B54" s="191" t="s">
        <v>975</v>
      </c>
      <c r="C54" s="191" t="str">
        <f>""&amp;'Aim 1 - Household Contacts'!I70&amp;"("&amp;TEXT('Aim 1 - Household Contacts'!J70,"0%")&amp;")"</f>
        <v>0(-)</v>
      </c>
      <c r="F54" s="192"/>
      <c r="G54" s="192"/>
      <c r="H54" s="152"/>
      <c r="I54" s="152"/>
      <c r="J54" s="152"/>
      <c r="K54" s="152"/>
    </row>
    <row r="55" spans="2:11" x14ac:dyDescent="0.35">
      <c r="B55" s="191" t="s">
        <v>976</v>
      </c>
      <c r="C55" s="191" t="str">
        <f>""&amp;'Aim 1 - Household Contacts'!I71&amp;"("&amp;TEXT('Aim 1 - Household Contacts'!J71,"0%")&amp;")"</f>
        <v>0(-)</v>
      </c>
      <c r="F55" s="192"/>
      <c r="G55" s="192"/>
      <c r="H55" s="152"/>
      <c r="I55" s="152"/>
      <c r="J55" s="152"/>
      <c r="K55" s="152"/>
    </row>
    <row r="56" spans="2:11" x14ac:dyDescent="0.35">
      <c r="B56" s="191" t="s">
        <v>977</v>
      </c>
      <c r="C56" s="191" t="str">
        <f>""&amp;'Aim 1 - Household Contacts'!I72&amp;"("&amp;TEXT('Aim 1 - Household Contacts'!J72,"0%")&amp;")"</f>
        <v>0(-)</v>
      </c>
      <c r="F56" s="192"/>
      <c r="G56" s="192"/>
      <c r="H56" s="152"/>
      <c r="I56" s="152"/>
      <c r="J56" s="152"/>
      <c r="K56" s="152"/>
    </row>
    <row r="57" spans="2:11" x14ac:dyDescent="0.35">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5">
      <c r="B58" s="191" t="s">
        <v>969</v>
      </c>
      <c r="C58" s="191" t="str">
        <f>""&amp;B58&amp;CHAR(10)&amp;"(N="&amp;'Aim 1 - Household Contacts'!I74&amp;")"</f>
        <v xml:space="preserve">    Provided sputum
(N=0)</v>
      </c>
      <c r="F58" s="192"/>
      <c r="G58" s="192"/>
      <c r="H58" s="152"/>
      <c r="I58" s="152"/>
      <c r="J58" s="152"/>
      <c r="K58" s="152"/>
    </row>
    <row r="59" spans="2:11" x14ac:dyDescent="0.35">
      <c r="B59" s="191" t="s">
        <v>970</v>
      </c>
      <c r="C59" s="191" t="str">
        <f>""&amp;'Aim 1 - Household Contacts'!I75&amp;"("&amp;TEXT('Aim 1 - Household Contacts'!J75,"0%")&amp;")"</f>
        <v>0(-)</v>
      </c>
      <c r="F59" s="192"/>
      <c r="G59" s="192"/>
      <c r="H59" s="152"/>
      <c r="I59" s="152"/>
      <c r="J59" s="152"/>
      <c r="K59" s="152"/>
    </row>
    <row r="60" spans="2:11" x14ac:dyDescent="0.35">
      <c r="B60" s="191" t="s">
        <v>971</v>
      </c>
      <c r="C60" s="191" t="str">
        <f>""&amp;'Aim 1 - Household Contacts'!I76&amp;"("&amp;TEXT('Aim 1 - Household Contacts'!J76,"0%")&amp;")"</f>
        <v>0(-)</v>
      </c>
      <c r="F60" s="192"/>
      <c r="G60" s="192"/>
      <c r="H60" s="152"/>
      <c r="I60" s="152"/>
      <c r="J60" s="152"/>
      <c r="K60" s="152"/>
    </row>
    <row r="61" spans="2:11" x14ac:dyDescent="0.35">
      <c r="B61" s="191" t="s">
        <v>978</v>
      </c>
      <c r="C61" s="191" t="str">
        <f>""&amp;'Aim 1 - Household Contacts'!I77&amp;"("&amp;TEXT('Aim 1 - Household Contacts'!J77,"0%")&amp;")"</f>
        <v>0(-)</v>
      </c>
    </row>
    <row r="78" spans="28:30" x14ac:dyDescent="0.35">
      <c r="AB78" s="203" t="s">
        <v>754</v>
      </c>
      <c r="AC78" s="204" t="s">
        <v>28</v>
      </c>
      <c r="AD78" s="204" t="s">
        <v>29</v>
      </c>
    </row>
    <row r="79" spans="28:30" x14ac:dyDescent="0.35">
      <c r="AB79" s="202" t="s">
        <v>995</v>
      </c>
      <c r="AC79" s="205">
        <f>'Aim 1 - Household Contacts'!C68+'Aim 1 - Household Contacts'!F68+'Aim 1 - Household Contacts'!I68</f>
        <v>0</v>
      </c>
      <c r="AD79" s="207" t="e">
        <f>AC79/SUM(AC79:AC81)</f>
        <v>#DIV/0!</v>
      </c>
    </row>
    <row r="80" spans="28:30" x14ac:dyDescent="0.35">
      <c r="AB80" s="202" t="s">
        <v>996</v>
      </c>
      <c r="AC80" s="206">
        <f>'Aim 1 - Household Contacts'!C71+'Aim 1 - Household Contacts'!F71+'Aim 1 - Household Contacts'!I71</f>
        <v>0</v>
      </c>
      <c r="AD80" s="207" t="e">
        <f>AC80/SUM(AC79:AC81)</f>
        <v>#DIV/0!</v>
      </c>
    </row>
    <row r="81" spans="26:30" x14ac:dyDescent="0.35">
      <c r="AB81" s="202" t="s">
        <v>997</v>
      </c>
      <c r="AC81" s="206">
        <f>'Aim 1 - Household Contacts'!F60+'Aim 1 - Household Contacts'!F70+'Aim 1 - Household Contacts'!I70</f>
        <v>0</v>
      </c>
      <c r="AD81" s="207" t="e">
        <f>AC81/SUM(AC79:AC81)</f>
        <v>#DIV/0!</v>
      </c>
    </row>
    <row r="82" spans="26:30" x14ac:dyDescent="0.35">
      <c r="AB82" s="202" t="s">
        <v>998</v>
      </c>
      <c r="AC82" s="205">
        <f>'Aim 1 - Household Contacts'!C72</f>
        <v>0</v>
      </c>
      <c r="AD82" s="207" t="e">
        <f>AC82/SUM(AC79:AC82)</f>
        <v>#DIV/0!</v>
      </c>
    </row>
    <row r="83" spans="26:30" x14ac:dyDescent="0.35">
      <c r="AB83" s="202" t="s">
        <v>999</v>
      </c>
      <c r="AC83" s="205">
        <f>SUM(AC79:AC82)</f>
        <v>0</v>
      </c>
      <c r="AD83" s="205"/>
    </row>
    <row r="85" spans="26:30" x14ac:dyDescent="0.35">
      <c r="Z85" s="219" t="str">
        <f>_xlfn.CONCAT("*Discordant = ", 'Aim 1 - Household Contacts'!I78)</f>
        <v>*Discordant = 0</v>
      </c>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Z79"/>
  <sheetViews>
    <sheetView showGridLines="0" zoomScale="60" zoomScaleNormal="60" workbookViewId="0">
      <selection activeCell="N35" sqref="N35"/>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Newly Initiated IPs'!C4</f>
        <v>0</v>
      </c>
      <c r="D2" s="165"/>
      <c r="H2" s="152"/>
      <c r="I2" s="152"/>
      <c r="J2" s="152"/>
      <c r="K2" s="152"/>
    </row>
    <row r="3" spans="2:11" x14ac:dyDescent="0.35">
      <c r="B3" s="165" t="s">
        <v>916</v>
      </c>
      <c r="C3" s="198" t="str">
        <f>""&amp;'Aim 1 - Newly Initiated IPs'!C5&amp;"("&amp;TEXT('Aim 1 - Newly Initiated IPs'!D5,"0%")&amp;")"</f>
        <v>0(-)</v>
      </c>
      <c r="D3" s="165" t="str">
        <f>"Not Eligible  = "&amp;'Aim 1 - Newly Initiated IPs'!C6&amp;"("&amp;TEXT('Aim 1 - Newly Initiated IPs'!D6,"0%")&amp;")"&amp;CHAR(10)&amp;"     Lives outside study communities = "&amp;'Aim 1 - Newly Initiated IPs'!C8&amp;"("&amp;TEXT('Aim 1 - Newly Initiated IPs'!D8,"0%")&amp;")"&amp;CHAR(10)&amp;"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1(100%)</v>
      </c>
      <c r="H3" s="152"/>
      <c r="I3" s="152"/>
      <c r="J3" s="152"/>
      <c r="K3" s="152"/>
    </row>
    <row r="4" spans="2:11" x14ac:dyDescent="0.35">
      <c r="B4" s="165" t="s">
        <v>966</v>
      </c>
      <c r="C4" s="198" t="str">
        <f>""&amp;'Aim 1 - Newly Initiated IPs'!C7&amp;"("&amp;TEXT('Aim 1 - Newly Initiated IPs'!D7,"0%")&amp;")"</f>
        <v>0(-)</v>
      </c>
      <c r="D4" s="165"/>
      <c r="H4" s="152"/>
      <c r="I4" s="152"/>
      <c r="J4" s="152"/>
      <c r="K4" s="152"/>
    </row>
    <row r="5" spans="2:11" x14ac:dyDescent="0.35">
      <c r="B5" s="165" t="s">
        <v>925</v>
      </c>
      <c r="C5" s="198" t="str">
        <f>""&amp;'Aim 1 - Newly Initiated IPs'!D32&amp;"("&amp;TEXT('Aim 1 - Newly Initiated IPs'!E32,"0%")&amp;")"</f>
        <v>(0%)</v>
      </c>
      <c r="D5" s="165"/>
      <c r="H5" s="152"/>
      <c r="I5" s="152"/>
      <c r="J5" s="152"/>
      <c r="K5" s="152"/>
    </row>
    <row r="6" spans="2:11" x14ac:dyDescent="0.35">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H6" s="152"/>
      <c r="I6" s="152"/>
      <c r="J6" s="152"/>
      <c r="K6" s="152"/>
    </row>
    <row r="7" spans="2:11" x14ac:dyDescent="0.35">
      <c r="B7" s="165" t="s">
        <v>927</v>
      </c>
      <c r="C7" s="198" t="str">
        <f>""&amp;'Aim 1 - Newly Initiated IPs'!D42&amp;"("&amp;TEXT('Aim 1 - Newly Initiated IPs'!E42,"0%")&amp;")"</f>
        <v>0(0%)</v>
      </c>
      <c r="D7" s="165"/>
      <c r="H7" s="152"/>
      <c r="I7" s="152"/>
      <c r="J7" s="152"/>
      <c r="K7" s="152"/>
    </row>
    <row r="8" spans="2:11" x14ac:dyDescent="0.35">
      <c r="B8" s="165" t="s">
        <v>928</v>
      </c>
      <c r="C8" s="198" t="str">
        <f>""&amp;'Aim 1 - Index Patients'!L34&amp;"("&amp;TEXT('Aim 1 - Index Patients'!M34,"0%")&amp;")"</f>
        <v>0(-)</v>
      </c>
      <c r="D8" s="199" t="str">
        <f>"Excluded:"&amp;CHAR(10)&amp;"Caregiver Not Present = "&amp;'Aim 1 - Index Patients'!L32&amp;"("&amp;TEXT('Aim 1 - Newly Initiated IPs'!M32,"0%")&amp;")"&amp;CHAR(10)&amp;
"Caregiver Permission Not Granted = "&amp;'Aim 1 - Newly Initiated IPs'!L35&amp;"("&amp;TEXT('Aim 1 - Newly Initiated IPs'!M35,"0%")&amp;")"&amp;CHAR(10)</f>
        <v xml:space="preserve">Excluded:
Caregiver Not Present = 0(0%)
Caregiver Permission Not Granted = (0%)
</v>
      </c>
      <c r="E8" s="200"/>
      <c r="H8" s="152"/>
      <c r="I8" s="152"/>
      <c r="J8" s="152"/>
      <c r="K8" s="152"/>
    </row>
    <row r="9" spans="2:11" x14ac:dyDescent="0.35">
      <c r="B9" s="165" t="s">
        <v>919</v>
      </c>
      <c r="C9" s="198" t="str">
        <f>""&amp;'Aim 1 - Household Contacts'!P6</f>
        <v>0</v>
      </c>
      <c r="D9" s="201" t="str">
        <f>"Pending Household Visits = "&amp;'Aim 1 - Household Contacts'!P13&amp;"("&amp;TEXT('Aim 1 - Household Contacts'!Q13,"0%")&amp;")"</f>
        <v>Pending Household Visits = 0(-)</v>
      </c>
      <c r="E9" s="192"/>
      <c r="H9" s="152"/>
      <c r="I9" s="152"/>
      <c r="J9" s="152"/>
      <c r="K9" s="152"/>
    </row>
    <row r="10" spans="2:11" x14ac:dyDescent="0.35">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H10" s="152"/>
      <c r="I10" s="152"/>
      <c r="J10" s="152"/>
      <c r="K10" s="152"/>
    </row>
    <row r="11" spans="2:11" x14ac:dyDescent="0.35">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Not Interested  =  0(-)
     Not fluent in Xhosa or English  =  0(-)
     &lt;18 Years Old  =  0(-)</v>
      </c>
      <c r="E11" s="192"/>
      <c r="H11" s="152"/>
      <c r="I11" s="152"/>
      <c r="J11" s="152"/>
      <c r="K11" s="152"/>
    </row>
    <row r="12" spans="2:11" x14ac:dyDescent="0.35">
      <c r="B12" s="165" t="s">
        <v>930</v>
      </c>
      <c r="C12" s="165" t="str">
        <f>""&amp;'Aim 1 - Household Contacts'!P35&amp;"("&amp;TEXT('Aim 1 - Household Contacts'!Q35,"0%")&amp;")"</f>
        <v>0(-)</v>
      </c>
      <c r="D12" s="165"/>
      <c r="H12" s="152"/>
      <c r="I12" s="152"/>
      <c r="J12" s="152"/>
      <c r="K12" s="152"/>
    </row>
    <row r="13" spans="2:11" x14ac:dyDescent="0.35">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H13" s="152"/>
      <c r="I13" s="152"/>
      <c r="J13" s="152"/>
      <c r="K13" s="152"/>
    </row>
    <row r="14" spans="2:11" x14ac:dyDescent="0.35">
      <c r="B14" s="165" t="s">
        <v>933</v>
      </c>
      <c r="C14" s="165" t="str">
        <f>""&amp;'Aim 1 - Household Contacts'!P43&amp;"("&amp;TEXT('Aim 1 - Household Contacts'!Q43,"0%")&amp;")"</f>
        <v>0(-)</v>
      </c>
      <c r="D14" s="165"/>
      <c r="H14" s="152"/>
      <c r="I14" s="152"/>
      <c r="J14" s="152"/>
      <c r="K14" s="152"/>
    </row>
    <row r="15" spans="2:11" x14ac:dyDescent="0.35">
      <c r="B15" s="165" t="s">
        <v>931</v>
      </c>
      <c r="C15" s="165" t="str">
        <f>""&amp;'Aim 1 - Household Contacts'!P17&amp;"("&amp;TEXT('Aim 1 - Household Contacts'!Q17,"0%")&amp;")"</f>
        <v>0(-)</v>
      </c>
      <c r="D15" s="165" t="str">
        <f>"Cannot Comprehend = "&amp;'Aim 1 - Household Contacts'!P46&amp;"("&amp;TEXT('Aim 1 - Household Contacts'!Q46,"0%")&amp;")" &amp; CHAR(10)&amp;"Refused to participate = "&amp;'Aim 1 - Household Contacts'!P45&amp;"("&amp;TEXT('Aim 1 - Household Contacts'!Q45,"0%")&amp;")"</f>
        <v>Cannot Comprehend = 0(-)
Refused to participate = 0(-)</v>
      </c>
      <c r="H15" s="152"/>
      <c r="I15" s="152"/>
      <c r="J15" s="152"/>
      <c r="K15" s="152"/>
    </row>
    <row r="16" spans="2:11" x14ac:dyDescent="0.35">
      <c r="B16" s="165" t="s">
        <v>934</v>
      </c>
      <c r="C16" s="165" t="str">
        <f>""&amp;'Aim 1 - Household Contacts'!P44&amp;"("&amp;TEXT('Aim 1 - Household Contacts'!Q44,"0%")&amp;")"</f>
        <v>0(-)</v>
      </c>
      <c r="D16" s="165"/>
      <c r="H16" s="152"/>
      <c r="I16" s="152"/>
      <c r="J16" s="152"/>
      <c r="K16" s="152"/>
    </row>
    <row r="17" spans="2:11" x14ac:dyDescent="0.35">
      <c r="B17" s="165" t="s">
        <v>967</v>
      </c>
      <c r="C17" s="165" t="str">
        <f>""&amp;'Aim 1 - Household Contacts'!P52&amp;"("&amp;TEXT('Aim 1 - Household Contacts'!Q52,"0%")&amp;")"</f>
        <v>0(-)</v>
      </c>
      <c r="D17" s="165"/>
      <c r="H17" s="152"/>
      <c r="I17" s="152"/>
      <c r="J17" s="152"/>
      <c r="K17" s="152"/>
    </row>
    <row r="18" spans="2:11" x14ac:dyDescent="0.35">
      <c r="B18" s="165" t="s">
        <v>980</v>
      </c>
      <c r="C18" s="165" t="str">
        <f>""&amp;'Aim 1 - Household Contacts'!S59&amp;"("&amp;TEXT('Aim 1 - Household Contacts'!T59,"0%")&amp;")"</f>
        <v>0(-)</v>
      </c>
      <c r="D18" s="165"/>
      <c r="H18" s="152"/>
      <c r="I18" s="152"/>
      <c r="J18" s="152"/>
      <c r="K18" s="152"/>
    </row>
    <row r="19" spans="2:11" x14ac:dyDescent="0.35">
      <c r="B19" s="165" t="s">
        <v>968</v>
      </c>
      <c r="C19" s="165" t="str">
        <f>""&amp;'Aim 1 - Household Contacts'!S60&amp;"("&amp;TEXT('Aim 1 - Household Contacts'!T60,"0%")&amp;")"</f>
        <v>0(-)</v>
      </c>
      <c r="D19" s="165"/>
      <c r="H19" s="152"/>
      <c r="I19" s="152"/>
      <c r="J19" s="152"/>
      <c r="K19" s="152"/>
    </row>
    <row r="20" spans="2:11" x14ac:dyDescent="0.35">
      <c r="B20" s="165" t="s">
        <v>985</v>
      </c>
      <c r="C20" s="165" t="str">
        <f>"Did not provide sputum"&amp;"(N="&amp;'Aim 1 - Household Contacts'!S61&amp;"("&amp;TEXT('Aim 1 - Household Contacts'!T61,"0%")&amp;"))"</f>
        <v>Did not provide sputum(N=0(-))</v>
      </c>
      <c r="D20" s="165"/>
      <c r="H20" s="152"/>
      <c r="I20" s="152"/>
      <c r="J20" s="152"/>
      <c r="K20" s="152"/>
    </row>
    <row r="21" spans="2:11" x14ac:dyDescent="0.35">
      <c r="B21" s="165" t="s">
        <v>969</v>
      </c>
      <c r="C21" s="165" t="str">
        <f>""&amp;B21&amp;CHAR(10)&amp;"(N="&amp;'Aim 1 - Household Contacts'!S62&amp;")"</f>
        <v xml:space="preserve">    Provided sputum
(N=0)</v>
      </c>
      <c r="D21" s="165" t="str">
        <f>"Did not present = "&amp;'Aim 1 - Household Contacts'!P68&amp;"("&amp;TEXT('Aim 1 - Household Contacts'!Q68,"0%")&amp;")"</f>
        <v>Did not present = 0(-)</v>
      </c>
      <c r="H21" s="152"/>
      <c r="I21" s="152"/>
      <c r="J21" s="152"/>
      <c r="K21" s="152"/>
    </row>
    <row r="22" spans="2:11" x14ac:dyDescent="0.35">
      <c r="B22" s="165" t="s">
        <v>970</v>
      </c>
      <c r="C22" s="165" t="str">
        <f>""&amp;'Aim 1 - Household Contacts'!S63&amp;"("&amp;TEXT('Aim 1 - Household Contacts'!T63,"0%")&amp;")"</f>
        <v>0(-)</v>
      </c>
      <c r="D22" s="165"/>
      <c r="H22" s="152"/>
      <c r="I22" s="152"/>
      <c r="J22" s="152"/>
      <c r="K22" s="152"/>
    </row>
    <row r="23" spans="2:11" x14ac:dyDescent="0.35">
      <c r="B23" s="165" t="s">
        <v>971</v>
      </c>
      <c r="C23" s="165" t="str">
        <f>""&amp;'Aim 1 - Household Contacts'!S64&amp;"("&amp;TEXT('Aim 1 - Household Contacts'!T64,"0%")&amp;")"</f>
        <v>0(-)</v>
      </c>
      <c r="D23" s="165"/>
      <c r="H23" s="152"/>
      <c r="I23" s="152"/>
      <c r="J23" s="152"/>
      <c r="K23" s="152"/>
    </row>
    <row r="24" spans="2:11" x14ac:dyDescent="0.35">
      <c r="B24" s="165" t="s">
        <v>972</v>
      </c>
      <c r="C24" s="165" t="str">
        <f>""&amp;'Aim 1 - Household Contacts'!S65&amp;"("&amp;TEXT('Aim 1 - Household Contacts'!T65,"0%")&amp;")"</f>
        <v>0(-)</v>
      </c>
      <c r="D24" s="165"/>
      <c r="H24" s="152"/>
      <c r="I24" s="152"/>
      <c r="J24" s="152"/>
      <c r="K24" s="152"/>
    </row>
    <row r="25" spans="2:11" x14ac:dyDescent="0.35">
      <c r="B25" s="165" t="s">
        <v>973</v>
      </c>
      <c r="C25" s="165" t="str">
        <f>""&amp;'Aim 1 - Household Contacts'!Y59&amp;"("&amp;TEXT('Aim 1 - Household Contacts'!Z59,"0%")&amp;")"</f>
        <v>45(-)</v>
      </c>
      <c r="D25" s="165"/>
      <c r="H25" s="152"/>
      <c r="I25" s="152"/>
      <c r="J25" s="152"/>
      <c r="K25" s="152"/>
    </row>
    <row r="26" spans="2:11" x14ac:dyDescent="0.35">
      <c r="B26" s="165" t="s">
        <v>981</v>
      </c>
      <c r="C26" s="165" t="str">
        <f>""&amp;'Aim 1 - Household Contacts'!P53&amp;"("&amp;TEXT('Aim 1 - Household Contacts'!Q53,"0%")&amp;")"</f>
        <v>0(-)</v>
      </c>
      <c r="D26" s="165" t="str">
        <f>"Not Outcome Yet = "&amp;'Aim 1 - Household Contacts'!Y79&amp;"("&amp;TEXT('Aim 1 - Household Contacts'!Z79,"0%")&amp;")"</f>
        <v>Not Outcome Yet = 0(-)</v>
      </c>
      <c r="H26" s="152"/>
      <c r="I26" s="152"/>
      <c r="J26" s="152"/>
      <c r="K26" s="152"/>
    </row>
    <row r="27" spans="2:11" x14ac:dyDescent="0.35">
      <c r="B27" s="165" t="s">
        <v>980</v>
      </c>
      <c r="C27" s="165" t="str">
        <f>""&amp;'Aim 1 - Household Contacts'!P67&amp;"("&amp;TEXT('Aim 1 - Household Contacts'!Q67,"0%")&amp;")"</f>
        <v>0(-)</v>
      </c>
      <c r="D27" s="165"/>
      <c r="H27" s="152"/>
      <c r="I27" s="152"/>
      <c r="J27" s="152"/>
      <c r="K27" s="152"/>
    </row>
    <row r="28" spans="2:11" x14ac:dyDescent="0.35">
      <c r="B28" s="165" t="s">
        <v>974</v>
      </c>
      <c r="C28" s="165" t="str">
        <f>""&amp;'Aim 1 - Household Contacts'!P68&amp;"("&amp;TEXT('Aim 1 - Household Contacts'!Q68,"0%")&amp;")"</f>
        <v>0(-)</v>
      </c>
      <c r="D28" s="165" t="str">
        <f>"Did not present = "&amp;'Aim 1 - Household Contacts'!P68&amp;"("&amp;TEXT('Aim 1 - Household Contacts'!Q68,"0%")&amp;")"</f>
        <v>Did not present = 0(-)</v>
      </c>
      <c r="H28" s="152"/>
      <c r="I28" s="152"/>
      <c r="J28" s="152"/>
      <c r="K28" s="152"/>
    </row>
    <row r="29" spans="2:11" x14ac:dyDescent="0.35">
      <c r="B29" s="165" t="s">
        <v>968</v>
      </c>
      <c r="C29" s="165" t="str">
        <f>""&amp;'Aim 1 - Household Contacts'!P69&amp;"("&amp;TEXT('Aim 1 - Household Contacts'!Q69,"0%")&amp;")"</f>
        <v>0(-)</v>
      </c>
      <c r="D29" s="165" t="str">
        <f>"Presented (N="&amp;'Aim 1 - Household Contacts'!P69&amp;"("&amp;TEXT('Aim 1 - Household Contacts'!Q69,"0%")&amp;"))"</f>
        <v>Presented (N=0(-))</v>
      </c>
      <c r="H29" s="152"/>
      <c r="I29" s="152"/>
      <c r="J29" s="152"/>
      <c r="K29" s="152"/>
    </row>
    <row r="30" spans="2:11" x14ac:dyDescent="0.35">
      <c r="B30" s="165" t="s">
        <v>975</v>
      </c>
      <c r="C30" s="165" t="str">
        <f>""&amp;'Aim 1 - Household Contacts'!P70&amp;"("&amp;TEXT('Aim 1 - Household Contacts'!Q70,"0%")&amp;")"</f>
        <v>0(-)</v>
      </c>
      <c r="D30" s="165"/>
      <c r="H30" s="152"/>
      <c r="I30" s="152"/>
      <c r="J30" s="152"/>
      <c r="K30" s="152"/>
    </row>
    <row r="31" spans="2:11" x14ac:dyDescent="0.35">
      <c r="B31" s="165" t="s">
        <v>976</v>
      </c>
      <c r="C31" s="165" t="str">
        <f>""&amp;'Aim 1 - Household Contacts'!P71&amp;"("&amp;TEXT('Aim 1 - Household Contacts'!Q71,"0%")&amp;")"</f>
        <v>0(-)</v>
      </c>
      <c r="D31" s="165"/>
      <c r="F31" s="197"/>
      <c r="G31" s="197"/>
      <c r="H31" s="152"/>
      <c r="I31" s="152"/>
      <c r="J31" s="152"/>
      <c r="K31" s="152"/>
    </row>
    <row r="32" spans="2:11" x14ac:dyDescent="0.35">
      <c r="B32" s="165" t="s">
        <v>977</v>
      </c>
      <c r="C32" s="165" t="str">
        <f>""&amp;'Aim 1 - Household Contacts'!P72&amp;"("&amp;TEXT('Aim 1 - Household Contacts'!Q72,"0%")&amp;")"</f>
        <v>0(-)</v>
      </c>
      <c r="D32" s="165"/>
      <c r="F32" s="197"/>
      <c r="G32" s="197"/>
      <c r="H32" s="152"/>
      <c r="I32" s="152"/>
      <c r="J32" s="152"/>
      <c r="K32" s="152"/>
    </row>
    <row r="33" spans="2:12" x14ac:dyDescent="0.35">
      <c r="B33" s="165" t="s">
        <v>985</v>
      </c>
      <c r="C33" s="165" t="str">
        <f>"Did not provide sputum"&amp;"(N="&amp;'Aim 1 - Household Contacts'!P73&amp;"("&amp;TEXT('Aim 1 - Household Contacts'!Q73,"0%")&amp;"))"</f>
        <v>Did not provide sputum(N=0(-))</v>
      </c>
      <c r="D33" s="165"/>
      <c r="F33" s="197"/>
      <c r="G33" s="197"/>
      <c r="H33" s="152"/>
      <c r="I33" s="152"/>
      <c r="J33" s="152"/>
      <c r="K33" s="152"/>
    </row>
    <row r="34" spans="2:12" x14ac:dyDescent="0.35">
      <c r="B34" s="165" t="s">
        <v>969</v>
      </c>
      <c r="C34" s="165" t="str">
        <f>""&amp;B34&amp;CHAR(10)&amp;"(N="&amp;'Aim 1 - Household Contacts'!P74&amp;")"</f>
        <v xml:space="preserve">    Provided sputum
(N=0)</v>
      </c>
      <c r="D34" s="165" t="str">
        <f>"Missing Data = "&amp;'Aim 1 - Household Contacts'!P67&amp;"("&amp;TEXT('Aim 1 - Household Contacts'!Q67,"0%")&amp;")"</f>
        <v>Missing Data = 0(-)</v>
      </c>
      <c r="F34" s="197"/>
      <c r="G34" s="197"/>
      <c r="H34" s="152"/>
      <c r="I34" s="152"/>
      <c r="J34" s="152"/>
      <c r="K34" s="152"/>
    </row>
    <row r="35" spans="2:12" x14ac:dyDescent="0.35">
      <c r="B35" s="165" t="s">
        <v>970</v>
      </c>
      <c r="C35" s="165" t="str">
        <f>""&amp;'Aim 1 - Household Contacts'!P75&amp;"("&amp;TEXT('Aim 1 - Household Contacts'!Q75,"0%")&amp;")"</f>
        <v>0(-)</v>
      </c>
      <c r="D35" s="165"/>
      <c r="F35" s="197"/>
      <c r="G35" s="197"/>
      <c r="H35" s="152"/>
      <c r="I35" s="152"/>
      <c r="J35" s="152"/>
      <c r="K35" s="152"/>
    </row>
    <row r="36" spans="2:12" x14ac:dyDescent="0.35">
      <c r="B36" s="165" t="s">
        <v>971</v>
      </c>
      <c r="C36" s="165" t="str">
        <f>""&amp;'Aim 1 - Household Contacts'!P76&amp;"("&amp;TEXT('Aim 1 - Household Contacts'!Q76,"0%")&amp;")"</f>
        <v>0(-)</v>
      </c>
      <c r="D36" s="165"/>
      <c r="F36" s="197"/>
      <c r="G36" s="197"/>
      <c r="H36" s="152"/>
      <c r="I36" s="152"/>
      <c r="J36" s="152"/>
      <c r="K36" s="152"/>
    </row>
    <row r="37" spans="2:12" x14ac:dyDescent="0.35">
      <c r="B37" s="165" t="s">
        <v>978</v>
      </c>
      <c r="C37" s="165" t="str">
        <f>""&amp;'Aim 1 - Household Contacts'!P77&amp;"("&amp;TEXT('Aim 1 - Household Contacts'!Q77,"0%")&amp;")"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Contacts'!S67&amp;"("&amp;TEXT('Aim 1 - Household Contacts'!T67,"0%")&amp;")"</f>
        <v>0(-)</v>
      </c>
      <c r="D39" s="165"/>
      <c r="F39" s="197"/>
      <c r="G39" s="197"/>
      <c r="H39" s="152"/>
      <c r="I39" s="152"/>
      <c r="J39" s="152"/>
      <c r="K39" s="152"/>
      <c r="L39" s="151"/>
    </row>
    <row r="40" spans="2:12" x14ac:dyDescent="0.35">
      <c r="B40" s="165" t="s">
        <v>974</v>
      </c>
      <c r="C40" s="165" t="str">
        <f>""&amp;'Aim 1 - Household Contacts'!S68&amp;"("&amp;TEXT('Aim 1 - Household Contacts'!T68,"0%")&amp;")"</f>
        <v>0(-)</v>
      </c>
      <c r="D40" s="165" t="str">
        <f>"Did not present = "&amp;'Aim 1 - Household Contacts'!S68&amp;"("&amp;TEXT('Aim 1 - Household Contacts'!T68,"0%")&amp;")"</f>
        <v>Did not present = 0(-)</v>
      </c>
      <c r="F40" s="197"/>
      <c r="H40" s="152"/>
      <c r="I40" s="152"/>
      <c r="J40" s="152"/>
      <c r="K40" s="152"/>
      <c r="L40" s="151"/>
    </row>
    <row r="41" spans="2:12" x14ac:dyDescent="0.35">
      <c r="B41" s="165" t="s">
        <v>968</v>
      </c>
      <c r="C41" s="165" t="str">
        <f>""&amp;'Aim 1 - Household Contacts'!S69&amp;"("&amp;TEXT('Aim 1 - Household Contacts'!T69,"0%")&amp;")"</f>
        <v>0(-)</v>
      </c>
      <c r="D41" s="165" t="str">
        <f>"Presented (N="&amp;'Aim 1 - Household Contacts'!S69&amp;"("&amp;TEXT('Aim 1 - Household Contacts'!T69,"0%")&amp;"))"</f>
        <v>Presented (N=0(-))</v>
      </c>
      <c r="F41" s="197"/>
      <c r="H41" s="152"/>
      <c r="I41" s="152"/>
      <c r="J41" s="152"/>
      <c r="K41" s="152"/>
      <c r="L41" s="151"/>
    </row>
    <row r="42" spans="2:12" x14ac:dyDescent="0.35">
      <c r="B42" s="165" t="s">
        <v>975</v>
      </c>
      <c r="C42" s="165" t="str">
        <f>""&amp;'Aim 1 - Household Contacts'!S70&amp;"("&amp;TEXT('Aim 1 - Household Contacts'!T70,"0%")&amp;")"</f>
        <v>0(-)</v>
      </c>
      <c r="D42" s="165"/>
      <c r="F42" s="197"/>
      <c r="H42" s="152"/>
      <c r="I42" s="152"/>
      <c r="J42" s="152"/>
      <c r="K42" s="152"/>
      <c r="L42" s="151"/>
    </row>
    <row r="43" spans="2:12" x14ac:dyDescent="0.35">
      <c r="B43" s="165" t="s">
        <v>976</v>
      </c>
      <c r="C43" s="165" t="str">
        <f>""&amp;'Aim 1 - Household Contacts'!S71&amp;"("&amp;TEXT('Aim 1 - Household Contacts'!T71,"0%")&amp;")"</f>
        <v>0(-)</v>
      </c>
      <c r="D43" s="165"/>
      <c r="F43" s="197"/>
      <c r="H43" s="152"/>
      <c r="I43" s="152"/>
      <c r="J43" s="152"/>
      <c r="K43" s="152"/>
      <c r="L43" s="151"/>
    </row>
    <row r="44" spans="2:12" x14ac:dyDescent="0.35">
      <c r="B44" s="165" t="s">
        <v>977</v>
      </c>
      <c r="C44" s="165" t="str">
        <f>""&amp;'Aim 1 - Household Contacts'!S72&amp;"("&amp;TEXT('Aim 1 - Household Contacts'!T72,"0%")&amp;")"</f>
        <v>0(-)</v>
      </c>
      <c r="D44" s="165"/>
      <c r="F44" s="197"/>
      <c r="H44" s="152"/>
      <c r="I44" s="152"/>
      <c r="J44" s="152"/>
      <c r="K44" s="152"/>
      <c r="L44" s="151"/>
    </row>
    <row r="45" spans="2:12" x14ac:dyDescent="0.35">
      <c r="B45" s="165" t="s">
        <v>985</v>
      </c>
      <c r="C45" s="165" t="str">
        <f>"Did not provide sputum"&amp;"(N="&amp;'Aim 1 - Household Contacts'!S73&amp;"("&amp;TEXT('Aim 1 - Household Contacts'!T73,"0%")&amp;"))"</f>
        <v>Did not provide sputum(N=0(-))</v>
      </c>
      <c r="D45" s="165"/>
      <c r="F45" s="197"/>
      <c r="H45" s="152"/>
      <c r="I45" s="152"/>
      <c r="J45" s="152"/>
      <c r="K45" s="152"/>
      <c r="L45" s="151"/>
    </row>
    <row r="46" spans="2:12" x14ac:dyDescent="0.35">
      <c r="B46" s="165" t="s">
        <v>969</v>
      </c>
      <c r="C46" s="165" t="str">
        <f>""&amp;B46&amp;CHAR(10)&amp;"(N="&amp;'Aim 1 - Household Contacts'!S74&amp;")"</f>
        <v xml:space="preserve">    Provided sputum
(N=0)</v>
      </c>
      <c r="D46" s="165"/>
      <c r="F46" s="197"/>
      <c r="H46" s="152"/>
      <c r="I46" s="152"/>
      <c r="J46" s="152"/>
      <c r="K46" s="152"/>
    </row>
    <row r="47" spans="2:12" x14ac:dyDescent="0.35">
      <c r="B47" s="165" t="s">
        <v>970</v>
      </c>
      <c r="C47" s="165" t="str">
        <f>""&amp;'Aim 1 - Household Contacts'!S75&amp;"("&amp;TEXT('Aim 1 - Household Contacts'!T75,"0%")&amp;")"</f>
        <v>0(-)</v>
      </c>
      <c r="D47" s="165"/>
      <c r="F47" s="197"/>
      <c r="G47" s="197"/>
      <c r="H47" s="152"/>
      <c r="I47" s="152"/>
      <c r="J47" s="152"/>
      <c r="K47" s="152"/>
    </row>
    <row r="48" spans="2:12" x14ac:dyDescent="0.35">
      <c r="B48" s="165" t="s">
        <v>971</v>
      </c>
      <c r="C48" s="165" t="str">
        <f>""&amp;'Aim 1 - Household Contacts'!S76&amp;"("&amp;TEXT('Aim 1 - Household Contacts'!T76,"0%")&amp;")"</f>
        <v>0(-)</v>
      </c>
      <c r="D48" s="165"/>
      <c r="F48" s="197"/>
      <c r="G48" s="197"/>
      <c r="H48" s="152"/>
      <c r="I48" s="152"/>
      <c r="J48" s="152"/>
      <c r="K48" s="152"/>
    </row>
    <row r="49" spans="2:14" x14ac:dyDescent="0.35">
      <c r="B49" s="165" t="s">
        <v>978</v>
      </c>
      <c r="C49" s="165" t="str">
        <f>""&amp;'Aim 1 - Household Contacts'!S77&amp;"("&amp;TEXT('Aim 1 - Household Contacts'!T77,"0%")&amp;")"</f>
        <v>0(-)</v>
      </c>
      <c r="F49" s="197"/>
      <c r="G49" s="197"/>
      <c r="H49" s="152"/>
      <c r="I49" s="152"/>
      <c r="J49" s="152"/>
      <c r="K49" s="152"/>
      <c r="N49" t="s">
        <v>987</v>
      </c>
    </row>
    <row r="50" spans="2:14" x14ac:dyDescent="0.35">
      <c r="B50" s="165" t="s">
        <v>979</v>
      </c>
      <c r="C50" s="165" t="str">
        <f>""&amp;'Aim 1 - Household Contacts'!P75&amp;"("&amp;TEXT('Aim 1 - Household Contacts'!Q75,"0%")&amp;")"</f>
        <v>0(-)</v>
      </c>
      <c r="F50" s="197"/>
      <c r="G50" s="197"/>
      <c r="H50" s="152"/>
      <c r="I50" s="152"/>
      <c r="J50" s="152"/>
      <c r="K50" s="152"/>
    </row>
    <row r="51" spans="2:14" x14ac:dyDescent="0.35">
      <c r="B51" s="165" t="s">
        <v>983</v>
      </c>
      <c r="C51" s="165" t="str">
        <f>""&amp;'Aim 1 - Household Contacts'!V67&amp;"("&amp;TEXT('Aim 1 - Household Contacts'!W67,"0%")&amp;")"</f>
        <v>0(-)</v>
      </c>
      <c r="F51" s="197"/>
      <c r="G51" s="197"/>
      <c r="H51" s="152"/>
      <c r="I51" s="152"/>
      <c r="J51" s="152"/>
      <c r="K51" s="152"/>
    </row>
    <row r="52" spans="2:14" x14ac:dyDescent="0.35">
      <c r="B52" s="165" t="s">
        <v>974</v>
      </c>
      <c r="C52" s="165" t="str">
        <f>""&amp;'Aim 1 - Household Contacts'!V68&amp;"("&amp;TEXT('Aim 1 - Household Contacts'!W68,"0%")&amp;")"</f>
        <v>0(-)</v>
      </c>
      <c r="D52" s="191" t="str">
        <f>"Did not present = "&amp;'Aim 1 - Household Contacts'!V68&amp;"("&amp;TEXT('Aim 1 - Household Contacts'!W68,"0%")&amp;")"</f>
        <v>Did not present = 0(-)</v>
      </c>
      <c r="F52" s="197"/>
      <c r="G52" s="197"/>
      <c r="H52" s="152"/>
      <c r="I52" s="152"/>
      <c r="J52" s="152"/>
      <c r="K52" s="152"/>
    </row>
    <row r="53" spans="2:14" x14ac:dyDescent="0.35">
      <c r="B53" s="165" t="s">
        <v>968</v>
      </c>
      <c r="C53" s="165" t="str">
        <f>""&amp;'Aim 1 - Household Contacts'!V69&amp;"("&amp;TEXT('Aim 1 - Household Contacts'!W69,"0%")&amp;")"</f>
        <v>0(-)</v>
      </c>
      <c r="D53" s="191" t="str">
        <f>"Presented (N="&amp;'Aim 1 - Household Contacts'!V69&amp;"("&amp;TEXT('Aim 1 - Household Contacts'!W69,"0%")&amp;"))"</f>
        <v>Presented (N=0(-))</v>
      </c>
      <c r="F53" s="197"/>
      <c r="G53" s="197"/>
      <c r="H53" s="152"/>
      <c r="I53" s="152"/>
      <c r="J53" s="152"/>
      <c r="K53" s="152"/>
    </row>
    <row r="54" spans="2:14" x14ac:dyDescent="0.35">
      <c r="B54" s="165" t="s">
        <v>975</v>
      </c>
      <c r="C54" s="165" t="str">
        <f>""&amp;'Aim 1 - Household Contacts'!V70&amp;"("&amp;TEXT('Aim 1 - Household Contacts'!W70,"0%")&amp;")"</f>
        <v>0(-)</v>
      </c>
      <c r="F54" s="197"/>
      <c r="G54" s="197"/>
      <c r="H54" s="152"/>
      <c r="I54" s="152"/>
      <c r="J54" s="152"/>
      <c r="K54" s="152"/>
    </row>
    <row r="55" spans="2:14" x14ac:dyDescent="0.35">
      <c r="B55" s="165" t="s">
        <v>976</v>
      </c>
      <c r="C55" s="165" t="str">
        <f>""&amp;'Aim 1 - Household Contacts'!V71&amp;"("&amp;TEXT('Aim 1 - Household Contacts'!W71,"0%")&amp;")"</f>
        <v>0(-)</v>
      </c>
      <c r="F55" s="197"/>
      <c r="G55" s="197"/>
      <c r="H55" s="152"/>
      <c r="I55" s="152"/>
      <c r="J55" s="152"/>
      <c r="K55" s="152"/>
    </row>
    <row r="56" spans="2:14" x14ac:dyDescent="0.35">
      <c r="B56" s="165" t="s">
        <v>977</v>
      </c>
      <c r="C56" s="165" t="str">
        <f>""&amp;'Aim 1 - Household Contacts'!V72&amp;"("&amp;TEXT('Aim 1 - Household Contacts'!V72,"0%")&amp;")"</f>
        <v>0(0%)</v>
      </c>
      <c r="F56" s="197"/>
      <c r="G56" s="197"/>
      <c r="H56" s="152"/>
      <c r="I56" s="152"/>
      <c r="J56" s="152"/>
      <c r="K56" s="152"/>
    </row>
    <row r="57" spans="2:14" x14ac:dyDescent="0.35">
      <c r="B57" s="165" t="s">
        <v>985</v>
      </c>
      <c r="C57" s="165" t="str">
        <f>"Did not provide sputum"&amp;"(N="&amp;'Aim 1 - Household Contacts'!V73&amp;"("&amp;TEXT('Aim 1 - Household Contacts'!W73,"0%")&amp;"))"</f>
        <v>Did not provide sputum(N=0(-))</v>
      </c>
      <c r="F57" s="197"/>
      <c r="G57" s="197"/>
      <c r="H57" s="152"/>
      <c r="I57" s="152"/>
      <c r="J57" s="152"/>
      <c r="K57" s="152"/>
    </row>
    <row r="58" spans="2:14" x14ac:dyDescent="0.35">
      <c r="B58" s="165" t="s">
        <v>969</v>
      </c>
      <c r="C58" s="165" t="str">
        <f>""&amp;B58&amp;CHAR(10)&amp;"(N="&amp;'Aim 1 - Household Contacts'!V74&amp;")"</f>
        <v xml:space="preserve">    Provided sputum
(N=0)</v>
      </c>
      <c r="F58" s="197"/>
      <c r="G58" s="197"/>
      <c r="H58" s="152"/>
      <c r="I58" s="152"/>
      <c r="J58" s="152"/>
      <c r="K58" s="152"/>
    </row>
    <row r="59" spans="2:14" x14ac:dyDescent="0.35">
      <c r="B59" s="165" t="s">
        <v>970</v>
      </c>
      <c r="C59" s="165" t="str">
        <f>""&amp;'Aim 1 - Household Contacts'!V75&amp;"("&amp;TEXT('Aim 1 - Household Contacts'!W75,"0%")&amp;")"</f>
        <v>0(-)</v>
      </c>
      <c r="F59" s="197"/>
      <c r="H59" s="152"/>
      <c r="I59" s="152"/>
      <c r="J59" s="152"/>
      <c r="K59" s="152"/>
    </row>
    <row r="60" spans="2:14" x14ac:dyDescent="0.35">
      <c r="B60" s="165" t="s">
        <v>971</v>
      </c>
      <c r="C60" s="165" t="str">
        <f>""&amp;'Aim 1 - Household Contacts'!V76&amp;"("&amp;TEXT('Aim 1 - Household Contacts'!W76,"0%")&amp;")"</f>
        <v>0(-)</v>
      </c>
      <c r="F60" s="197"/>
      <c r="H60" s="152"/>
      <c r="I60" s="152"/>
      <c r="J60" s="152"/>
      <c r="K60" s="152"/>
    </row>
    <row r="61" spans="2:14" x14ac:dyDescent="0.35">
      <c r="B61" s="165" t="s">
        <v>978</v>
      </c>
      <c r="C61" s="165" t="str">
        <f>""&amp;'Aim 1 - Household Contacts'!V77&amp;"("&amp;TEXT('Aim 1 - Household Contacts'!W77,"0%")&amp;")"</f>
        <v>0(-)</v>
      </c>
    </row>
    <row r="79" spans="26:26" x14ac:dyDescent="0.35">
      <c r="Z79" s="219" t="str">
        <f>_xlfn.CONCAT("*Discordant = ", 'Aim 1 - Household Contacts'!V78)</f>
        <v>*Discordant = 0</v>
      </c>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Z79"/>
  <sheetViews>
    <sheetView showGridLines="0" topLeftCell="A34" zoomScale="60" zoomScaleNormal="60" workbookViewId="0">
      <selection activeCell="B28" sqref="B28"/>
    </sheetView>
  </sheetViews>
  <sheetFormatPr defaultRowHeight="14.5" x14ac:dyDescent="0.35"/>
  <cols>
    <col min="1" max="1" width="6.453125" style="191" customWidth="1"/>
    <col min="2" max="2" width="35.453125" style="191" customWidth="1"/>
    <col min="3" max="3" width="4" style="191" customWidth="1"/>
    <col min="4" max="5" width="15.1796875" style="191" customWidth="1" collapsed="1"/>
    <col min="6" max="6" width="3.81640625" style="152" customWidth="1"/>
    <col min="7" max="7" width="32.1796875" style="152" customWidth="1" collapsed="1"/>
    <col min="8" max="8" width="4.453125" customWidth="1"/>
  </cols>
  <sheetData>
    <row r="1" spans="2:11" x14ac:dyDescent="0.35">
      <c r="H1" s="152"/>
      <c r="I1" s="152"/>
      <c r="J1" s="152"/>
      <c r="K1" s="152"/>
    </row>
    <row r="2" spans="2:11" x14ac:dyDescent="0.35">
      <c r="B2" s="165" t="s">
        <v>915</v>
      </c>
      <c r="C2" s="198" t="str">
        <f>""&amp;'Aim 1 - Index Patients'!S5</f>
        <v>2</v>
      </c>
      <c r="D2" s="165"/>
      <c r="H2" s="152"/>
      <c r="I2" s="152"/>
      <c r="J2" s="152"/>
      <c r="K2" s="152"/>
    </row>
    <row r="3" spans="2:11" x14ac:dyDescent="0.35">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5">
      <c r="B4" s="165" t="s">
        <v>966</v>
      </c>
      <c r="C4" s="198" t="str">
        <f>""&amp;'Aim 1 - Index Patients'!S8&amp;"("&amp;TEXT('Aim 1 - Index Patients'!T8,"0%")&amp;")"</f>
        <v>1(100%)</v>
      </c>
      <c r="D4" s="165"/>
      <c r="H4" s="152"/>
      <c r="I4" s="152"/>
      <c r="J4" s="152"/>
      <c r="K4" s="152"/>
    </row>
    <row r="5" spans="2:11" x14ac:dyDescent="0.35">
      <c r="B5" s="165" t="s">
        <v>925</v>
      </c>
      <c r="C5" s="198" t="str">
        <f>""&amp;'Aim 1 - Index Patients'!T33&amp;"("&amp;TEXT('Aim 1 - Index Patients'!U33,"0%")&amp;")"</f>
        <v>0(-)</v>
      </c>
      <c r="D5" s="165"/>
      <c r="H5" s="152"/>
      <c r="I5" s="152"/>
      <c r="J5" s="152"/>
      <c r="K5" s="152"/>
    </row>
    <row r="6" spans="2:11" x14ac:dyDescent="0.35">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5">
      <c r="B7" s="165" t="s">
        <v>927</v>
      </c>
      <c r="C7" s="198" t="str">
        <f>""&amp;'Aim 1 - Index Patients'!T43&amp;"("&amp;TEXT('Aim 1 - Index Patients'!U43,"0%")&amp;")"</f>
        <v>0(-)</v>
      </c>
      <c r="D7" s="165"/>
      <c r="H7" s="152"/>
      <c r="I7" s="152"/>
      <c r="J7" s="152"/>
      <c r="K7" s="152"/>
    </row>
    <row r="8" spans="2:11" x14ac:dyDescent="0.35">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5">
      <c r="B9" s="165" t="s">
        <v>919</v>
      </c>
      <c r="C9" s="198" t="str">
        <f>""&amp;'Aim 1 - Household Contacts'!AC6</f>
        <v>0</v>
      </c>
      <c r="D9" s="201" t="str">
        <f>"Pending Household Visits = "&amp;'Aim 1 - Household Contacts'!AC13&amp;"("&amp;TEXT('Aim 1 - Household Contacts'!AC13,"0%")&amp;")"</f>
        <v>Pending Household Visits = 0(0%)</v>
      </c>
      <c r="E9" s="192"/>
      <c r="H9" s="152"/>
      <c r="I9" s="152"/>
      <c r="J9" s="152"/>
      <c r="K9" s="152"/>
    </row>
    <row r="10" spans="2:11" x14ac:dyDescent="0.35">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5">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Not Interested  =  0(-)
     Not fluent in Xhosa or English  =  0(-)
     &lt;18 Years Old  =  0(-)</v>
      </c>
      <c r="E11" s="192"/>
      <c r="H11" s="152"/>
      <c r="I11" s="152"/>
      <c r="J11" s="152"/>
      <c r="K11" s="152"/>
    </row>
    <row r="12" spans="2:11" x14ac:dyDescent="0.35">
      <c r="B12" s="165" t="s">
        <v>930</v>
      </c>
      <c r="C12" s="165" t="str">
        <f>""&amp;'Aim 1 - Household Contacts'!AC35&amp;"("&amp;TEXT('Aim 1 - Household Contacts'!AD35,"0%")&amp;")"</f>
        <v>0(-)</v>
      </c>
      <c r="D12" s="165"/>
      <c r="H12" s="152"/>
      <c r="I12" s="152"/>
      <c r="J12" s="152"/>
      <c r="K12" s="152"/>
    </row>
    <row r="13" spans="2:11" x14ac:dyDescent="0.35">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5">
      <c r="B14" s="165" t="s">
        <v>933</v>
      </c>
      <c r="C14" s="165" t="str">
        <f>""&amp;'Aim 1 - Household Contacts'!AC43&amp;"("&amp;TEXT('Aim 1 - Household Contacts'!AD43,"0%")&amp;")"</f>
        <v>0(-)</v>
      </c>
      <c r="D14" s="165"/>
      <c r="H14" s="152"/>
      <c r="I14" s="152"/>
      <c r="J14" s="152"/>
      <c r="K14" s="152"/>
    </row>
    <row r="15" spans="2:11" x14ac:dyDescent="0.35">
      <c r="B15" s="165" t="s">
        <v>931</v>
      </c>
      <c r="C15" s="165" t="str">
        <f>""&amp;'Aim 1 - Household Contacts'!AC17&amp;"("&amp;TEXT('Aim 1 - Household Contacts'!AD17,"0%")&amp;")"</f>
        <v>0(-)</v>
      </c>
      <c r="D15" s="165" t="str">
        <f>"Cannot Comprehend = "&amp;'Aim 1 - Household Contacts'!AC46&amp;"("&amp;TEXT('Aim 1 - Household Contacts'!AD46,"0%")&amp;")" &amp; CHAR(10)&amp;"Refused to participate = "&amp;'Aim 1 - Household Contacts'!AC45&amp;"("&amp;TEXT('Aim 1 - Household Contacts'!AD45,"0%")&amp;")"</f>
        <v>Cannot Comprehend = 0(-)
Refused to participate = 0(-)</v>
      </c>
      <c r="H15" s="152"/>
      <c r="I15" s="152"/>
      <c r="J15" s="152"/>
      <c r="K15" s="152"/>
    </row>
    <row r="16" spans="2:11" x14ac:dyDescent="0.35">
      <c r="B16" s="165" t="s">
        <v>934</v>
      </c>
      <c r="C16" s="165" t="str">
        <f>""&amp;'Aim 1 - Household Contacts'!AC44&amp;"("&amp;TEXT('Aim 1 - Household Contacts'!AD44,"0%")&amp;")"</f>
        <v>0(-)</v>
      </c>
      <c r="D16" s="165"/>
      <c r="H16" s="152"/>
      <c r="I16" s="152"/>
      <c r="J16" s="152"/>
      <c r="K16" s="152"/>
    </row>
    <row r="17" spans="2:11" x14ac:dyDescent="0.35">
      <c r="B17" s="165" t="s">
        <v>967</v>
      </c>
      <c r="C17" s="165" t="str">
        <f>""&amp;'Aim 1 - Household Contacts'!AC52&amp;"("&amp;TEXT('Aim 1 - Household Contacts'!AD52,"0%")&amp;")"</f>
        <v>0(-)</v>
      </c>
      <c r="D17" s="165"/>
      <c r="H17" s="152"/>
      <c r="I17" s="152"/>
      <c r="J17" s="152"/>
      <c r="K17" s="152"/>
    </row>
    <row r="18" spans="2:11" x14ac:dyDescent="0.35">
      <c r="B18" s="165" t="s">
        <v>980</v>
      </c>
      <c r="C18" s="165" t="str">
        <f>""&amp;'Aim 1 - Household Contacts'!AF59&amp;"("&amp;TEXT('Aim 1 - Household Contacts'!AG59,"0%")&amp;")"</f>
        <v>0(-)</v>
      </c>
      <c r="D18" s="165"/>
      <c r="H18" s="152"/>
      <c r="I18" s="152"/>
      <c r="J18" s="152"/>
      <c r="K18" s="152"/>
    </row>
    <row r="19" spans="2:11" x14ac:dyDescent="0.35">
      <c r="B19" s="165" t="s">
        <v>968</v>
      </c>
      <c r="C19" s="165" t="str">
        <f>""&amp;'Aim 1 - Household Contacts'!AF60&amp;"("&amp;TEXT('Aim 1 - Household Contacts'!AG60,"0%")&amp;")"</f>
        <v>0(-)</v>
      </c>
      <c r="D19" s="165"/>
      <c r="H19" s="152"/>
      <c r="I19" s="152"/>
      <c r="J19" s="152"/>
      <c r="K19" s="152"/>
    </row>
    <row r="20" spans="2:11" x14ac:dyDescent="0.35">
      <c r="B20" s="165" t="s">
        <v>985</v>
      </c>
      <c r="C20" s="165" t="str">
        <f>"Did not provide sputum"&amp;"(N="&amp;'Aim 1 - Household Contacts'!AF61&amp;"("&amp;TEXT('Aim 1 - Household Contacts'!AG61,"0%")&amp;"))"</f>
        <v>Did not provide sputum(N=0(-))</v>
      </c>
      <c r="D20" s="165"/>
      <c r="H20" s="152"/>
      <c r="I20" s="152"/>
      <c r="J20" s="152"/>
      <c r="K20" s="152"/>
    </row>
    <row r="21" spans="2:11" x14ac:dyDescent="0.35">
      <c r="B21" s="165" t="s">
        <v>969</v>
      </c>
      <c r="C21" s="165" t="s">
        <v>992</v>
      </c>
      <c r="D21" s="165" t="str">
        <f>"Did not present = "&amp;'Aim 1 - Household Contacts'!AC68&amp;"("&amp;TEXT('Aim 1 - Household Contacts'!AD68,"0%")&amp;")"</f>
        <v>Did not present = 0(-)</v>
      </c>
      <c r="H21" s="152"/>
      <c r="I21" s="152"/>
      <c r="J21" s="152"/>
      <c r="K21" s="152"/>
    </row>
    <row r="22" spans="2:11" x14ac:dyDescent="0.35">
      <c r="B22" s="165" t="s">
        <v>970</v>
      </c>
      <c r="C22" s="165" t="str">
        <f>""&amp;'Aim 1 - Household Contacts'!AF63&amp;"("&amp;TEXT('Aim 1 - Household Contacts'!AG63,"0%")&amp;")"</f>
        <v>0(-)</v>
      </c>
      <c r="D22" s="165"/>
      <c r="H22" s="152"/>
      <c r="I22" s="152"/>
      <c r="J22" s="152"/>
      <c r="K22" s="152"/>
    </row>
    <row r="23" spans="2:11" x14ac:dyDescent="0.35">
      <c r="B23" s="165" t="s">
        <v>971</v>
      </c>
      <c r="C23" s="165" t="str">
        <f>""&amp;'Aim 1 - Household Contacts'!AF64&amp;"("&amp;TEXT('Aim 1 - Household Contacts'!AG64,"0%")&amp;")"</f>
        <v>0(-)</v>
      </c>
      <c r="D23" s="165"/>
      <c r="H23" s="152"/>
      <c r="I23" s="152"/>
      <c r="J23" s="152"/>
      <c r="K23" s="152"/>
    </row>
    <row r="24" spans="2:11" x14ac:dyDescent="0.35">
      <c r="B24" s="165" t="s">
        <v>972</v>
      </c>
      <c r="C24" s="165" t="str">
        <f>""&amp;'Aim 1 - Household Contacts'!AF65&amp;"("&amp;TEXT('Aim 1 - Household Contacts'!AG65,"0%")&amp;")"</f>
        <v>0(-)</v>
      </c>
      <c r="D24" s="165"/>
      <c r="H24" s="152"/>
      <c r="I24" s="152"/>
      <c r="J24" s="152"/>
      <c r="K24" s="152"/>
    </row>
    <row r="25" spans="2:11" x14ac:dyDescent="0.35">
      <c r="B25" s="165" t="s">
        <v>973</v>
      </c>
      <c r="C25" s="165" t="str">
        <f>""&amp;'Aim 1 - Household Contacts'!AL59&amp;"("&amp;TEXT('Aim 1 - Household Contacts'!AM59,"0%")&amp;")"</f>
        <v>45(-)</v>
      </c>
      <c r="D25" s="165"/>
      <c r="H25" s="152"/>
      <c r="I25" s="152"/>
      <c r="J25" s="152"/>
      <c r="K25" s="152"/>
    </row>
    <row r="26" spans="2:11" x14ac:dyDescent="0.35">
      <c r="B26" s="165" t="s">
        <v>981</v>
      </c>
      <c r="C26" s="165" t="str">
        <f>""&amp;'Aim 1 - Household Contacts'!AC53&amp;"("&amp;TEXT('Aim 1 - Household Contacts'!AD53,"0%")&amp;")"</f>
        <v>0(-)</v>
      </c>
      <c r="D26" s="165" t="str">
        <f>"Not Outcome Yet = "&amp;'Aim 1 - Household Contacts'!AL79&amp;"("&amp;TEXT('Aim 1 - Household Contacts'!AM79,"0%")&amp;")"</f>
        <v>Not Outcome Yet = 0(-)</v>
      </c>
      <c r="H26" s="152"/>
      <c r="I26" s="152"/>
      <c r="J26" s="152"/>
      <c r="K26" s="152"/>
    </row>
    <row r="27" spans="2:11" x14ac:dyDescent="0.35">
      <c r="B27" s="165" t="s">
        <v>980</v>
      </c>
      <c r="C27" s="165" t="str">
        <f>""&amp;'Aim 1 - Household Contacts'!AC67&amp;"("&amp;TEXT('Aim 1 - Household Contacts'!AD67,"0%")&amp;")"</f>
        <v>0(-)</v>
      </c>
      <c r="D27" s="165"/>
      <c r="H27" s="152"/>
      <c r="I27" s="152"/>
      <c r="J27" s="152"/>
      <c r="K27" s="152"/>
    </row>
    <row r="28" spans="2:11" x14ac:dyDescent="0.35">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5">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5">
      <c r="B30" s="165" t="s">
        <v>975</v>
      </c>
      <c r="C30" s="165" t="str">
        <f>""&amp;'Aim 1 - Household Contacts'!AC70&amp;"("&amp;TEXT('Aim 1 - Household Contacts'!AD70,"0%")&amp;")"</f>
        <v>0(-)</v>
      </c>
      <c r="D30" s="165"/>
      <c r="H30" s="152"/>
      <c r="I30" s="152"/>
      <c r="J30" s="152"/>
      <c r="K30" s="152"/>
    </row>
    <row r="31" spans="2:11" x14ac:dyDescent="0.35">
      <c r="B31" s="165" t="s">
        <v>976</v>
      </c>
      <c r="C31" s="165" t="str">
        <f>""&amp;'Aim 1 - Household Contacts'!AC71&amp;"("&amp;TEXT('Aim 1 - Household Contacts'!AD71,"0%")&amp;")"</f>
        <v>0(-)</v>
      </c>
      <c r="D31" s="165"/>
      <c r="F31" s="197"/>
      <c r="G31" s="197"/>
      <c r="H31" s="152"/>
      <c r="I31" s="152"/>
      <c r="J31" s="152"/>
      <c r="K31" s="152"/>
    </row>
    <row r="32" spans="2:11" x14ac:dyDescent="0.35">
      <c r="B32" s="165" t="s">
        <v>977</v>
      </c>
      <c r="C32" s="165" t="str">
        <f>""&amp;'Aim 1 - Household Contacts'!AC72&amp;"("&amp;TEXT('Aim 1 - Household Contacts'!AD72,"0%")&amp;")"</f>
        <v>0(-)</v>
      </c>
      <c r="D32" s="165"/>
      <c r="F32" s="197"/>
      <c r="G32" s="197"/>
      <c r="H32" s="152"/>
      <c r="I32" s="152"/>
      <c r="J32" s="152"/>
      <c r="K32" s="152"/>
    </row>
    <row r="33" spans="2:12" x14ac:dyDescent="0.35">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5">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5">
      <c r="B35" s="165" t="s">
        <v>970</v>
      </c>
      <c r="C35" s="165" t="str">
        <f>""&amp;'Aim 1 - Household Contacts'!AC75&amp;"("&amp;TEXT('Aim 1 - Household Contacts'!AD75,"0%")&amp;")"</f>
        <v>0(-)</v>
      </c>
      <c r="D35" s="165"/>
      <c r="F35" s="197"/>
      <c r="G35" s="197"/>
      <c r="H35" s="152"/>
      <c r="I35" s="152"/>
      <c r="J35" s="152"/>
      <c r="K35" s="152"/>
    </row>
    <row r="36" spans="2:12" x14ac:dyDescent="0.35">
      <c r="B36" s="165" t="s">
        <v>971</v>
      </c>
      <c r="C36" s="165" t="str">
        <f>""&amp;'Aim 1 - Household Contacts'!AC76&amp;"("&amp;TEXT('Aim 1 - Household Contacts'!AD76,"0%")&amp;")"</f>
        <v>0(-)</v>
      </c>
      <c r="D36" s="165"/>
      <c r="F36" s="197"/>
      <c r="G36" s="197"/>
      <c r="H36" s="152"/>
      <c r="I36" s="152"/>
      <c r="J36" s="152"/>
      <c r="K36" s="152"/>
    </row>
    <row r="37" spans="2:12" x14ac:dyDescent="0.35">
      <c r="B37" s="165" t="s">
        <v>978</v>
      </c>
      <c r="C37" s="165" t="str">
        <f>""&amp;'Aim 1 - Household Contacts'!AC77&amp;"("&amp;TEXT('Aim 1 - Household Contacts'!AD77,"0%")&amp;")"</f>
        <v>0(-)</v>
      </c>
      <c r="D37" s="165"/>
      <c r="F37" s="197"/>
      <c r="G37" s="197"/>
      <c r="H37" s="152"/>
      <c r="I37" s="152"/>
      <c r="J37" s="152"/>
      <c r="K37" s="152"/>
    </row>
    <row r="38" spans="2:12" x14ac:dyDescent="0.35">
      <c r="B38" s="165" t="s">
        <v>981</v>
      </c>
      <c r="C38" s="165"/>
      <c r="D38" s="165"/>
      <c r="F38" s="197"/>
      <c r="G38" s="197"/>
      <c r="H38" s="152"/>
      <c r="I38" s="152"/>
      <c r="J38" s="152"/>
      <c r="K38" s="152"/>
      <c r="L38" s="151"/>
    </row>
    <row r="39" spans="2:12" x14ac:dyDescent="0.35">
      <c r="B39" s="165" t="s">
        <v>982</v>
      </c>
      <c r="C39" s="165" t="str">
        <f>""&amp;'Aim 1 - Household Contacts'!AF67&amp;"("&amp;TEXT('Aim 1 - Household Contacts'!AG67,"0%")&amp;")"</f>
        <v>0(-)</v>
      </c>
      <c r="D39" s="165"/>
      <c r="F39" s="197"/>
      <c r="G39" s="197"/>
      <c r="H39" s="152"/>
      <c r="I39" s="152"/>
      <c r="J39" s="152"/>
      <c r="K39" s="152"/>
      <c r="L39" s="151"/>
    </row>
    <row r="40" spans="2:12" x14ac:dyDescent="0.35">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5">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5">
      <c r="B42" s="165" t="s">
        <v>975</v>
      </c>
      <c r="C42" s="165" t="str">
        <f>""&amp;'Aim 1 - Household Contacts'!AF70&amp;"("&amp;TEXT('Aim 1 - Household Contacts'!AG70,"0%")&amp;")"</f>
        <v>0(-)</v>
      </c>
      <c r="D42" s="165"/>
      <c r="F42" s="197"/>
      <c r="H42" s="152"/>
      <c r="I42" s="152"/>
      <c r="J42" s="152"/>
      <c r="K42" s="152"/>
      <c r="L42" s="151"/>
    </row>
    <row r="43" spans="2:12" x14ac:dyDescent="0.35">
      <c r="B43" s="165" t="s">
        <v>976</v>
      </c>
      <c r="C43" s="165" t="str">
        <f>""&amp;'Aim 1 - Household Contacts'!AF71&amp;"("&amp;TEXT('Aim 1 - Household Contacts'!AG71,"0%")&amp;")"</f>
        <v>0(-)</v>
      </c>
      <c r="D43" s="165"/>
      <c r="F43" s="197"/>
      <c r="H43" s="152"/>
      <c r="I43" s="152"/>
      <c r="J43" s="152"/>
      <c r="K43" s="152"/>
      <c r="L43" s="151"/>
    </row>
    <row r="44" spans="2:12" x14ac:dyDescent="0.35">
      <c r="B44" s="165" t="s">
        <v>977</v>
      </c>
      <c r="C44" s="165" t="str">
        <f>""&amp;'Aim 1 - Household Contacts'!AF72&amp;"("&amp;TEXT('Aim 1 - Household Contacts'!AG72,"0%")&amp;")"</f>
        <v>0(-)</v>
      </c>
      <c r="D44" s="165"/>
      <c r="F44" s="197"/>
      <c r="H44" s="152"/>
      <c r="I44" s="152"/>
      <c r="J44" s="152"/>
      <c r="K44" s="152"/>
      <c r="L44" s="151"/>
    </row>
    <row r="45" spans="2:12" x14ac:dyDescent="0.35">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5">
      <c r="B46" s="165" t="s">
        <v>969</v>
      </c>
      <c r="C46" s="165" t="str">
        <f>""&amp;B46&amp;CHAR(10)&amp;"(N="&amp;'Aim 1 - Household Contacts'!AF74&amp;")"</f>
        <v xml:space="preserve">    Provided sputum
(N=0)</v>
      </c>
      <c r="D46" s="165"/>
      <c r="F46" s="197"/>
      <c r="H46" s="152"/>
      <c r="I46" s="152"/>
      <c r="J46" s="152"/>
      <c r="K46" s="152"/>
    </row>
    <row r="47" spans="2:12" x14ac:dyDescent="0.35">
      <c r="B47" s="165" t="s">
        <v>970</v>
      </c>
      <c r="C47" s="165" t="str">
        <f>""&amp;'Aim 1 - Household Contacts'!AF75&amp;"("&amp;TEXT('Aim 1 - Household Contacts'!AG75,"0%")&amp;")"</f>
        <v>0(-)</v>
      </c>
      <c r="D47" s="165"/>
      <c r="F47" s="197"/>
      <c r="G47" s="197"/>
      <c r="H47" s="152"/>
      <c r="I47" s="152"/>
      <c r="J47" s="152"/>
      <c r="K47" s="152"/>
    </row>
    <row r="48" spans="2:12" x14ac:dyDescent="0.35">
      <c r="B48" s="165" t="s">
        <v>971</v>
      </c>
      <c r="C48" s="165" t="str">
        <f>""&amp;'Aim 1 - Household Contacts'!AF76&amp;"("&amp;TEXT('Aim 1 - Household Contacts'!AG76,"0%")&amp;")"</f>
        <v>0(-)</v>
      </c>
      <c r="D48" s="165"/>
      <c r="F48" s="197"/>
      <c r="G48" s="197"/>
      <c r="H48" s="152"/>
      <c r="I48" s="152"/>
      <c r="J48" s="152"/>
      <c r="K48" s="152"/>
    </row>
    <row r="49" spans="2:14" x14ac:dyDescent="0.35">
      <c r="B49" s="165" t="s">
        <v>978</v>
      </c>
      <c r="C49" s="165" t="str">
        <f>""&amp;'Aim 1 - Household Contacts'!AF77&amp;"("&amp;TEXT('Aim 1 - Household Contacts'!AG77,"0%")&amp;")"</f>
        <v>0(-)</v>
      </c>
      <c r="F49" s="197"/>
      <c r="G49" s="197"/>
      <c r="H49" s="152"/>
      <c r="I49" s="152"/>
      <c r="J49" s="152"/>
      <c r="K49" s="152"/>
      <c r="N49" t="s">
        <v>987</v>
      </c>
    </row>
    <row r="50" spans="2:14" x14ac:dyDescent="0.35">
      <c r="B50" s="165" t="s">
        <v>979</v>
      </c>
      <c r="C50" s="165" t="str">
        <f>""&amp;'Aim 1 - Household Contacts'!AC75&amp;"("&amp;TEXT('Aim 1 - Household Contacts'!AD75,"0%")&amp;")"</f>
        <v>0(-)</v>
      </c>
      <c r="F50" s="197"/>
      <c r="G50" s="197"/>
      <c r="H50" s="152"/>
      <c r="I50" s="152"/>
      <c r="J50" s="152"/>
      <c r="K50" s="152"/>
    </row>
    <row r="51" spans="2:14" x14ac:dyDescent="0.35">
      <c r="B51" s="165" t="s">
        <v>983</v>
      </c>
      <c r="C51" s="165" t="str">
        <f>""&amp;'Aim 1 - Household Contacts'!AI67&amp;"("&amp;TEXT('Aim 1 - Household Contacts'!AJ67,"0%")&amp;")"</f>
        <v>0(-)</v>
      </c>
      <c r="F51" s="197"/>
      <c r="G51" s="197"/>
      <c r="H51" s="152"/>
      <c r="I51" s="152"/>
      <c r="J51" s="152"/>
      <c r="K51" s="152"/>
    </row>
    <row r="52" spans="2:14" x14ac:dyDescent="0.35">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5">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5">
      <c r="B54" s="165" t="s">
        <v>975</v>
      </c>
      <c r="C54" s="165" t="str">
        <f>""&amp;'Aim 1 - Household Contacts'!AI70&amp;"("&amp;TEXT('Aim 1 - Household Contacts'!AJ70,"0%")&amp;")"</f>
        <v>0(-)</v>
      </c>
      <c r="F54" s="197"/>
      <c r="G54" s="197"/>
      <c r="H54" s="152"/>
      <c r="I54" s="152"/>
      <c r="J54" s="152"/>
      <c r="K54" s="152"/>
    </row>
    <row r="55" spans="2:14" x14ac:dyDescent="0.35">
      <c r="B55" s="165" t="s">
        <v>976</v>
      </c>
      <c r="C55" s="165" t="str">
        <f>""&amp;'Aim 1 - Household Contacts'!AI71&amp;"("&amp;TEXT('Aim 1 - Household Contacts'!AJ71,"0%")&amp;")"</f>
        <v>0(-)</v>
      </c>
      <c r="F55" s="197"/>
      <c r="G55" s="197"/>
      <c r="H55" s="152"/>
      <c r="I55" s="152"/>
      <c r="J55" s="152"/>
      <c r="K55" s="152"/>
    </row>
    <row r="56" spans="2:14" x14ac:dyDescent="0.35">
      <c r="B56" s="165" t="s">
        <v>977</v>
      </c>
      <c r="C56" s="165" t="str">
        <f>""&amp;'Aim 1 - Household Contacts'!AI72&amp;"("&amp;TEXT('Aim 1 - Household Contacts'!AJ72,"0%")&amp;")"</f>
        <v>0(-)</v>
      </c>
      <c r="F56" s="197"/>
      <c r="G56" s="197"/>
      <c r="H56" s="152"/>
      <c r="I56" s="152"/>
      <c r="J56" s="152"/>
      <c r="K56" s="152"/>
    </row>
    <row r="57" spans="2:14" x14ac:dyDescent="0.35">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5">
      <c r="B58" s="165" t="s">
        <v>969</v>
      </c>
      <c r="C58" s="165" t="str">
        <f>""&amp;B58&amp;CHAR(10)&amp;"(N="&amp;'Aim 1 - Household Contacts'!AI74&amp;")"</f>
        <v xml:space="preserve">    Provided sputum
(N=0)</v>
      </c>
      <c r="F58" s="197"/>
      <c r="G58" s="197"/>
      <c r="H58" s="152"/>
      <c r="I58" s="152"/>
      <c r="J58" s="152"/>
      <c r="K58" s="152"/>
    </row>
    <row r="59" spans="2:14" x14ac:dyDescent="0.35">
      <c r="B59" s="165" t="s">
        <v>970</v>
      </c>
      <c r="C59" s="165" t="str">
        <f>""&amp;'Aim 1 - Household Contacts'!AI75&amp;"("&amp;TEXT('Aim 1 - Household Contacts'!AJ75,"0%")&amp;")"</f>
        <v>0(-)</v>
      </c>
      <c r="F59" s="197"/>
      <c r="H59" s="152"/>
      <c r="I59" s="152"/>
      <c r="J59" s="152"/>
      <c r="K59" s="152"/>
    </row>
    <row r="60" spans="2:14" x14ac:dyDescent="0.35">
      <c r="B60" s="165" t="s">
        <v>971</v>
      </c>
      <c r="C60" s="165" t="str">
        <f>""&amp;'Aim 1 - Household Contacts'!AI76&amp;"("&amp;TEXT('Aim 1 - Household Contacts'!AJ76,"0%")&amp;")"</f>
        <v>0(-)</v>
      </c>
      <c r="H60" s="152"/>
      <c r="I60" s="152"/>
      <c r="J60" s="152"/>
      <c r="K60" s="152"/>
    </row>
    <row r="61" spans="2:14" x14ac:dyDescent="0.35">
      <c r="B61" s="165" t="s">
        <v>978</v>
      </c>
      <c r="C61" s="165" t="str">
        <f>""&amp;'Aim 1 - Household Contacts'!AI77&amp;"("&amp;TEXT('Aim 1 - Household Contacts'!AJ77,"0%")&amp;")"</f>
        <v>0(-)</v>
      </c>
    </row>
    <row r="79" spans="26:26" x14ac:dyDescent="0.35">
      <c r="Z79" s="219" t="str">
        <f>_xlfn.CONCAT("*Discordant = ", 'Aim 1 - Household Contacts'!AI78)</f>
        <v>*Discordant = 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F34" sqref="F34"/>
    </sheetView>
  </sheetViews>
  <sheetFormatPr defaultColWidth="9.08984375" defaultRowHeight="14.5" x14ac:dyDescent="0.35"/>
  <cols>
    <col min="1" max="1" width="3.36328125" style="1" customWidth="1"/>
    <col min="2" max="2" width="34" style="1" customWidth="1"/>
    <col min="3" max="3" width="10.453125" style="5" customWidth="1"/>
    <col min="4" max="4" width="10.453125" style="15" customWidth="1"/>
    <col min="5" max="5" width="14.90625" style="15" customWidth="1"/>
    <col min="6" max="6" width="20.6328125" style="15" bestFit="1" customWidth="1"/>
    <col min="7" max="9" width="14.08984375" style="15" customWidth="1"/>
    <col min="10" max="10" width="34" style="15" customWidth="1"/>
    <col min="11" max="12" width="10.453125" style="15" customWidth="1"/>
    <col min="13" max="13" width="14.08984375" style="15" customWidth="1"/>
    <col min="14" max="14" width="15.54296875" style="15" customWidth="1"/>
    <col min="15" max="17" width="14.08984375" style="15" customWidth="1"/>
    <col min="18" max="18" width="34" style="15" customWidth="1"/>
    <col min="19" max="20" width="10.453125" style="15" customWidth="1"/>
    <col min="21" max="21" width="14.90625" style="15" customWidth="1"/>
    <col min="22" max="22" width="15.54296875" style="15" customWidth="1"/>
    <col min="23" max="24" width="14.08984375" style="15" customWidth="1"/>
    <col min="25" max="26" width="14.08984375" style="1" customWidth="1"/>
    <col min="27" max="27" width="21.453125" style="1" customWidth="1"/>
    <col min="28" max="29" width="14.08984375" style="1" customWidth="1"/>
    <col min="30" max="30" width="14.08984375" style="37" customWidth="1"/>
    <col min="31" max="31" width="14.08984375" style="1" customWidth="1"/>
    <col min="32" max="32" width="5.54296875" style="1" customWidth="1"/>
    <col min="33" max="33" width="8.54296875" style="1" customWidth="1"/>
    <col min="34" max="34" width="10.90625" style="1" customWidth="1"/>
    <col min="35" max="36" width="11.453125" style="1" customWidth="1"/>
    <col min="37" max="37" width="7.453125" style="1" customWidth="1"/>
    <col min="38" max="38" width="5.90625" style="1" customWidth="1"/>
    <col min="39" max="39" width="11.90625" style="1" customWidth="1"/>
    <col min="40" max="40" width="7.90625" style="1" customWidth="1"/>
    <col min="41" max="41" width="6.54296875" style="1" customWidth="1"/>
    <col min="42" max="46" width="14.08984375" style="1" customWidth="1"/>
    <col min="47" max="16384" width="9.08984375" style="1"/>
  </cols>
  <sheetData>
    <row r="1" spans="2:25" ht="15" thickBot="1" x14ac:dyDescent="0.4">
      <c r="B1" s="249"/>
      <c r="C1" s="249"/>
      <c r="D1" s="249"/>
      <c r="E1" s="249"/>
      <c r="F1" s="249"/>
      <c r="G1" s="249"/>
      <c r="H1" s="249"/>
      <c r="J1" s="250" t="s">
        <v>991</v>
      </c>
      <c r="K1" s="250"/>
      <c r="L1" s="250"/>
      <c r="M1" s="250"/>
      <c r="N1" s="250"/>
      <c r="O1" s="250"/>
      <c r="P1" s="250"/>
      <c r="R1" s="250" t="s">
        <v>990</v>
      </c>
      <c r="S1" s="250"/>
      <c r="T1" s="250"/>
      <c r="U1" s="250"/>
      <c r="V1" s="250"/>
      <c r="W1" s="250"/>
      <c r="X1" s="250"/>
      <c r="Y1" s="15"/>
    </row>
    <row r="2" spans="2:25" ht="15" thickBot="1" x14ac:dyDescent="0.4">
      <c r="B2" s="230" t="s">
        <v>780</v>
      </c>
      <c r="C2" s="231"/>
      <c r="D2" s="232"/>
      <c r="E2" s="1"/>
      <c r="F2" s="24"/>
      <c r="G2" s="24"/>
      <c r="H2" s="24"/>
      <c r="I2" s="24"/>
      <c r="J2" s="230" t="s">
        <v>780</v>
      </c>
      <c r="K2" s="231"/>
      <c r="L2" s="232"/>
      <c r="M2" s="1"/>
      <c r="N2" s="24"/>
      <c r="O2" s="24"/>
      <c r="P2" s="24"/>
      <c r="Q2" s="24"/>
      <c r="R2" s="230" t="s">
        <v>780</v>
      </c>
      <c r="S2" s="231"/>
      <c r="T2" s="232"/>
      <c r="U2" s="1"/>
      <c r="V2" s="24"/>
      <c r="W2" s="24"/>
      <c r="X2" s="24"/>
    </row>
    <row r="3" spans="2:25" x14ac:dyDescent="0.35">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5">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5">
      <c r="B5" s="96" t="s">
        <v>759</v>
      </c>
      <c r="C5" s="5">
        <f>SUM(C6,C8,C7)</f>
        <v>3</v>
      </c>
      <c r="D5" s="6">
        <f>IF(C5=0, "-", C5/C4)</f>
        <v>1</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5">
      <c r="B6" s="4" t="s">
        <v>882</v>
      </c>
      <c r="C6" s="5">
        <v>1</v>
      </c>
      <c r="D6" s="6">
        <f>IF(C6=0, "-", C6/C5)</f>
        <v>0.33333333333333331</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5">
      <c r="B7" s="4" t="s">
        <v>893</v>
      </c>
      <c r="C7" s="5">
        <v>1</v>
      </c>
      <c r="D7" s="6">
        <f>IF(C7=0, "-", C7/C5)</f>
        <v>0.33333333333333331</v>
      </c>
      <c r="E7" s="1"/>
      <c r="F7" s="221" t="s">
        <v>1011</v>
      </c>
      <c r="G7" s="221"/>
      <c r="H7" s="221"/>
      <c r="I7" s="1"/>
      <c r="J7" s="4" t="s">
        <v>893</v>
      </c>
      <c r="K7" s="5">
        <v>1</v>
      </c>
      <c r="L7" s="6">
        <f>IF(K7=0, "-", K7/K5)</f>
        <v>0.5</v>
      </c>
      <c r="M7" s="1"/>
      <c r="N7" s="1"/>
      <c r="O7" s="1"/>
      <c r="P7" s="1"/>
      <c r="Q7" s="1"/>
      <c r="R7" s="4" t="s">
        <v>893</v>
      </c>
      <c r="S7" s="5">
        <v>1</v>
      </c>
      <c r="T7" s="6">
        <f>IF(S7=0, "-", S7/S5)</f>
        <v>0.5</v>
      </c>
      <c r="U7" s="1"/>
      <c r="V7" s="1"/>
      <c r="W7" s="1"/>
      <c r="X7" s="1"/>
    </row>
    <row r="8" spans="2:25" x14ac:dyDescent="0.35">
      <c r="B8" s="71" t="s">
        <v>894</v>
      </c>
      <c r="C8" s="69">
        <v>1</v>
      </c>
      <c r="D8" s="6">
        <f>IF(C8=0, "-", C8/C7)</f>
        <v>1</v>
      </c>
      <c r="E8" s="5"/>
      <c r="F8" s="223" t="s">
        <v>1012</v>
      </c>
      <c r="G8" s="222"/>
      <c r="H8" s="222"/>
      <c r="I8" s="5"/>
      <c r="J8" s="71" t="s">
        <v>894</v>
      </c>
      <c r="K8" s="69">
        <v>1</v>
      </c>
      <c r="L8" s="6">
        <f>IF(K8=0, "-", K8/K7)</f>
        <v>1</v>
      </c>
      <c r="M8" s="5"/>
      <c r="N8" s="59"/>
      <c r="O8" s="5"/>
      <c r="P8" s="5"/>
      <c r="Q8" s="5"/>
      <c r="R8" s="71" t="s">
        <v>894</v>
      </c>
      <c r="S8" s="69">
        <v>1</v>
      </c>
      <c r="T8" s="6">
        <f>IF(S8=0, "-", S8/S7)</f>
        <v>1</v>
      </c>
      <c r="U8" s="5"/>
      <c r="V8" s="59"/>
      <c r="W8" s="5"/>
      <c r="X8" s="5"/>
    </row>
    <row r="9" spans="2:25" x14ac:dyDescent="0.35">
      <c r="B9" s="71" t="s">
        <v>895</v>
      </c>
      <c r="C9" s="69">
        <v>1</v>
      </c>
      <c r="D9" s="6">
        <f>IF(C9=0, "-", C9/C7)</f>
        <v>1</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5">
      <c r="B10" s="71" t="s">
        <v>896</v>
      </c>
      <c r="C10" s="69">
        <v>1</v>
      </c>
      <c r="D10" s="6">
        <f>IF(C10=0, "-", C10/C7)</f>
        <v>1</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5">
      <c r="B11" s="71" t="s">
        <v>909</v>
      </c>
      <c r="C11" s="69">
        <v>1</v>
      </c>
      <c r="D11" s="6">
        <f>IF(C11=0, "-", C11/C7)</f>
        <v>1</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5">
      <c r="B12" s="71" t="s">
        <v>908</v>
      </c>
      <c r="C12" s="69">
        <v>1</v>
      </c>
      <c r="D12" s="6">
        <f>IF(C12=0, "-", C12/C7)</f>
        <v>1</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4">
      <c r="B13" s="72" t="s">
        <v>910</v>
      </c>
      <c r="C13" s="141">
        <v>1</v>
      </c>
      <c r="D13" s="21">
        <f>IF(C13=0, "-", C13/C7)</f>
        <v>1</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5">
      <c r="B14" s="165" t="s">
        <v>953</v>
      </c>
      <c r="C14" s="166">
        <f>C7-C8</f>
        <v>0</v>
      </c>
      <c r="D14" s="167" t="str">
        <f>IF(OR($C$7=0,C14=0),"-",C14/$C$7)</f>
        <v>-</v>
      </c>
      <c r="E14" s="5"/>
      <c r="F14" s="5"/>
      <c r="G14" s="5"/>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4">
      <c r="B15" s="1" t="s">
        <v>1013</v>
      </c>
      <c r="C15" s="59">
        <v>1</v>
      </c>
      <c r="D15" s="15">
        <f>C15/C7</f>
        <v>1</v>
      </c>
      <c r="E15" s="5"/>
      <c r="F15" s="5"/>
      <c r="G15" s="5"/>
      <c r="H15" s="5"/>
      <c r="I15" s="5"/>
      <c r="J15" s="1"/>
      <c r="K15" s="59"/>
      <c r="M15" s="5"/>
      <c r="N15" s="5"/>
      <c r="O15" s="5"/>
      <c r="P15" s="5"/>
      <c r="Q15" s="5"/>
      <c r="R15" s="1"/>
      <c r="S15" s="59"/>
      <c r="U15" s="5"/>
      <c r="V15" s="5"/>
      <c r="W15" s="5"/>
      <c r="X15" s="5"/>
    </row>
    <row r="16" spans="2:25" ht="15" customHeight="1" thickBot="1" x14ac:dyDescent="0.4">
      <c r="B16" s="230" t="s">
        <v>869</v>
      </c>
      <c r="C16" s="231"/>
      <c r="D16" s="232"/>
      <c r="G16" s="5"/>
      <c r="H16" s="5"/>
      <c r="I16" s="5"/>
      <c r="J16" s="230" t="s">
        <v>869</v>
      </c>
      <c r="K16" s="231"/>
      <c r="L16" s="232"/>
      <c r="O16" s="5"/>
      <c r="P16" s="5"/>
      <c r="Q16" s="5"/>
      <c r="R16" s="230" t="s">
        <v>869</v>
      </c>
      <c r="S16" s="231"/>
      <c r="T16" s="232"/>
      <c r="W16" s="5"/>
      <c r="X16" s="5"/>
    </row>
    <row r="17" spans="1:24" x14ac:dyDescent="0.35">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5">
      <c r="B18" s="96" t="s">
        <v>752</v>
      </c>
      <c r="C18" s="5">
        <v>2</v>
      </c>
      <c r="D18" s="140"/>
      <c r="G18" s="5"/>
      <c r="H18" s="5"/>
      <c r="I18" s="5"/>
      <c r="J18" s="96" t="s">
        <v>752</v>
      </c>
      <c r="K18" s="5">
        <v>2</v>
      </c>
      <c r="L18" s="140"/>
      <c r="O18" s="5"/>
      <c r="P18" s="5"/>
      <c r="Q18" s="5"/>
      <c r="R18" s="96" t="s">
        <v>752</v>
      </c>
      <c r="S18" s="5">
        <v>2</v>
      </c>
      <c r="T18" s="140"/>
      <c r="W18" s="5"/>
      <c r="X18" s="5"/>
    </row>
    <row r="19" spans="1:24" x14ac:dyDescent="0.35">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5">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5">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5">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5">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5">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5">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4">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5">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4">
      <c r="C28" s="8"/>
      <c r="D28" s="5"/>
      <c r="E28" s="5"/>
      <c r="F28" s="5"/>
      <c r="G28" s="5"/>
      <c r="H28" s="5"/>
      <c r="I28" s="5"/>
      <c r="J28" s="1"/>
      <c r="K28" s="1"/>
      <c r="L28" s="1"/>
      <c r="M28" s="1"/>
      <c r="N28" s="37"/>
      <c r="O28" s="1"/>
      <c r="P28" s="1"/>
      <c r="Q28" s="5"/>
      <c r="R28" s="1"/>
      <c r="S28" s="8"/>
      <c r="T28" s="5"/>
      <c r="U28" s="5"/>
      <c r="V28" s="5"/>
      <c r="W28" s="5"/>
      <c r="X28" s="5"/>
    </row>
    <row r="29" spans="1:24" ht="15" thickBot="1" x14ac:dyDescent="0.4">
      <c r="B29" s="237" t="s">
        <v>868</v>
      </c>
      <c r="C29" s="238"/>
      <c r="D29" s="238"/>
      <c r="E29" s="239"/>
      <c r="F29" s="24"/>
      <c r="G29" s="24"/>
      <c r="H29" s="24"/>
      <c r="I29" s="24"/>
      <c r="J29" s="237" t="s">
        <v>868</v>
      </c>
      <c r="K29" s="238"/>
      <c r="L29" s="238"/>
      <c r="M29" s="239"/>
      <c r="N29" s="37"/>
      <c r="O29" s="1"/>
      <c r="P29" s="1"/>
      <c r="Q29" s="24"/>
      <c r="R29" s="237" t="s">
        <v>868</v>
      </c>
      <c r="S29" s="238"/>
      <c r="T29" s="238"/>
      <c r="U29" s="239"/>
      <c r="V29" s="24"/>
      <c r="W29" s="24"/>
      <c r="X29" s="24"/>
    </row>
    <row r="30" spans="1:24" x14ac:dyDescent="0.35">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5">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5">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5">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5">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4">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5">
      <c r="C36" s="8"/>
      <c r="D36" s="5"/>
      <c r="E36" s="5"/>
      <c r="F36" s="5"/>
      <c r="G36" s="5"/>
      <c r="H36" s="5"/>
      <c r="I36" s="5"/>
      <c r="J36" s="1"/>
      <c r="K36" s="1"/>
      <c r="L36" s="1"/>
      <c r="M36" s="1"/>
      <c r="N36" s="37"/>
      <c r="O36" s="1"/>
      <c r="P36" s="1"/>
      <c r="Q36" s="5"/>
      <c r="R36" s="1"/>
      <c r="S36" s="8"/>
      <c r="T36" s="5"/>
      <c r="U36" s="5"/>
      <c r="V36" s="5"/>
      <c r="W36" s="5"/>
      <c r="X36" s="5"/>
    </row>
    <row r="37" spans="2:24" ht="15" thickBot="1" x14ac:dyDescent="0.4">
      <c r="I37" s="1"/>
      <c r="J37" s="1"/>
      <c r="K37" s="5"/>
      <c r="R37" s="1"/>
      <c r="S37" s="5"/>
    </row>
    <row r="38" spans="2:24" ht="15" thickBot="1" x14ac:dyDescent="0.4">
      <c r="B38" s="237" t="s">
        <v>776</v>
      </c>
      <c r="C38" s="238"/>
      <c r="D38" s="238"/>
      <c r="E38" s="238"/>
      <c r="F38" s="239"/>
      <c r="G38" s="1"/>
      <c r="H38" s="1"/>
      <c r="I38" s="1"/>
      <c r="J38" s="237" t="s">
        <v>776</v>
      </c>
      <c r="K38" s="238"/>
      <c r="L38" s="238"/>
      <c r="M38" s="238"/>
      <c r="N38" s="239"/>
      <c r="O38" s="1"/>
      <c r="P38" s="1"/>
      <c r="Q38" s="1"/>
      <c r="R38" s="237" t="s">
        <v>776</v>
      </c>
      <c r="S38" s="238"/>
      <c r="T38" s="238"/>
      <c r="U38" s="238"/>
      <c r="V38" s="239"/>
      <c r="W38" s="1"/>
      <c r="X38" s="1"/>
    </row>
    <row r="39" spans="2:24" ht="15" customHeight="1" x14ac:dyDescent="0.35">
      <c r="B39" s="30"/>
      <c r="C39" s="235" t="s">
        <v>752</v>
      </c>
      <c r="D39" s="233" t="s">
        <v>753</v>
      </c>
      <c r="E39" s="233"/>
      <c r="F39" s="243" t="s">
        <v>758</v>
      </c>
      <c r="G39" s="1"/>
      <c r="H39" s="1"/>
      <c r="I39" s="1"/>
      <c r="J39" s="30"/>
      <c r="K39" s="235" t="s">
        <v>752</v>
      </c>
      <c r="L39" s="233" t="s">
        <v>753</v>
      </c>
      <c r="M39" s="233"/>
      <c r="N39" s="243" t="s">
        <v>758</v>
      </c>
      <c r="O39" s="1"/>
      <c r="P39" s="1"/>
      <c r="Q39" s="1"/>
      <c r="R39" s="30"/>
      <c r="S39" s="235" t="s">
        <v>752</v>
      </c>
      <c r="T39" s="233" t="s">
        <v>753</v>
      </c>
      <c r="U39" s="233"/>
      <c r="V39" s="243" t="s">
        <v>758</v>
      </c>
      <c r="W39" s="1"/>
      <c r="X39" s="1"/>
    </row>
    <row r="40" spans="2:24" x14ac:dyDescent="0.35">
      <c r="B40" s="3"/>
      <c r="C40" s="236"/>
      <c r="D40" s="234"/>
      <c r="E40" s="234"/>
      <c r="F40" s="244"/>
      <c r="G40" s="1"/>
      <c r="H40" s="1"/>
      <c r="I40" s="1"/>
      <c r="J40" s="3"/>
      <c r="K40" s="236"/>
      <c r="L40" s="234"/>
      <c r="M40" s="234"/>
      <c r="N40" s="244"/>
      <c r="O40" s="1"/>
      <c r="P40" s="1"/>
      <c r="Q40" s="1"/>
      <c r="R40" s="3"/>
      <c r="S40" s="236"/>
      <c r="T40" s="234"/>
      <c r="U40" s="234"/>
      <c r="V40" s="244"/>
      <c r="W40" s="1"/>
      <c r="X40" s="1"/>
    </row>
    <row r="41" spans="2:24" x14ac:dyDescent="0.35">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5">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5">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5">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4">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5">
      <c r="J46" s="1"/>
      <c r="K46" s="5"/>
      <c r="R46" s="1"/>
      <c r="S46" s="5"/>
    </row>
    <row r="47" spans="2:24" ht="15" thickBot="1" x14ac:dyDescent="0.4">
      <c r="J47" s="1"/>
      <c r="K47" s="5"/>
      <c r="R47" s="1"/>
      <c r="S47" s="5"/>
    </row>
    <row r="48" spans="2:24" ht="15" thickBot="1" x14ac:dyDescent="0.4">
      <c r="B48" s="237" t="s">
        <v>791</v>
      </c>
      <c r="C48" s="238"/>
      <c r="D48" s="238"/>
      <c r="E48" s="238"/>
      <c r="F48" s="239"/>
      <c r="G48" s="228" t="s">
        <v>914</v>
      </c>
      <c r="H48" s="229"/>
      <c r="J48" s="237" t="s">
        <v>791</v>
      </c>
      <c r="K48" s="238"/>
      <c r="L48" s="238"/>
      <c r="M48" s="238"/>
      <c r="N48" s="239"/>
      <c r="O48" s="228" t="s">
        <v>914</v>
      </c>
      <c r="P48" s="229"/>
      <c r="R48" s="237" t="s">
        <v>791</v>
      </c>
      <c r="S48" s="238"/>
      <c r="T48" s="238"/>
      <c r="U48" s="238"/>
      <c r="V48" s="239"/>
      <c r="W48" s="228" t="s">
        <v>914</v>
      </c>
      <c r="X48" s="229"/>
    </row>
    <row r="49" spans="2:24" ht="29" x14ac:dyDescent="0.35">
      <c r="B49" s="240" t="s">
        <v>781</v>
      </c>
      <c r="C49" s="234"/>
      <c r="D49" s="77" t="s">
        <v>759</v>
      </c>
      <c r="E49" s="65" t="s">
        <v>752</v>
      </c>
      <c r="F49" s="78" t="s">
        <v>782</v>
      </c>
      <c r="G49" s="143" t="s">
        <v>28</v>
      </c>
      <c r="H49" s="143" t="s">
        <v>29</v>
      </c>
      <c r="J49" s="240" t="s">
        <v>781</v>
      </c>
      <c r="K49" s="234"/>
      <c r="L49" s="77" t="s">
        <v>759</v>
      </c>
      <c r="M49" s="65" t="s">
        <v>752</v>
      </c>
      <c r="N49" s="78" t="s">
        <v>782</v>
      </c>
      <c r="O49" s="143" t="s">
        <v>28</v>
      </c>
      <c r="P49" s="143" t="s">
        <v>29</v>
      </c>
      <c r="R49" s="240" t="s">
        <v>781</v>
      </c>
      <c r="S49" s="234"/>
      <c r="T49" s="77" t="s">
        <v>759</v>
      </c>
      <c r="U49" s="65" t="s">
        <v>752</v>
      </c>
      <c r="V49" s="78" t="s">
        <v>782</v>
      </c>
      <c r="W49" s="143" t="s">
        <v>28</v>
      </c>
      <c r="X49" s="143" t="s">
        <v>29</v>
      </c>
    </row>
    <row r="50" spans="2:24" x14ac:dyDescent="0.35">
      <c r="B50" s="241" t="s">
        <v>783</v>
      </c>
      <c r="C50" s="242"/>
      <c r="D50" s="68">
        <v>0</v>
      </c>
      <c r="E50" s="5">
        <v>0</v>
      </c>
      <c r="F50" s="75">
        <v>0</v>
      </c>
      <c r="G50" s="142"/>
      <c r="H50" s="142"/>
      <c r="J50" s="241" t="s">
        <v>783</v>
      </c>
      <c r="K50" s="242"/>
      <c r="L50" s="68">
        <v>0</v>
      </c>
      <c r="M50" s="5">
        <v>0</v>
      </c>
      <c r="N50" s="75">
        <v>0</v>
      </c>
      <c r="O50" s="142"/>
      <c r="P50" s="142"/>
      <c r="R50" s="241" t="s">
        <v>783</v>
      </c>
      <c r="S50" s="242"/>
      <c r="T50" s="68">
        <v>0</v>
      </c>
      <c r="U50" s="5">
        <v>0</v>
      </c>
      <c r="V50" s="75">
        <v>0</v>
      </c>
      <c r="W50" s="142"/>
      <c r="X50" s="142"/>
    </row>
    <row r="51" spans="2:24" x14ac:dyDescent="0.35">
      <c r="B51" s="241" t="s">
        <v>765</v>
      </c>
      <c r="C51" s="242"/>
      <c r="D51" s="68">
        <v>0</v>
      </c>
      <c r="E51" s="5">
        <v>0</v>
      </c>
      <c r="F51" s="75">
        <v>0</v>
      </c>
      <c r="G51" s="142"/>
      <c r="H51" s="142"/>
      <c r="J51" s="241" t="s">
        <v>765</v>
      </c>
      <c r="K51" s="242"/>
      <c r="L51" s="68">
        <v>0</v>
      </c>
      <c r="M51" s="5">
        <v>0</v>
      </c>
      <c r="N51" s="75">
        <v>0</v>
      </c>
      <c r="O51" s="142"/>
      <c r="P51" s="142"/>
      <c r="R51" s="241" t="s">
        <v>765</v>
      </c>
      <c r="S51" s="242"/>
      <c r="T51" s="68">
        <v>0</v>
      </c>
      <c r="U51" s="5">
        <v>0</v>
      </c>
      <c r="V51" s="75">
        <v>0</v>
      </c>
      <c r="W51" s="142"/>
      <c r="X51" s="142"/>
    </row>
    <row r="52" spans="2:24" x14ac:dyDescent="0.35">
      <c r="B52" s="241" t="s">
        <v>784</v>
      </c>
      <c r="C52" s="242"/>
      <c r="D52" s="68">
        <v>0</v>
      </c>
      <c r="E52" s="5">
        <v>0</v>
      </c>
      <c r="F52" s="75">
        <v>0</v>
      </c>
      <c r="G52" s="142"/>
      <c r="H52" s="142"/>
      <c r="J52" s="241" t="s">
        <v>784</v>
      </c>
      <c r="K52" s="242"/>
      <c r="L52" s="68">
        <v>0</v>
      </c>
      <c r="M52" s="5">
        <v>0</v>
      </c>
      <c r="N52" s="75">
        <v>0</v>
      </c>
      <c r="O52" s="142"/>
      <c r="P52" s="142"/>
      <c r="R52" s="241" t="s">
        <v>784</v>
      </c>
      <c r="S52" s="242"/>
      <c r="T52" s="68">
        <v>0</v>
      </c>
      <c r="U52" s="5">
        <v>0</v>
      </c>
      <c r="V52" s="75">
        <v>0</v>
      </c>
      <c r="W52" s="142"/>
      <c r="X52" s="142"/>
    </row>
    <row r="53" spans="2:24" x14ac:dyDescent="0.35">
      <c r="B53" s="241" t="s">
        <v>766</v>
      </c>
      <c r="C53" s="242"/>
      <c r="D53" s="68">
        <v>0</v>
      </c>
      <c r="E53" s="5">
        <v>0</v>
      </c>
      <c r="F53" s="75">
        <v>0</v>
      </c>
      <c r="G53" s="142"/>
      <c r="H53" s="142"/>
      <c r="J53" s="241" t="s">
        <v>766</v>
      </c>
      <c r="K53" s="242"/>
      <c r="L53" s="68">
        <v>0</v>
      </c>
      <c r="M53" s="5">
        <v>0</v>
      </c>
      <c r="N53" s="75">
        <v>0</v>
      </c>
      <c r="O53" s="142"/>
      <c r="P53" s="142"/>
      <c r="R53" s="241" t="s">
        <v>766</v>
      </c>
      <c r="S53" s="242"/>
      <c r="T53" s="68">
        <v>0</v>
      </c>
      <c r="U53" s="5">
        <v>0</v>
      </c>
      <c r="V53" s="75">
        <v>0</v>
      </c>
      <c r="W53" s="142"/>
      <c r="X53" s="142"/>
    </row>
    <row r="54" spans="2:24" x14ac:dyDescent="0.35">
      <c r="B54" s="241" t="s">
        <v>772</v>
      </c>
      <c r="C54" s="242"/>
      <c r="D54" s="68">
        <v>0</v>
      </c>
      <c r="E54" s="5">
        <v>0</v>
      </c>
      <c r="F54" s="75">
        <v>0</v>
      </c>
      <c r="G54" s="142"/>
      <c r="H54" s="142"/>
      <c r="J54" s="241" t="s">
        <v>772</v>
      </c>
      <c r="K54" s="242"/>
      <c r="L54" s="68">
        <v>0</v>
      </c>
      <c r="M54" s="5">
        <v>0</v>
      </c>
      <c r="N54" s="75">
        <v>0</v>
      </c>
      <c r="O54" s="142"/>
      <c r="P54" s="142"/>
      <c r="R54" s="241" t="s">
        <v>772</v>
      </c>
      <c r="S54" s="242"/>
      <c r="T54" s="68">
        <v>0</v>
      </c>
      <c r="U54" s="5">
        <v>0</v>
      </c>
      <c r="V54" s="75">
        <v>0</v>
      </c>
      <c r="W54" s="142"/>
      <c r="X54" s="142"/>
    </row>
    <row r="55" spans="2:24" x14ac:dyDescent="0.35">
      <c r="B55" s="241" t="s">
        <v>770</v>
      </c>
      <c r="C55" s="242"/>
      <c r="D55" s="68">
        <v>0</v>
      </c>
      <c r="E55" s="5">
        <v>0</v>
      </c>
      <c r="F55" s="75">
        <v>0</v>
      </c>
      <c r="G55" s="142"/>
      <c r="H55" s="142"/>
      <c r="J55" s="241" t="s">
        <v>770</v>
      </c>
      <c r="K55" s="242"/>
      <c r="L55" s="68">
        <v>0</v>
      </c>
      <c r="M55" s="5">
        <v>0</v>
      </c>
      <c r="N55" s="75">
        <v>0</v>
      </c>
      <c r="O55" s="142"/>
      <c r="P55" s="142"/>
      <c r="R55" s="241" t="s">
        <v>770</v>
      </c>
      <c r="S55" s="242"/>
      <c r="T55" s="68">
        <v>0</v>
      </c>
      <c r="U55" s="5">
        <v>0</v>
      </c>
      <c r="V55" s="75">
        <v>0</v>
      </c>
      <c r="W55" s="142"/>
      <c r="X55" s="142"/>
    </row>
    <row r="56" spans="2:24" x14ac:dyDescent="0.35">
      <c r="B56" s="241" t="s">
        <v>764</v>
      </c>
      <c r="C56" s="242"/>
      <c r="D56" s="68">
        <v>0</v>
      </c>
      <c r="E56" s="5">
        <v>0</v>
      </c>
      <c r="F56" s="75">
        <v>0</v>
      </c>
      <c r="G56" s="142"/>
      <c r="H56" s="142"/>
      <c r="J56" s="241" t="s">
        <v>764</v>
      </c>
      <c r="K56" s="242"/>
      <c r="L56" s="68">
        <v>0</v>
      </c>
      <c r="M56" s="5">
        <v>0</v>
      </c>
      <c r="N56" s="75">
        <v>0</v>
      </c>
      <c r="O56" s="142"/>
      <c r="P56" s="142"/>
      <c r="R56" s="241" t="s">
        <v>764</v>
      </c>
      <c r="S56" s="242"/>
      <c r="T56" s="68">
        <v>0</v>
      </c>
      <c r="U56" s="5">
        <v>0</v>
      </c>
      <c r="V56" s="75">
        <v>0</v>
      </c>
      <c r="W56" s="142"/>
      <c r="X56" s="142"/>
    </row>
    <row r="57" spans="2:24" x14ac:dyDescent="0.35">
      <c r="B57" s="241" t="s">
        <v>768</v>
      </c>
      <c r="C57" s="242"/>
      <c r="D57" s="68">
        <v>0</v>
      </c>
      <c r="E57" s="5">
        <v>0</v>
      </c>
      <c r="F57" s="150">
        <v>0</v>
      </c>
      <c r="G57" s="140"/>
      <c r="H57" s="142"/>
      <c r="J57" s="241" t="s">
        <v>768</v>
      </c>
      <c r="K57" s="242"/>
      <c r="L57" s="68">
        <v>0</v>
      </c>
      <c r="M57" s="5">
        <v>0</v>
      </c>
      <c r="N57" s="150">
        <v>0</v>
      </c>
      <c r="O57" s="140"/>
      <c r="P57" s="142"/>
      <c r="R57" s="241" t="s">
        <v>768</v>
      </c>
      <c r="S57" s="242"/>
      <c r="T57" s="68">
        <v>0</v>
      </c>
      <c r="U57" s="5">
        <v>0</v>
      </c>
      <c r="V57" s="150">
        <v>0</v>
      </c>
      <c r="W57" s="140"/>
      <c r="X57" s="142"/>
    </row>
    <row r="58" spans="2:24" x14ac:dyDescent="0.35">
      <c r="B58" s="241" t="s">
        <v>785</v>
      </c>
      <c r="C58" s="242"/>
      <c r="D58" s="68">
        <v>0</v>
      </c>
      <c r="E58" s="5">
        <v>0</v>
      </c>
      <c r="F58" s="150">
        <v>0</v>
      </c>
      <c r="G58" s="148"/>
      <c r="H58" s="147"/>
      <c r="J58" s="241" t="s">
        <v>785</v>
      </c>
      <c r="K58" s="242"/>
      <c r="L58" s="68">
        <v>0</v>
      </c>
      <c r="M58" s="5">
        <v>0</v>
      </c>
      <c r="N58" s="150">
        <v>0</v>
      </c>
      <c r="O58" s="148"/>
      <c r="P58" s="147"/>
      <c r="R58" s="241" t="s">
        <v>785</v>
      </c>
      <c r="S58" s="242"/>
      <c r="T58" s="68">
        <v>0</v>
      </c>
      <c r="U58" s="5">
        <v>0</v>
      </c>
      <c r="V58" s="150">
        <v>0</v>
      </c>
      <c r="W58" s="148"/>
      <c r="X58" s="147"/>
    </row>
    <row r="59" spans="2:24" x14ac:dyDescent="0.35">
      <c r="B59" s="241" t="s">
        <v>786</v>
      </c>
      <c r="C59" s="242"/>
      <c r="D59" s="68">
        <v>0</v>
      </c>
      <c r="E59" s="5">
        <v>0</v>
      </c>
      <c r="F59" s="150">
        <v>0</v>
      </c>
      <c r="G59" s="147"/>
      <c r="H59" s="149"/>
      <c r="J59" s="241" t="s">
        <v>786</v>
      </c>
      <c r="K59" s="242"/>
      <c r="L59" s="68">
        <v>0</v>
      </c>
      <c r="M59" s="5">
        <v>0</v>
      </c>
      <c r="N59" s="150">
        <v>0</v>
      </c>
      <c r="O59" s="147"/>
      <c r="P59" s="149"/>
      <c r="R59" s="241" t="s">
        <v>786</v>
      </c>
      <c r="S59" s="242"/>
      <c r="T59" s="68">
        <v>0</v>
      </c>
      <c r="U59" s="5">
        <v>0</v>
      </c>
      <c r="V59" s="150">
        <v>0</v>
      </c>
      <c r="W59" s="147"/>
      <c r="X59" s="149"/>
    </row>
    <row r="60" spans="2:24" x14ac:dyDescent="0.35">
      <c r="B60" s="241" t="s">
        <v>771</v>
      </c>
      <c r="C60" s="242"/>
      <c r="D60" s="68">
        <v>0</v>
      </c>
      <c r="E60" s="5">
        <v>0</v>
      </c>
      <c r="F60" s="75">
        <v>0</v>
      </c>
      <c r="G60" s="144"/>
      <c r="H60" s="145"/>
      <c r="J60" s="241" t="s">
        <v>771</v>
      </c>
      <c r="K60" s="242"/>
      <c r="L60" s="68">
        <v>0</v>
      </c>
      <c r="M60" s="5">
        <v>0</v>
      </c>
      <c r="N60" s="75">
        <v>0</v>
      </c>
      <c r="O60" s="144"/>
      <c r="P60" s="145"/>
      <c r="R60" s="241" t="s">
        <v>771</v>
      </c>
      <c r="S60" s="242"/>
      <c r="T60" s="68">
        <v>0</v>
      </c>
      <c r="U60" s="5">
        <v>0</v>
      </c>
      <c r="V60" s="75">
        <v>0</v>
      </c>
      <c r="W60" s="144"/>
      <c r="X60" s="145"/>
    </row>
    <row r="61" spans="2:24" x14ac:dyDescent="0.35">
      <c r="B61" s="241" t="s">
        <v>787</v>
      </c>
      <c r="C61" s="242"/>
      <c r="D61" s="68">
        <v>0</v>
      </c>
      <c r="E61" s="5">
        <v>0</v>
      </c>
      <c r="F61" s="75">
        <v>0</v>
      </c>
      <c r="G61" s="144"/>
      <c r="H61" s="145"/>
      <c r="J61" s="241" t="s">
        <v>787</v>
      </c>
      <c r="K61" s="242"/>
      <c r="L61" s="68">
        <v>0</v>
      </c>
      <c r="M61" s="5">
        <v>0</v>
      </c>
      <c r="N61" s="75">
        <v>0</v>
      </c>
      <c r="O61" s="144"/>
      <c r="P61" s="145"/>
      <c r="R61" s="241" t="s">
        <v>787</v>
      </c>
      <c r="S61" s="242"/>
      <c r="T61" s="68">
        <v>0</v>
      </c>
      <c r="U61" s="5">
        <v>0</v>
      </c>
      <c r="V61" s="75">
        <v>0</v>
      </c>
      <c r="W61" s="144"/>
      <c r="X61" s="145"/>
    </row>
    <row r="62" spans="2:24" x14ac:dyDescent="0.35">
      <c r="B62" s="241" t="s">
        <v>788</v>
      </c>
      <c r="C62" s="242"/>
      <c r="D62" s="68">
        <v>0</v>
      </c>
      <c r="E62" s="5">
        <v>0</v>
      </c>
      <c r="F62" s="75">
        <v>0</v>
      </c>
      <c r="G62" s="144"/>
      <c r="H62" s="145"/>
      <c r="J62" s="241" t="s">
        <v>788</v>
      </c>
      <c r="K62" s="242"/>
      <c r="L62" s="68">
        <v>0</v>
      </c>
      <c r="M62" s="5">
        <v>0</v>
      </c>
      <c r="N62" s="75">
        <v>0</v>
      </c>
      <c r="O62" s="144"/>
      <c r="P62" s="145"/>
      <c r="R62" s="241" t="s">
        <v>788</v>
      </c>
      <c r="S62" s="242"/>
      <c r="T62" s="68">
        <v>0</v>
      </c>
      <c r="U62" s="5">
        <v>0</v>
      </c>
      <c r="V62" s="75">
        <v>0</v>
      </c>
      <c r="W62" s="144"/>
      <c r="X62" s="145"/>
    </row>
    <row r="63" spans="2:24" x14ac:dyDescent="0.35">
      <c r="B63" s="241" t="s">
        <v>763</v>
      </c>
      <c r="C63" s="242"/>
      <c r="D63" s="68">
        <v>0</v>
      </c>
      <c r="E63" s="5">
        <v>0</v>
      </c>
      <c r="F63" s="75">
        <v>0</v>
      </c>
      <c r="G63" s="144"/>
      <c r="H63" s="145"/>
      <c r="J63" s="241" t="s">
        <v>763</v>
      </c>
      <c r="K63" s="242"/>
      <c r="L63" s="68">
        <v>0</v>
      </c>
      <c r="M63" s="5">
        <v>0</v>
      </c>
      <c r="N63" s="75">
        <v>0</v>
      </c>
      <c r="O63" s="144"/>
      <c r="P63" s="145"/>
      <c r="R63" s="241" t="s">
        <v>763</v>
      </c>
      <c r="S63" s="242"/>
      <c r="T63" s="68">
        <v>0</v>
      </c>
      <c r="U63" s="5">
        <v>0</v>
      </c>
      <c r="V63" s="75">
        <v>0</v>
      </c>
      <c r="W63" s="144"/>
      <c r="X63" s="145"/>
    </row>
    <row r="64" spans="2:24" x14ac:dyDescent="0.35">
      <c r="B64" s="241" t="s">
        <v>767</v>
      </c>
      <c r="C64" s="242"/>
      <c r="D64" s="68">
        <v>0</v>
      </c>
      <c r="E64" s="5">
        <v>0</v>
      </c>
      <c r="F64" s="75">
        <v>0</v>
      </c>
      <c r="G64" s="144"/>
      <c r="H64" s="145"/>
      <c r="J64" s="241" t="s">
        <v>767</v>
      </c>
      <c r="K64" s="242"/>
      <c r="L64" s="68">
        <v>0</v>
      </c>
      <c r="M64" s="5">
        <v>0</v>
      </c>
      <c r="N64" s="75">
        <v>0</v>
      </c>
      <c r="O64" s="144"/>
      <c r="P64" s="145"/>
      <c r="R64" s="241" t="s">
        <v>767</v>
      </c>
      <c r="S64" s="242"/>
      <c r="T64" s="68">
        <v>0</v>
      </c>
      <c r="U64" s="5">
        <v>0</v>
      </c>
      <c r="V64" s="75">
        <v>0</v>
      </c>
      <c r="W64" s="144"/>
      <c r="X64" s="145"/>
    </row>
    <row r="65" spans="2:24" x14ac:dyDescent="0.35">
      <c r="B65" s="241" t="s">
        <v>789</v>
      </c>
      <c r="C65" s="242"/>
      <c r="D65" s="68">
        <v>0</v>
      </c>
      <c r="E65" s="5">
        <v>0</v>
      </c>
      <c r="F65" s="75">
        <v>0</v>
      </c>
      <c r="G65" s="144"/>
      <c r="H65" s="145"/>
      <c r="J65" s="241" t="s">
        <v>789</v>
      </c>
      <c r="K65" s="242"/>
      <c r="L65" s="68">
        <v>0</v>
      </c>
      <c r="M65" s="5">
        <v>0</v>
      </c>
      <c r="N65" s="75">
        <v>0</v>
      </c>
      <c r="O65" s="144"/>
      <c r="P65" s="145"/>
      <c r="R65" s="241" t="s">
        <v>789</v>
      </c>
      <c r="S65" s="242"/>
      <c r="T65" s="68">
        <v>0</v>
      </c>
      <c r="U65" s="5">
        <v>0</v>
      </c>
      <c r="V65" s="75">
        <v>0</v>
      </c>
      <c r="W65" s="144"/>
      <c r="X65" s="145"/>
    </row>
    <row r="66" spans="2:24" x14ac:dyDescent="0.35">
      <c r="B66" s="241" t="s">
        <v>790</v>
      </c>
      <c r="C66" s="242"/>
      <c r="D66" s="68">
        <v>0</v>
      </c>
      <c r="E66" s="5">
        <v>0</v>
      </c>
      <c r="F66" s="75">
        <v>0</v>
      </c>
      <c r="G66" s="144"/>
      <c r="H66" s="145"/>
      <c r="J66" s="241" t="s">
        <v>790</v>
      </c>
      <c r="K66" s="242"/>
      <c r="L66" s="68">
        <v>0</v>
      </c>
      <c r="M66" s="5">
        <v>0</v>
      </c>
      <c r="N66" s="75">
        <v>0</v>
      </c>
      <c r="O66" s="144"/>
      <c r="P66" s="145"/>
      <c r="R66" s="241" t="s">
        <v>790</v>
      </c>
      <c r="S66" s="242"/>
      <c r="T66" s="68">
        <v>0</v>
      </c>
      <c r="U66" s="5">
        <v>0</v>
      </c>
      <c r="V66" s="75">
        <v>0</v>
      </c>
      <c r="W66" s="144"/>
      <c r="X66" s="145"/>
    </row>
    <row r="67" spans="2:24" ht="15" thickBot="1" x14ac:dyDescent="0.4">
      <c r="B67" s="247" t="s">
        <v>769</v>
      </c>
      <c r="C67" s="248"/>
      <c r="D67" s="74">
        <v>0</v>
      </c>
      <c r="E67" s="17">
        <v>0</v>
      </c>
      <c r="F67" s="76">
        <v>0</v>
      </c>
      <c r="G67" s="133"/>
      <c r="H67" s="146"/>
      <c r="J67" s="247" t="s">
        <v>769</v>
      </c>
      <c r="K67" s="248"/>
      <c r="L67" s="74">
        <v>0</v>
      </c>
      <c r="M67" s="17">
        <v>0</v>
      </c>
      <c r="N67" s="76">
        <v>0</v>
      </c>
      <c r="O67" s="133"/>
      <c r="P67" s="146"/>
      <c r="R67" s="247" t="s">
        <v>769</v>
      </c>
      <c r="S67" s="248"/>
      <c r="T67" s="74">
        <v>0</v>
      </c>
      <c r="U67" s="17">
        <v>0</v>
      </c>
      <c r="V67" s="76">
        <v>0</v>
      </c>
      <c r="W67" s="133"/>
      <c r="X67" s="146"/>
    </row>
    <row r="68" spans="2:24" x14ac:dyDescent="0.35">
      <c r="I68" s="1"/>
      <c r="J68" s="1"/>
      <c r="K68" s="5"/>
      <c r="R68" s="1"/>
      <c r="S68" s="5"/>
    </row>
    <row r="69" spans="2:24" ht="15" thickBot="1" x14ac:dyDescent="0.4">
      <c r="C69" s="1"/>
      <c r="D69" s="1"/>
      <c r="E69" s="1"/>
      <c r="F69" s="1"/>
      <c r="G69" s="1"/>
      <c r="H69" s="1"/>
      <c r="J69" s="1"/>
      <c r="K69" s="1"/>
      <c r="L69" s="1"/>
      <c r="M69" s="1"/>
      <c r="N69" s="1"/>
      <c r="O69" s="1"/>
      <c r="P69" s="1"/>
      <c r="Q69" s="1"/>
      <c r="R69" s="1"/>
      <c r="S69" s="1"/>
      <c r="T69" s="1"/>
      <c r="U69" s="1"/>
      <c r="V69" s="1"/>
      <c r="W69" s="1"/>
      <c r="X69" s="1"/>
    </row>
    <row r="70" spans="2:24" ht="15" thickBot="1" x14ac:dyDescent="0.4">
      <c r="B70" s="245" t="s">
        <v>822</v>
      </c>
      <c r="C70" s="246"/>
      <c r="J70" s="245" t="s">
        <v>822</v>
      </c>
      <c r="K70" s="246"/>
      <c r="R70" s="245" t="s">
        <v>822</v>
      </c>
      <c r="S70" s="246"/>
    </row>
    <row r="71" spans="2:24" x14ac:dyDescent="0.35">
      <c r="B71" s="80"/>
      <c r="C71" s="81" t="s">
        <v>826</v>
      </c>
      <c r="J71" s="80"/>
      <c r="K71" s="81" t="s">
        <v>826</v>
      </c>
      <c r="R71" s="80"/>
      <c r="S71" s="81" t="s">
        <v>826</v>
      </c>
    </row>
    <row r="72" spans="2:24" x14ac:dyDescent="0.35">
      <c r="B72" s="4" t="s">
        <v>823</v>
      </c>
      <c r="C72" s="122">
        <v>0</v>
      </c>
      <c r="J72" s="4" t="s">
        <v>823</v>
      </c>
      <c r="K72" s="122">
        <v>0</v>
      </c>
      <c r="R72" s="4" t="s">
        <v>823</v>
      </c>
      <c r="S72" s="122">
        <v>0</v>
      </c>
    </row>
    <row r="73" spans="2:24" x14ac:dyDescent="0.35">
      <c r="B73" s="4" t="s">
        <v>824</v>
      </c>
      <c r="C73" s="122">
        <v>0</v>
      </c>
      <c r="J73" s="4" t="s">
        <v>824</v>
      </c>
      <c r="K73" s="122">
        <v>0</v>
      </c>
      <c r="R73" s="4" t="s">
        <v>824</v>
      </c>
      <c r="S73" s="122">
        <v>0</v>
      </c>
    </row>
    <row r="74" spans="2:24" ht="15" thickBot="1" x14ac:dyDescent="0.4">
      <c r="B74" s="13" t="s">
        <v>825</v>
      </c>
      <c r="C74" s="123">
        <v>0</v>
      </c>
      <c r="J74" s="13" t="s">
        <v>825</v>
      </c>
      <c r="K74" s="123">
        <v>0</v>
      </c>
      <c r="R74" s="13" t="s">
        <v>825</v>
      </c>
      <c r="S74" s="123">
        <v>0</v>
      </c>
    </row>
    <row r="75" spans="2:24" x14ac:dyDescent="0.35">
      <c r="J75" s="1"/>
      <c r="K75" s="1"/>
      <c r="L75" s="1"/>
      <c r="M75" s="1"/>
      <c r="N75" s="37"/>
      <c r="O75" s="1"/>
      <c r="P75" s="1"/>
    </row>
    <row r="86" spans="3:24" x14ac:dyDescent="0.35">
      <c r="C86" s="2"/>
      <c r="I86" s="27"/>
      <c r="J86" s="27"/>
      <c r="K86" s="27"/>
      <c r="L86" s="27"/>
      <c r="M86" s="27"/>
      <c r="N86" s="27"/>
      <c r="O86" s="27"/>
      <c r="P86" s="27"/>
    </row>
    <row r="87" spans="3:24" x14ac:dyDescent="0.35">
      <c r="C87" s="10"/>
      <c r="D87" s="27"/>
      <c r="E87" s="27"/>
      <c r="F87" s="27"/>
      <c r="G87" s="27"/>
      <c r="H87" s="27"/>
      <c r="Q87" s="27"/>
      <c r="R87" s="27"/>
      <c r="S87" s="27"/>
      <c r="T87" s="27"/>
      <c r="U87" s="27"/>
      <c r="V87" s="27"/>
      <c r="W87" s="27"/>
      <c r="X87" s="27"/>
    </row>
    <row r="88" spans="3:24" x14ac:dyDescent="0.35">
      <c r="C88" s="12"/>
      <c r="I88" s="12"/>
      <c r="J88" s="12"/>
      <c r="K88" s="12"/>
      <c r="L88" s="12"/>
      <c r="M88" s="12"/>
      <c r="N88" s="12"/>
      <c r="O88" s="12"/>
      <c r="P88" s="12"/>
    </row>
    <row r="89" spans="3:24" x14ac:dyDescent="0.35">
      <c r="C89" s="12"/>
      <c r="D89" s="12"/>
      <c r="E89" s="12"/>
      <c r="F89" s="12"/>
      <c r="G89" s="12"/>
      <c r="H89" s="12"/>
      <c r="I89" s="1"/>
      <c r="J89" s="1"/>
      <c r="K89" s="1"/>
      <c r="L89" s="1"/>
      <c r="M89" s="1"/>
      <c r="N89" s="1"/>
      <c r="O89" s="1"/>
      <c r="P89" s="1"/>
      <c r="Q89" s="12"/>
      <c r="R89" s="12"/>
      <c r="S89" s="12"/>
      <c r="T89" s="12"/>
      <c r="U89" s="12"/>
      <c r="V89" s="12"/>
      <c r="W89" s="12"/>
      <c r="X89" s="12"/>
    </row>
    <row r="90" spans="3:24" x14ac:dyDescent="0.35">
      <c r="C90" s="1"/>
      <c r="D90" s="1"/>
      <c r="E90" s="1"/>
      <c r="F90" s="1"/>
      <c r="G90" s="1"/>
      <c r="H90" s="1"/>
      <c r="I90" s="1"/>
      <c r="J90" s="1"/>
      <c r="K90" s="1"/>
      <c r="L90" s="1"/>
      <c r="M90" s="1"/>
      <c r="N90" s="1"/>
      <c r="O90" s="1"/>
      <c r="P90" s="1"/>
      <c r="Q90" s="1"/>
      <c r="R90" s="1"/>
      <c r="S90" s="1"/>
      <c r="T90" s="1"/>
      <c r="U90" s="1"/>
      <c r="V90" s="1"/>
      <c r="W90" s="1"/>
      <c r="X90" s="1"/>
    </row>
    <row r="91" spans="3:24" x14ac:dyDescent="0.35">
      <c r="C91" s="1"/>
      <c r="D91" s="1"/>
      <c r="E91" s="1"/>
      <c r="F91" s="1"/>
      <c r="G91" s="1"/>
      <c r="H91" s="1"/>
      <c r="I91" s="1"/>
      <c r="J91" s="1"/>
      <c r="K91" s="1"/>
      <c r="L91" s="1"/>
      <c r="M91" s="1"/>
      <c r="N91" s="1"/>
      <c r="O91" s="1"/>
      <c r="P91" s="1"/>
      <c r="Q91" s="1"/>
      <c r="R91" s="1"/>
      <c r="S91" s="1"/>
      <c r="T91" s="1"/>
      <c r="U91" s="1"/>
      <c r="V91" s="1"/>
      <c r="W91" s="1"/>
      <c r="X91" s="1"/>
    </row>
    <row r="92" spans="3:24" x14ac:dyDescent="0.35">
      <c r="C92" s="1"/>
      <c r="D92" s="1"/>
      <c r="E92" s="1"/>
      <c r="F92" s="1"/>
      <c r="G92" s="1"/>
      <c r="H92" s="1"/>
      <c r="I92" s="1"/>
      <c r="J92" s="1"/>
      <c r="K92" s="1"/>
      <c r="L92" s="1"/>
      <c r="M92" s="1"/>
      <c r="N92" s="1"/>
      <c r="O92" s="1"/>
      <c r="P92" s="1"/>
      <c r="Q92" s="1"/>
      <c r="R92" s="1"/>
      <c r="S92" s="1"/>
      <c r="T92" s="1"/>
      <c r="U92" s="1"/>
      <c r="V92" s="1"/>
      <c r="W92" s="1"/>
      <c r="X92" s="1"/>
    </row>
    <row r="93" spans="3:24" x14ac:dyDescent="0.35">
      <c r="C93" s="1"/>
      <c r="D93" s="1"/>
      <c r="E93" s="1"/>
      <c r="F93" s="1"/>
      <c r="G93" s="1"/>
      <c r="H93" s="1"/>
      <c r="I93" s="1"/>
      <c r="J93" s="1"/>
      <c r="K93" s="1"/>
      <c r="L93" s="1"/>
      <c r="M93" s="1"/>
      <c r="N93" s="1"/>
      <c r="O93" s="1"/>
      <c r="P93" s="1"/>
      <c r="Q93" s="1"/>
      <c r="R93" s="1"/>
      <c r="S93" s="1"/>
      <c r="T93" s="1"/>
      <c r="U93" s="1"/>
      <c r="V93" s="1"/>
      <c r="W93" s="1"/>
      <c r="X93" s="1"/>
    </row>
    <row r="94" spans="3:24" x14ac:dyDescent="0.35">
      <c r="C94" s="1"/>
      <c r="D94" s="1"/>
      <c r="E94" s="1"/>
      <c r="F94" s="1"/>
      <c r="G94" s="1"/>
      <c r="H94" s="1"/>
      <c r="I94" s="1"/>
      <c r="J94" s="1"/>
      <c r="K94" s="1"/>
      <c r="L94" s="1"/>
      <c r="M94" s="1"/>
      <c r="N94" s="1"/>
      <c r="O94" s="1"/>
      <c r="P94" s="1"/>
      <c r="Q94" s="1"/>
      <c r="R94" s="1"/>
      <c r="S94" s="1"/>
      <c r="T94" s="1"/>
      <c r="U94" s="1"/>
      <c r="V94" s="1"/>
      <c r="W94" s="1"/>
      <c r="X94" s="1"/>
    </row>
    <row r="95" spans="3:24" x14ac:dyDescent="0.35">
      <c r="C95" s="1"/>
      <c r="D95" s="1"/>
      <c r="E95" s="1"/>
      <c r="F95" s="1"/>
      <c r="G95" s="1"/>
      <c r="H95" s="1"/>
      <c r="I95" s="1"/>
      <c r="J95" s="1"/>
      <c r="K95" s="1"/>
      <c r="L95" s="1"/>
      <c r="M95" s="1"/>
      <c r="N95" s="1"/>
      <c r="O95" s="1"/>
      <c r="P95" s="1"/>
      <c r="Q95" s="1"/>
      <c r="R95" s="1"/>
      <c r="S95" s="1"/>
      <c r="T95" s="1"/>
      <c r="U95" s="1"/>
      <c r="V95" s="1"/>
      <c r="W95" s="1"/>
      <c r="X95" s="1"/>
    </row>
    <row r="96" spans="3:24" x14ac:dyDescent="0.35">
      <c r="C96" s="1"/>
      <c r="D96" s="1"/>
      <c r="E96" s="1"/>
      <c r="F96" s="1"/>
      <c r="G96" s="1"/>
      <c r="H96" s="1"/>
      <c r="I96" s="1"/>
      <c r="J96" s="1"/>
      <c r="K96" s="1"/>
      <c r="L96" s="1"/>
      <c r="M96" s="1"/>
      <c r="N96" s="1"/>
      <c r="O96" s="1"/>
      <c r="P96" s="1"/>
      <c r="Q96" s="1"/>
      <c r="R96" s="1"/>
      <c r="S96" s="1"/>
      <c r="T96" s="1"/>
      <c r="U96" s="1"/>
      <c r="V96" s="1"/>
      <c r="W96" s="1"/>
      <c r="X96" s="1"/>
    </row>
    <row r="97" spans="2:24" x14ac:dyDescent="0.35">
      <c r="C97" s="1"/>
      <c r="D97" s="1"/>
      <c r="E97" s="1"/>
      <c r="F97" s="1"/>
      <c r="G97" s="1"/>
      <c r="H97" s="1"/>
      <c r="I97" s="1"/>
      <c r="J97" s="1"/>
      <c r="K97" s="1"/>
      <c r="L97" s="1"/>
      <c r="M97" s="1"/>
      <c r="N97" s="1"/>
      <c r="O97" s="1"/>
      <c r="P97" s="1"/>
      <c r="Q97" s="1"/>
      <c r="R97" s="1"/>
      <c r="S97" s="1"/>
      <c r="T97" s="1"/>
      <c r="U97" s="1"/>
      <c r="V97" s="1"/>
      <c r="W97" s="1"/>
      <c r="X97" s="1"/>
    </row>
    <row r="98" spans="2:24" x14ac:dyDescent="0.35">
      <c r="C98" s="1"/>
      <c r="D98" s="1"/>
      <c r="E98" s="1"/>
      <c r="F98" s="1"/>
      <c r="G98" s="1"/>
      <c r="H98" s="1"/>
      <c r="I98" s="1"/>
      <c r="J98" s="1"/>
      <c r="K98" s="1"/>
      <c r="L98" s="1"/>
      <c r="M98" s="1"/>
      <c r="N98" s="1"/>
      <c r="O98" s="1"/>
      <c r="P98" s="1"/>
      <c r="Q98" s="1"/>
      <c r="R98" s="1"/>
      <c r="S98" s="1"/>
      <c r="T98" s="1"/>
      <c r="U98" s="1"/>
      <c r="V98" s="1"/>
      <c r="W98" s="1"/>
      <c r="X98" s="1"/>
    </row>
    <row r="99" spans="2:24" x14ac:dyDescent="0.35">
      <c r="C99" s="1"/>
      <c r="D99" s="1"/>
      <c r="E99" s="1"/>
      <c r="F99" s="1"/>
      <c r="G99" s="1"/>
      <c r="H99" s="1"/>
      <c r="I99" s="1"/>
      <c r="J99" s="1"/>
      <c r="K99" s="1"/>
      <c r="L99" s="1"/>
      <c r="M99" s="1"/>
      <c r="N99" s="1"/>
      <c r="O99" s="1"/>
      <c r="P99" s="1"/>
      <c r="Q99" s="1"/>
      <c r="R99" s="1"/>
      <c r="S99" s="1"/>
      <c r="T99" s="1"/>
      <c r="U99" s="1"/>
      <c r="V99" s="1"/>
      <c r="W99" s="1"/>
      <c r="X99" s="1"/>
    </row>
    <row r="100" spans="2:24" x14ac:dyDescent="0.35">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5">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5">
      <c r="C102" s="1"/>
      <c r="D102" s="1"/>
      <c r="E102" s="1"/>
      <c r="F102" s="1"/>
      <c r="G102" s="1"/>
      <c r="H102" s="1"/>
      <c r="Q102" s="1"/>
      <c r="R102" s="1"/>
      <c r="S102" s="1"/>
      <c r="T102" s="1"/>
      <c r="U102" s="1"/>
      <c r="V102" s="1"/>
      <c r="W102" s="1"/>
      <c r="X102" s="1"/>
    </row>
    <row r="109" spans="2:24" x14ac:dyDescent="0.35">
      <c r="B109" s="14"/>
    </row>
  </sheetData>
  <mergeCells count="90">
    <mergeCell ref="J64:K64"/>
    <mergeCell ref="J65:K65"/>
    <mergeCell ref="J66:K66"/>
    <mergeCell ref="J67:K67"/>
    <mergeCell ref="J70:K70"/>
    <mergeCell ref="J59:K59"/>
    <mergeCell ref="J60:K60"/>
    <mergeCell ref="J61:K61"/>
    <mergeCell ref="J62:K62"/>
    <mergeCell ref="J63:K63"/>
    <mergeCell ref="J54:K54"/>
    <mergeCell ref="J55:K55"/>
    <mergeCell ref="J56:K56"/>
    <mergeCell ref="J57:K57"/>
    <mergeCell ref="J58:K58"/>
    <mergeCell ref="J49:K49"/>
    <mergeCell ref="J50:K50"/>
    <mergeCell ref="J51:K51"/>
    <mergeCell ref="J52:K52"/>
    <mergeCell ref="J53:K53"/>
    <mergeCell ref="K39:K40"/>
    <mergeCell ref="L39:M40"/>
    <mergeCell ref="N39:N40"/>
    <mergeCell ref="J48:N48"/>
    <mergeCell ref="O48:P48"/>
    <mergeCell ref="J1:P1"/>
    <mergeCell ref="J29:M29"/>
    <mergeCell ref="J2:L2"/>
    <mergeCell ref="J16:L16"/>
    <mergeCell ref="J38:N38"/>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R54:S54"/>
    <mergeCell ref="R55:S55"/>
    <mergeCell ref="R56:S56"/>
    <mergeCell ref="R48:V48"/>
    <mergeCell ref="W48:X48"/>
    <mergeCell ref="R49:S49"/>
    <mergeCell ref="R50:S50"/>
    <mergeCell ref="R51:S51"/>
    <mergeCell ref="R2:T2"/>
    <mergeCell ref="R16:T16"/>
    <mergeCell ref="R29:U29"/>
    <mergeCell ref="R38:V38"/>
    <mergeCell ref="S39:S40"/>
    <mergeCell ref="T39:U40"/>
    <mergeCell ref="V39:V40"/>
    <mergeCell ref="B59:C59"/>
    <mergeCell ref="B61:C61"/>
    <mergeCell ref="B70:C70"/>
    <mergeCell ref="B60:C60"/>
    <mergeCell ref="B62:C62"/>
    <mergeCell ref="B63:C63"/>
    <mergeCell ref="B67:C67"/>
    <mergeCell ref="B64:C64"/>
    <mergeCell ref="B65:C65"/>
    <mergeCell ref="B66:C66"/>
    <mergeCell ref="B49:C49"/>
    <mergeCell ref="B50:C50"/>
    <mergeCell ref="B48:F48"/>
    <mergeCell ref="F39:F40"/>
    <mergeCell ref="B58:C58"/>
    <mergeCell ref="B51:C51"/>
    <mergeCell ref="B52:C52"/>
    <mergeCell ref="B54:C54"/>
    <mergeCell ref="B56:C56"/>
    <mergeCell ref="B57:C57"/>
    <mergeCell ref="B53:C53"/>
    <mergeCell ref="B55:C55"/>
    <mergeCell ref="G48:H48"/>
    <mergeCell ref="B2:D2"/>
    <mergeCell ref="D39:E40"/>
    <mergeCell ref="C39:C40"/>
    <mergeCell ref="B29:E29"/>
    <mergeCell ref="B16:D16"/>
    <mergeCell ref="B38:F3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zoomScale="80" zoomScaleNormal="80" workbookViewId="0">
      <selection activeCell="H14" sqref="H14"/>
    </sheetView>
  </sheetViews>
  <sheetFormatPr defaultColWidth="9.08984375" defaultRowHeight="14.5" x14ac:dyDescent="0.35"/>
  <cols>
    <col min="1" max="1" width="3.36328125" style="1" customWidth="1"/>
    <col min="2" max="2" width="37.36328125" style="1" customWidth="1"/>
    <col min="3" max="3" width="12.81640625" style="5" customWidth="1"/>
    <col min="4" max="4" width="13" style="15" customWidth="1"/>
    <col min="5" max="5" width="3.08984375" style="83" customWidth="1"/>
    <col min="6" max="6" width="16.36328125" style="1" customWidth="1"/>
    <col min="7" max="7" width="16.36328125" style="5" customWidth="1"/>
    <col min="8" max="8" width="3.08984375" style="5" customWidth="1"/>
    <col min="9" max="9" width="16.36328125" style="5" customWidth="1"/>
    <col min="10" max="10" width="15.81640625" style="5" customWidth="1"/>
    <col min="11" max="11" width="3.08984375" style="1" customWidth="1"/>
    <col min="12" max="14" width="9.08984375" style="1"/>
    <col min="15" max="15" width="37.36328125" style="1" customWidth="1"/>
    <col min="16" max="16" width="12.81640625" style="1" customWidth="1"/>
    <col min="17" max="17" width="13" style="1" customWidth="1"/>
    <col min="18" max="18" width="3.08984375" style="1" customWidth="1"/>
    <col min="19" max="20" width="16.36328125" style="1" customWidth="1"/>
    <col min="21" max="21" width="3.08984375" style="1" customWidth="1"/>
    <col min="22" max="23" width="16.36328125" style="1" customWidth="1"/>
    <col min="24" max="24" width="3.08984375" style="1" customWidth="1"/>
    <col min="25" max="26" width="16.36328125" style="1" customWidth="1"/>
    <col min="27" max="27" width="9.08984375" style="1"/>
    <col min="28" max="28" width="37.36328125" style="1" customWidth="1"/>
    <col min="29" max="29" width="12.81640625" style="1" customWidth="1"/>
    <col min="30" max="30" width="13" style="1" customWidth="1"/>
    <col min="31" max="31" width="3.08984375" style="1" customWidth="1"/>
    <col min="32" max="33" width="16.36328125" style="1" customWidth="1"/>
    <col min="34" max="34" width="3.08984375" style="1" customWidth="1"/>
    <col min="35" max="36" width="16.36328125" style="1" customWidth="1"/>
    <col min="37" max="37" width="3.08984375" style="1" customWidth="1"/>
    <col min="38" max="39" width="16.36328125" style="1" customWidth="1"/>
    <col min="40" max="16384" width="9.08984375" style="1"/>
  </cols>
  <sheetData>
    <row r="1" spans="2:30" ht="15" thickBot="1" x14ac:dyDescent="0.4"/>
    <row r="2" spans="2:30" ht="15" thickBot="1" x14ac:dyDescent="0.4">
      <c r="B2" s="251" t="s">
        <v>827</v>
      </c>
      <c r="C2" s="252"/>
      <c r="D2" s="253"/>
      <c r="O2" s="251" t="s">
        <v>988</v>
      </c>
      <c r="P2" s="252"/>
      <c r="Q2" s="253"/>
      <c r="AB2" s="251" t="s">
        <v>989</v>
      </c>
      <c r="AC2" s="252"/>
      <c r="AD2" s="253"/>
    </row>
    <row r="3" spans="2:30" ht="15" thickBot="1" x14ac:dyDescent="0.4">
      <c r="B3" s="33"/>
      <c r="C3" s="70"/>
      <c r="D3" s="128"/>
      <c r="F3" s="93" t="s">
        <v>867</v>
      </c>
      <c r="G3" s="93" t="s">
        <v>862</v>
      </c>
      <c r="H3" s="105" t="s">
        <v>861</v>
      </c>
      <c r="I3" s="106"/>
      <c r="J3" s="94" t="s">
        <v>865</v>
      </c>
      <c r="O3" s="33"/>
      <c r="P3" s="70"/>
      <c r="Q3" s="128"/>
      <c r="AB3" s="33"/>
      <c r="AC3" s="70"/>
      <c r="AD3" s="128"/>
    </row>
    <row r="4" spans="2:30" x14ac:dyDescent="0.35">
      <c r="B4" s="130" t="s">
        <v>880</v>
      </c>
      <c r="D4" s="6"/>
      <c r="F4" s="18" t="s">
        <v>858</v>
      </c>
      <c r="G4" s="100">
        <v>215</v>
      </c>
      <c r="H4" s="100">
        <v>129</v>
      </c>
      <c r="I4" s="95">
        <f>H4/G4</f>
        <v>0.6</v>
      </c>
      <c r="J4" s="102"/>
      <c r="O4" s="130" t="s">
        <v>880</v>
      </c>
      <c r="P4" s="5"/>
      <c r="Q4" s="6"/>
      <c r="AB4" s="130" t="s">
        <v>880</v>
      </c>
      <c r="AC4" s="5"/>
      <c r="AD4" s="6"/>
    </row>
    <row r="5" spans="2:30" x14ac:dyDescent="0.35">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4">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5">
      <c r="B7" s="3"/>
      <c r="C7" s="2"/>
      <c r="D7" s="34"/>
      <c r="O7" s="3"/>
      <c r="P7" s="2"/>
      <c r="Q7" s="34"/>
      <c r="AB7" s="3"/>
      <c r="AC7" s="2"/>
      <c r="AD7" s="34"/>
    </row>
    <row r="8" spans="2:30" x14ac:dyDescent="0.35">
      <c r="B8" s="3" t="s">
        <v>946</v>
      </c>
      <c r="C8" s="2">
        <v>0</v>
      </c>
      <c r="D8" s="34" t="str">
        <f>IF(OR(C6=0,C8=0),"-",C8/C6)</f>
        <v>-</v>
      </c>
      <c r="E8" s="121"/>
      <c r="O8" s="3" t="s">
        <v>946</v>
      </c>
      <c r="P8" s="2">
        <v>0</v>
      </c>
      <c r="Q8" s="34" t="str">
        <f>IF(OR(P6=0,P8=0),"-",P8/P6)</f>
        <v>-</v>
      </c>
      <c r="AB8" s="3" t="s">
        <v>946</v>
      </c>
      <c r="AC8" s="2">
        <v>0</v>
      </c>
      <c r="AD8" s="34" t="str">
        <f>IF(OR(AC6=0,AC8=0),"-",AC8/AC6)</f>
        <v>-</v>
      </c>
    </row>
    <row r="9" spans="2:30" x14ac:dyDescent="0.35">
      <c r="B9" s="71" t="s">
        <v>936</v>
      </c>
      <c r="C9" s="69">
        <v>0</v>
      </c>
      <c r="D9" s="86" t="str">
        <f>IF(OR($C$8=0,C9=0),"-",C9/$C$8)</f>
        <v>-</v>
      </c>
      <c r="E9" s="121"/>
      <c r="O9" s="71" t="s">
        <v>936</v>
      </c>
      <c r="P9" s="69">
        <v>0</v>
      </c>
      <c r="Q9" s="86" t="str">
        <f>IF(OR($C$8=0,P9=0),"-",P9/$C$8)</f>
        <v>-</v>
      </c>
      <c r="AB9" s="71" t="s">
        <v>936</v>
      </c>
      <c r="AC9" s="69">
        <v>0</v>
      </c>
      <c r="AD9" s="86" t="str">
        <f>IF(OR($C$8=0,AC9=0),"-",AC9/$C$8)</f>
        <v>-</v>
      </c>
    </row>
    <row r="10" spans="2:30" x14ac:dyDescent="0.35">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5">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5">
      <c r="B12" s="71"/>
      <c r="C12" s="69"/>
      <c r="D12" s="86"/>
      <c r="F12" s="24"/>
      <c r="G12" s="2"/>
      <c r="H12" s="2"/>
      <c r="I12" s="2"/>
      <c r="J12" s="2"/>
      <c r="O12" s="71"/>
      <c r="P12" s="69"/>
      <c r="Q12" s="86"/>
      <c r="AB12" s="71"/>
      <c r="AC12" s="69"/>
      <c r="AD12" s="86"/>
    </row>
    <row r="13" spans="2:30" s="24" customFormat="1" x14ac:dyDescent="0.35">
      <c r="B13" s="3" t="s">
        <v>947</v>
      </c>
      <c r="C13" s="157">
        <f>C6-C8</f>
        <v>0</v>
      </c>
      <c r="D13" s="158" t="str">
        <f>IF(OR($C$6=0,C13=0),"-",C13/$C$6)</f>
        <v>-</v>
      </c>
      <c r="E13" s="154"/>
      <c r="F13" s="259" t="s">
        <v>1008</v>
      </c>
      <c r="G13" s="260"/>
      <c r="H13" s="260"/>
      <c r="I13" s="5"/>
      <c r="J13" s="5"/>
      <c r="O13" s="3" t="s">
        <v>947</v>
      </c>
      <c r="P13" s="157">
        <f>P6-P8</f>
        <v>0</v>
      </c>
      <c r="Q13" s="158" t="str">
        <f>IF(OR($C$6=0,P13=0),"-",P13/$C$6)</f>
        <v>-</v>
      </c>
      <c r="AB13" s="3" t="s">
        <v>947</v>
      </c>
      <c r="AC13" s="157">
        <f>AC6-AC8</f>
        <v>0</v>
      </c>
      <c r="AD13" s="158" t="str">
        <f>IF(OR($C$6=0,AC13=0),"-",AC13/$C$6)</f>
        <v>-</v>
      </c>
    </row>
    <row r="14" spans="2:30" x14ac:dyDescent="0.35">
      <c r="B14" s="71"/>
      <c r="C14" s="69"/>
      <c r="D14" s="86"/>
      <c r="F14" s="221" t="s">
        <v>1010</v>
      </c>
      <c r="G14" s="220">
        <v>0</v>
      </c>
      <c r="H14" s="220"/>
      <c r="I14" s="2"/>
      <c r="J14" s="2"/>
      <c r="O14" s="71"/>
      <c r="P14" s="69"/>
      <c r="Q14" s="86"/>
      <c r="AB14" s="71"/>
      <c r="AC14" s="69"/>
      <c r="AD14" s="86"/>
    </row>
    <row r="15" spans="2:30" s="24" customFormat="1" x14ac:dyDescent="0.35">
      <c r="B15" s="3" t="s">
        <v>944</v>
      </c>
      <c r="C15" s="157">
        <v>0</v>
      </c>
      <c r="D15" s="158" t="str">
        <f>IF(OR($C$6=0,C15=0),"-",C15/$C$6)</f>
        <v>-</v>
      </c>
      <c r="E15" s="154"/>
      <c r="F15" s="221" t="s">
        <v>1009</v>
      </c>
      <c r="G15" s="222">
        <v>0</v>
      </c>
      <c r="H15" s="222"/>
      <c r="I15" s="5"/>
      <c r="J15" s="5"/>
      <c r="O15" s="3" t="s">
        <v>944</v>
      </c>
      <c r="P15" s="157">
        <v>0</v>
      </c>
      <c r="Q15" s="158" t="str">
        <f>IF(OR($C$6=0,P15=0),"-",P15/$C$6)</f>
        <v>-</v>
      </c>
      <c r="AB15" s="3" t="s">
        <v>944</v>
      </c>
      <c r="AC15" s="157">
        <v>0</v>
      </c>
      <c r="AD15" s="158" t="str">
        <f>IF(OR($C$6=0,AC15=0),"-",AC15/$C$6)</f>
        <v>-</v>
      </c>
    </row>
    <row r="16" spans="2:30" x14ac:dyDescent="0.35">
      <c r="B16" s="4" t="s">
        <v>950</v>
      </c>
      <c r="C16" s="69">
        <v>0</v>
      </c>
      <c r="D16" s="86" t="str">
        <f>IF(OR($C$8=0,C16=0),"-",C16/$C$8)</f>
        <v>-</v>
      </c>
      <c r="O16" s="4" t="s">
        <v>950</v>
      </c>
      <c r="P16" s="69">
        <v>0</v>
      </c>
      <c r="Q16" s="86" t="str">
        <f>IF(OR($C$8=0,P16=0),"-",P16/$C$8)</f>
        <v>-</v>
      </c>
      <c r="AB16" s="4" t="s">
        <v>950</v>
      </c>
      <c r="AC16" s="69">
        <v>0</v>
      </c>
      <c r="AD16" s="86" t="str">
        <f>IF(OR($C$8=0,AC16=0),"-",AC16/$C$8)</f>
        <v>-</v>
      </c>
    </row>
    <row r="17" spans="2:30" x14ac:dyDescent="0.35">
      <c r="B17" s="4" t="s">
        <v>948</v>
      </c>
      <c r="C17" s="69">
        <v>0</v>
      </c>
      <c r="D17" s="86" t="str">
        <f>IF(OR($C$8=0,C17=0),"-",C17/$C$8)</f>
        <v>-</v>
      </c>
      <c r="O17" s="4" t="s">
        <v>948</v>
      </c>
      <c r="P17" s="69">
        <v>0</v>
      </c>
      <c r="Q17" s="86" t="str">
        <f>IF(OR($C$8=0,P17=0),"-",P17/$C$8)</f>
        <v>-</v>
      </c>
      <c r="AB17" s="4" t="s">
        <v>948</v>
      </c>
      <c r="AC17" s="69">
        <v>0</v>
      </c>
      <c r="AD17" s="86" t="str">
        <f>IF(OR($C$8=0,AC17=0),"-",AC17/$C$8)</f>
        <v>-</v>
      </c>
    </row>
    <row r="18" spans="2:30" x14ac:dyDescent="0.35">
      <c r="B18" s="71"/>
      <c r="C18" s="69"/>
      <c r="D18" s="86"/>
      <c r="F18" s="24"/>
      <c r="G18" s="2"/>
      <c r="H18" s="2"/>
      <c r="I18" s="2"/>
      <c r="J18" s="2"/>
      <c r="O18" s="71"/>
      <c r="P18" s="69"/>
      <c r="Q18" s="86"/>
      <c r="AB18" s="71"/>
      <c r="AC18" s="69"/>
      <c r="AD18" s="86"/>
    </row>
    <row r="19" spans="2:30" s="24" customFormat="1" x14ac:dyDescent="0.35">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5">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5">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5">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5">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5">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5">
      <c r="B25" s="4"/>
      <c r="C25" s="69"/>
      <c r="D25" s="86"/>
      <c r="O25" s="4"/>
      <c r="P25" s="69"/>
      <c r="Q25" s="86"/>
      <c r="AB25" s="4"/>
      <c r="AC25" s="69"/>
      <c r="AD25" s="86"/>
    </row>
    <row r="26" spans="2:30" x14ac:dyDescent="0.35">
      <c r="B26" s="129" t="s">
        <v>879</v>
      </c>
      <c r="D26" s="6"/>
      <c r="O26" s="129" t="s">
        <v>879</v>
      </c>
      <c r="P26" s="5"/>
      <c r="Q26" s="6"/>
      <c r="AB26" s="129" t="s">
        <v>879</v>
      </c>
      <c r="AC26" s="5"/>
      <c r="AD26" s="6"/>
    </row>
    <row r="27" spans="2:30" x14ac:dyDescent="0.35">
      <c r="B27" s="3" t="s">
        <v>949</v>
      </c>
      <c r="C27" s="2">
        <v>0</v>
      </c>
      <c r="D27" s="89"/>
      <c r="O27" s="3" t="s">
        <v>949</v>
      </c>
      <c r="P27" s="2">
        <v>0</v>
      </c>
      <c r="Q27" s="89"/>
      <c r="AB27" s="3" t="s">
        <v>949</v>
      </c>
      <c r="AC27" s="2">
        <v>0</v>
      </c>
      <c r="AD27" s="89"/>
    </row>
    <row r="28" spans="2:30" x14ac:dyDescent="0.35">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5">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5">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5">
      <c r="B31" s="71"/>
      <c r="C31" s="69"/>
      <c r="D31" s="82"/>
      <c r="O31" s="71"/>
      <c r="P31" s="69"/>
      <c r="Q31" s="82"/>
      <c r="AB31" s="71"/>
      <c r="AC31" s="69"/>
      <c r="AD31" s="82"/>
    </row>
    <row r="32" spans="2:30" x14ac:dyDescent="0.35">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5">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5">
      <c r="B34" s="71"/>
      <c r="D34" s="6"/>
      <c r="O34" s="71"/>
      <c r="P34" s="5"/>
      <c r="Q34" s="6"/>
      <c r="AB34" s="71"/>
      <c r="AC34" s="5"/>
      <c r="AD34" s="6"/>
    </row>
    <row r="35" spans="1:30" x14ac:dyDescent="0.35">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5">
      <c r="B36" s="4" t="s">
        <v>881</v>
      </c>
      <c r="C36" s="5">
        <v>0</v>
      </c>
      <c r="D36" s="6" t="str">
        <f>IF(OR($C$35=0,C36=0),"-",C36/$C$35)</f>
        <v>-</v>
      </c>
      <c r="O36" s="4" t="s">
        <v>881</v>
      </c>
      <c r="P36" s="5">
        <v>0</v>
      </c>
      <c r="Q36" s="6" t="str">
        <f>IF(OR($C$35=0,P36=0),"-",P36/$C$35)</f>
        <v>-</v>
      </c>
      <c r="AB36" s="4" t="s">
        <v>881</v>
      </c>
      <c r="AC36" s="5">
        <v>0</v>
      </c>
      <c r="AD36" s="6" t="str">
        <f>IF(OR($C$35=0,AC36=0),"-",AC36/$C$35)</f>
        <v>-</v>
      </c>
    </row>
    <row r="37" spans="1:30" x14ac:dyDescent="0.35">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5">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5">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5">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5">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5">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5">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5">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5">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5">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4">
      <c r="A47" s="121"/>
      <c r="B47" s="90"/>
      <c r="C47" s="92"/>
      <c r="D47" s="91"/>
      <c r="O47" s="90"/>
      <c r="P47" s="92"/>
      <c r="Q47" s="91"/>
      <c r="AB47" s="90"/>
      <c r="AC47" s="92"/>
      <c r="AD47" s="91"/>
    </row>
    <row r="48" spans="1:30" x14ac:dyDescent="0.35">
      <c r="A48" s="121"/>
      <c r="H48" s="111"/>
    </row>
    <row r="49" spans="1:39" ht="15" thickBot="1" x14ac:dyDescent="0.4">
      <c r="A49" s="121"/>
      <c r="B49" s="121"/>
      <c r="C49" s="121"/>
      <c r="D49" s="121"/>
      <c r="E49" s="111"/>
      <c r="F49" s="121"/>
      <c r="G49" s="111"/>
      <c r="H49" s="111"/>
    </row>
    <row r="50" spans="1:39" ht="15" thickBot="1" x14ac:dyDescent="0.4">
      <c r="A50" s="121"/>
      <c r="B50" s="254" t="s">
        <v>956</v>
      </c>
      <c r="C50" s="255"/>
      <c r="D50" s="255"/>
      <c r="E50" s="255"/>
      <c r="F50" s="255"/>
      <c r="G50" s="255"/>
      <c r="H50" s="255"/>
      <c r="I50" s="255"/>
      <c r="J50" s="255"/>
      <c r="K50" s="255"/>
      <c r="L50" s="255"/>
      <c r="M50" s="256"/>
      <c r="N50" s="193"/>
      <c r="O50" s="254" t="s">
        <v>956</v>
      </c>
      <c r="P50" s="255"/>
      <c r="Q50" s="255"/>
      <c r="R50" s="255"/>
      <c r="S50" s="255"/>
      <c r="T50" s="255"/>
      <c r="U50" s="255"/>
      <c r="V50" s="255"/>
      <c r="W50" s="255"/>
      <c r="X50" s="255"/>
      <c r="Y50" s="255"/>
      <c r="Z50" s="256"/>
      <c r="AB50" s="254" t="s">
        <v>956</v>
      </c>
      <c r="AC50" s="255"/>
      <c r="AD50" s="255"/>
      <c r="AE50" s="255"/>
      <c r="AF50" s="255"/>
      <c r="AG50" s="255"/>
      <c r="AH50" s="255"/>
      <c r="AI50" s="255"/>
      <c r="AJ50" s="255"/>
      <c r="AK50" s="255"/>
      <c r="AL50" s="255"/>
      <c r="AM50" s="256"/>
    </row>
    <row r="51" spans="1:39" x14ac:dyDescent="0.35">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5">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5">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5">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5">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5">
      <c r="A56" s="121"/>
      <c r="B56" s="109"/>
      <c r="C56" s="257" t="s">
        <v>960</v>
      </c>
      <c r="D56" s="257"/>
      <c r="E56" s="169"/>
      <c r="F56" s="257" t="s">
        <v>961</v>
      </c>
      <c r="G56" s="257"/>
      <c r="H56" s="169"/>
      <c r="I56" s="257" t="s">
        <v>962</v>
      </c>
      <c r="J56" s="257"/>
      <c r="K56" s="111"/>
      <c r="L56" s="257" t="s">
        <v>963</v>
      </c>
      <c r="M56" s="258"/>
      <c r="N56" s="193"/>
      <c r="O56" s="109"/>
      <c r="P56" s="257" t="s">
        <v>960</v>
      </c>
      <c r="Q56" s="257"/>
      <c r="R56" s="169"/>
      <c r="S56" s="257" t="s">
        <v>961</v>
      </c>
      <c r="T56" s="257"/>
      <c r="U56" s="169"/>
      <c r="V56" s="257" t="s">
        <v>962</v>
      </c>
      <c r="W56" s="257"/>
      <c r="X56" s="111"/>
      <c r="Y56" s="257" t="s">
        <v>963</v>
      </c>
      <c r="Z56" s="258"/>
      <c r="AB56" s="109"/>
      <c r="AC56" s="257" t="s">
        <v>960</v>
      </c>
      <c r="AD56" s="257"/>
      <c r="AE56" s="169"/>
      <c r="AF56" s="257" t="s">
        <v>961</v>
      </c>
      <c r="AG56" s="257"/>
      <c r="AH56" s="169"/>
      <c r="AI56" s="257" t="s">
        <v>962</v>
      </c>
      <c r="AJ56" s="257"/>
      <c r="AK56" s="111"/>
      <c r="AL56" s="257" t="s">
        <v>963</v>
      </c>
      <c r="AM56" s="258"/>
    </row>
    <row r="57" spans="1:39" x14ac:dyDescent="0.35">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5">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5">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5">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5">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5">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5">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5">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5">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5">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5">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5">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5">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5">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5">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5">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5">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5">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5">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5">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5">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5">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4">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5">
      <c r="C100" s="2"/>
    </row>
    <row r="101" spans="3:5" x14ac:dyDescent="0.35">
      <c r="C101" s="10"/>
      <c r="D101" s="27"/>
      <c r="E101" s="84"/>
    </row>
    <row r="102" spans="3:5" x14ac:dyDescent="0.35">
      <c r="C102" s="12"/>
    </row>
    <row r="103" spans="3:5" x14ac:dyDescent="0.35">
      <c r="C103" s="12"/>
      <c r="D103" s="12"/>
    </row>
    <row r="104" spans="3:5" x14ac:dyDescent="0.35">
      <c r="C104" s="1"/>
      <c r="D104" s="1"/>
      <c r="E104" s="85"/>
    </row>
    <row r="105" spans="3:5" x14ac:dyDescent="0.35">
      <c r="C105" s="1"/>
      <c r="D105" s="1"/>
      <c r="E105" s="85"/>
    </row>
    <row r="106" spans="3:5" x14ac:dyDescent="0.35">
      <c r="C106" s="1"/>
      <c r="D106" s="1"/>
      <c r="E106" s="85"/>
    </row>
    <row r="107" spans="3:5" x14ac:dyDescent="0.35">
      <c r="C107" s="1"/>
      <c r="D107" s="1"/>
      <c r="E107" s="85"/>
    </row>
    <row r="108" spans="3:5" x14ac:dyDescent="0.35">
      <c r="C108" s="1"/>
      <c r="D108" s="1"/>
      <c r="E108" s="85"/>
    </row>
    <row r="109" spans="3:5" x14ac:dyDescent="0.35">
      <c r="C109" s="1"/>
      <c r="D109" s="1"/>
      <c r="E109" s="85"/>
    </row>
    <row r="110" spans="3:5" x14ac:dyDescent="0.35">
      <c r="C110" s="1"/>
      <c r="D110" s="1"/>
      <c r="E110" s="85"/>
    </row>
    <row r="111" spans="3:5" x14ac:dyDescent="0.35">
      <c r="C111" s="1"/>
      <c r="D111" s="1"/>
      <c r="E111" s="85"/>
    </row>
    <row r="112" spans="3:5" x14ac:dyDescent="0.35">
      <c r="C112" s="1"/>
      <c r="D112" s="1"/>
      <c r="E112" s="85"/>
    </row>
    <row r="113" spans="2:5" x14ac:dyDescent="0.35">
      <c r="C113" s="1"/>
      <c r="D113" s="1"/>
      <c r="E113" s="85"/>
    </row>
    <row r="114" spans="2:5" x14ac:dyDescent="0.35">
      <c r="C114" s="1"/>
      <c r="D114" s="1"/>
      <c r="E114" s="85"/>
    </row>
    <row r="115" spans="2:5" x14ac:dyDescent="0.35">
      <c r="C115" s="1"/>
      <c r="D115" s="1"/>
      <c r="E115" s="85"/>
    </row>
    <row r="116" spans="2:5" x14ac:dyDescent="0.35">
      <c r="C116" s="1"/>
      <c r="D116" s="1"/>
      <c r="E116" s="85"/>
    </row>
    <row r="123" spans="2:5" x14ac:dyDescent="0.35">
      <c r="B123" s="14"/>
    </row>
  </sheetData>
  <mergeCells count="19">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 ref="F13:H13"/>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topLeftCell="A22" zoomScale="80" zoomScaleNormal="80" workbookViewId="0">
      <selection activeCell="P32" sqref="P32"/>
    </sheetView>
  </sheetViews>
  <sheetFormatPr defaultColWidth="9.08984375" defaultRowHeight="14.5" x14ac:dyDescent="0.35"/>
  <cols>
    <col min="1" max="1" width="3.36328125" style="1" customWidth="1"/>
    <col min="2" max="2" width="33.453125" style="1" customWidth="1"/>
    <col min="3" max="3" width="10.08984375" style="5" customWidth="1"/>
    <col min="4" max="4" width="11.36328125" style="15" customWidth="1"/>
    <col min="5" max="5" width="13.08984375" style="15" customWidth="1"/>
    <col min="6" max="8" width="14.08984375" style="15" customWidth="1"/>
    <col min="9" max="18" width="8.453125" style="15" customWidth="1"/>
    <col min="19" max="20" width="8.6328125" style="15" customWidth="1"/>
    <col min="21" max="22" width="14.08984375" style="1" customWidth="1"/>
    <col min="23" max="23" width="21.453125" style="1" customWidth="1"/>
    <col min="24" max="25" width="14.08984375" style="1" customWidth="1"/>
    <col min="26" max="26" width="14.08984375" style="37" customWidth="1"/>
    <col min="27" max="27" width="14.08984375" style="1" customWidth="1"/>
    <col min="28" max="28" width="5.54296875" style="1" customWidth="1"/>
    <col min="29" max="29" width="8.54296875" style="1" customWidth="1"/>
    <col min="30" max="30" width="10.90625" style="1" customWidth="1"/>
    <col min="31" max="32" width="11.453125" style="1" customWidth="1"/>
    <col min="33" max="33" width="7.453125" style="1" customWidth="1"/>
    <col min="34" max="34" width="5.90625" style="1" customWidth="1"/>
    <col min="35" max="35" width="11.90625" style="1" customWidth="1"/>
    <col min="36" max="36" width="7.90625" style="1" customWidth="1"/>
    <col min="37" max="37" width="6.54296875" style="1" customWidth="1"/>
    <col min="38" max="42" width="14.08984375" style="1" customWidth="1"/>
    <col min="43" max="16384" width="9.08984375" style="1"/>
  </cols>
  <sheetData>
    <row r="1" spans="2:20" ht="15" thickBot="1" x14ac:dyDescent="0.4"/>
    <row r="2" spans="2:20" ht="15" thickBot="1" x14ac:dyDescent="0.4">
      <c r="B2" s="230" t="s">
        <v>780</v>
      </c>
      <c r="C2" s="231"/>
      <c r="D2" s="232"/>
      <c r="E2" s="1"/>
      <c r="F2" s="24"/>
      <c r="G2" s="24"/>
      <c r="H2" s="24"/>
      <c r="I2" s="24"/>
      <c r="J2" s="24"/>
      <c r="K2" s="24"/>
      <c r="L2" s="24"/>
      <c r="M2" s="24"/>
      <c r="N2" s="24"/>
      <c r="O2" s="24"/>
      <c r="P2" s="24"/>
      <c r="Q2" s="24"/>
      <c r="R2" s="24"/>
      <c r="S2" s="24"/>
      <c r="T2" s="24"/>
    </row>
    <row r="3" spans="2:20" x14ac:dyDescent="0.35">
      <c r="B3" s="87"/>
      <c r="C3" s="70" t="s">
        <v>28</v>
      </c>
      <c r="D3" s="88" t="s">
        <v>29</v>
      </c>
      <c r="E3" s="1"/>
      <c r="F3" s="1"/>
      <c r="G3" s="1"/>
      <c r="H3" s="1"/>
      <c r="I3" s="1"/>
      <c r="J3" s="5"/>
      <c r="K3" s="5"/>
      <c r="L3" s="24"/>
      <c r="M3" s="24"/>
      <c r="N3" s="24"/>
      <c r="O3" s="24"/>
      <c r="P3" s="24"/>
      <c r="Q3" s="24"/>
      <c r="R3" s="24"/>
      <c r="S3" s="24"/>
      <c r="T3" s="24"/>
    </row>
    <row r="4" spans="2:20" x14ac:dyDescent="0.35">
      <c r="B4" s="4" t="s">
        <v>759</v>
      </c>
      <c r="C4" s="5">
        <v>0</v>
      </c>
      <c r="D4" s="6"/>
      <c r="E4" s="1"/>
      <c r="F4" s="1"/>
      <c r="G4" s="1"/>
      <c r="H4" s="1"/>
      <c r="I4" s="1"/>
      <c r="J4" s="5"/>
      <c r="K4" s="5"/>
      <c r="L4" s="1"/>
      <c r="M4" s="1"/>
      <c r="N4" s="1"/>
      <c r="O4" s="1"/>
      <c r="P4" s="1"/>
      <c r="Q4" s="1"/>
      <c r="R4" s="1"/>
      <c r="S4" s="1"/>
      <c r="T4" s="1"/>
    </row>
    <row r="5" spans="2:20" x14ac:dyDescent="0.35">
      <c r="B5" s="4" t="s">
        <v>882</v>
      </c>
      <c r="C5" s="5">
        <v>0</v>
      </c>
      <c r="D5" s="6" t="str">
        <f>IF(C5=0, "-", C5/C4)</f>
        <v>-</v>
      </c>
      <c r="E5" s="1"/>
      <c r="F5" s="1"/>
      <c r="G5" s="1"/>
      <c r="H5" s="1"/>
      <c r="I5" s="1"/>
      <c r="J5" s="1"/>
      <c r="K5" s="1"/>
      <c r="L5" s="1"/>
      <c r="M5" s="1"/>
      <c r="N5" s="1"/>
      <c r="O5" s="1"/>
      <c r="P5" s="1"/>
      <c r="Q5" s="1"/>
      <c r="R5" s="1"/>
      <c r="S5" s="1"/>
      <c r="T5" s="1"/>
    </row>
    <row r="6" spans="2:20" x14ac:dyDescent="0.35">
      <c r="B6" s="4" t="s">
        <v>893</v>
      </c>
      <c r="C6" s="69">
        <v>0</v>
      </c>
      <c r="D6" s="6" t="str">
        <f>IF(C6=0, "-", C6/C4)</f>
        <v>-</v>
      </c>
      <c r="E6" s="5"/>
      <c r="F6" s="59"/>
      <c r="G6" s="59"/>
      <c r="H6" s="59"/>
      <c r="I6" s="59"/>
      <c r="J6" s="5"/>
      <c r="K6" s="5"/>
      <c r="L6" s="5"/>
      <c r="M6" s="5"/>
      <c r="N6" s="5"/>
      <c r="O6" s="5"/>
      <c r="P6" s="5"/>
      <c r="Q6" s="5"/>
      <c r="R6" s="5"/>
      <c r="S6" s="5"/>
      <c r="T6" s="5"/>
    </row>
    <row r="7" spans="2:20" x14ac:dyDescent="0.35">
      <c r="B7" s="71" t="s">
        <v>894</v>
      </c>
      <c r="C7" s="69">
        <v>0</v>
      </c>
      <c r="D7" s="6" t="str">
        <f>IF(C7=0, "-", C7/C6)</f>
        <v>-</v>
      </c>
      <c r="E7" s="5"/>
      <c r="F7" s="59"/>
      <c r="G7" s="59"/>
      <c r="H7" s="59"/>
      <c r="I7" s="59"/>
      <c r="J7" s="5"/>
      <c r="K7" s="5"/>
      <c r="L7" s="5"/>
      <c r="M7" s="5"/>
      <c r="N7" s="5"/>
      <c r="O7" s="5"/>
      <c r="P7" s="5"/>
      <c r="Q7" s="5"/>
      <c r="R7" s="5"/>
      <c r="S7" s="5"/>
      <c r="T7" s="5"/>
    </row>
    <row r="8" spans="2:20" x14ac:dyDescent="0.35">
      <c r="B8" s="71" t="s">
        <v>911</v>
      </c>
      <c r="C8" s="69">
        <v>0</v>
      </c>
      <c r="D8" s="6" t="str">
        <f>IF(C8=0, "-", C8/C6)</f>
        <v>-</v>
      </c>
      <c r="E8" s="5"/>
      <c r="F8" s="59"/>
      <c r="G8" s="59"/>
      <c r="H8" s="59"/>
      <c r="I8" s="59"/>
      <c r="J8" s="5"/>
      <c r="K8" s="5"/>
      <c r="L8" s="5"/>
      <c r="M8" s="5"/>
      <c r="N8" s="5"/>
      <c r="O8" s="5"/>
      <c r="P8" s="5"/>
      <c r="Q8" s="5"/>
      <c r="R8" s="5"/>
      <c r="S8" s="5"/>
      <c r="T8" s="5"/>
    </row>
    <row r="9" spans="2:20" x14ac:dyDescent="0.35">
      <c r="B9" s="71" t="s">
        <v>896</v>
      </c>
      <c r="C9" s="69">
        <v>0</v>
      </c>
      <c r="D9" s="6" t="str">
        <f>IF(C9=0, "-", C9/C6)</f>
        <v>-</v>
      </c>
      <c r="E9" s="5"/>
      <c r="F9" s="59"/>
      <c r="G9" s="59"/>
      <c r="H9" s="59"/>
      <c r="I9" s="59"/>
      <c r="J9" s="5"/>
      <c r="K9" s="5"/>
      <c r="L9" s="5"/>
      <c r="M9" s="5"/>
      <c r="N9" s="5"/>
      <c r="O9" s="5"/>
      <c r="P9" s="5"/>
      <c r="Q9" s="5"/>
      <c r="R9" s="5"/>
      <c r="S9" s="5"/>
      <c r="T9" s="5"/>
    </row>
    <row r="10" spans="2:20" x14ac:dyDescent="0.35">
      <c r="B10" s="71" t="s">
        <v>909</v>
      </c>
      <c r="C10" s="69">
        <v>0</v>
      </c>
      <c r="D10" s="6" t="str">
        <f>IF(C10=0, "-", C10/C6)</f>
        <v>-</v>
      </c>
      <c r="E10" s="5"/>
      <c r="F10" s="59"/>
      <c r="G10" s="59"/>
      <c r="H10" s="59"/>
      <c r="I10" s="59"/>
      <c r="J10" s="5"/>
      <c r="K10" s="5"/>
      <c r="L10" s="5"/>
      <c r="M10" s="5"/>
      <c r="N10" s="5"/>
      <c r="O10" s="5"/>
      <c r="P10" s="5"/>
      <c r="Q10" s="5"/>
      <c r="R10" s="5"/>
      <c r="S10" s="5"/>
      <c r="T10" s="5"/>
    </row>
    <row r="11" spans="2:20" x14ac:dyDescent="0.35">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4">
      <c r="B12" s="72" t="s">
        <v>910</v>
      </c>
      <c r="C12" s="141">
        <v>0</v>
      </c>
      <c r="D12" s="21" t="str">
        <f>IF(C12=0, "-", C12/C6)</f>
        <v>-</v>
      </c>
      <c r="E12" s="5"/>
      <c r="F12" s="59"/>
      <c r="G12" s="59"/>
      <c r="H12" s="59"/>
      <c r="I12" s="59"/>
      <c r="J12" s="5"/>
      <c r="K12" s="5"/>
      <c r="L12" s="5"/>
      <c r="M12" s="5"/>
      <c r="N12" s="5"/>
      <c r="O12" s="5"/>
      <c r="P12" s="5"/>
      <c r="Q12" s="5"/>
      <c r="R12" s="5"/>
      <c r="S12" s="5"/>
      <c r="T12" s="5"/>
    </row>
    <row r="13" spans="2:20" x14ac:dyDescent="0.35">
      <c r="C13" s="59"/>
      <c r="E13" s="5"/>
      <c r="F13" s="5"/>
      <c r="G13" s="5"/>
      <c r="H13" s="5"/>
      <c r="I13" s="5"/>
      <c r="J13" s="5"/>
      <c r="K13" s="5"/>
      <c r="L13" s="5"/>
      <c r="M13" s="5"/>
      <c r="N13" s="5"/>
      <c r="O13" s="5"/>
      <c r="P13" s="5"/>
      <c r="Q13" s="5"/>
      <c r="R13" s="5"/>
      <c r="S13" s="5"/>
      <c r="T13" s="5"/>
    </row>
    <row r="14" spans="2:20" ht="15" thickBot="1" x14ac:dyDescent="0.4">
      <c r="C14" s="59"/>
      <c r="E14" s="5"/>
      <c r="F14" s="5"/>
      <c r="G14" s="5"/>
      <c r="H14" s="5"/>
      <c r="I14" s="5"/>
      <c r="J14" s="5"/>
      <c r="K14" s="5"/>
      <c r="L14" s="5"/>
      <c r="M14" s="5"/>
      <c r="N14" s="5"/>
      <c r="O14" s="5"/>
      <c r="P14" s="5"/>
      <c r="Q14" s="5"/>
      <c r="R14" s="5"/>
      <c r="S14" s="5"/>
      <c r="T14" s="5"/>
    </row>
    <row r="15" spans="2:20" ht="15" thickBot="1" x14ac:dyDescent="0.4">
      <c r="B15" s="230" t="s">
        <v>869</v>
      </c>
      <c r="C15" s="231"/>
      <c r="D15" s="232"/>
      <c r="E15" s="5"/>
      <c r="F15" s="5"/>
      <c r="G15" s="5"/>
      <c r="H15" s="5"/>
      <c r="I15" s="5"/>
      <c r="J15" s="5"/>
      <c r="K15" s="5"/>
      <c r="L15" s="5"/>
      <c r="M15" s="5"/>
      <c r="N15" s="5"/>
      <c r="O15" s="5"/>
      <c r="P15" s="5"/>
      <c r="Q15" s="5"/>
      <c r="R15" s="5"/>
      <c r="S15" s="5"/>
      <c r="T15" s="5"/>
    </row>
    <row r="16" spans="2:20" x14ac:dyDescent="0.35">
      <c r="B16" s="30"/>
      <c r="C16" s="16" t="s">
        <v>28</v>
      </c>
      <c r="D16" s="104" t="s">
        <v>29</v>
      </c>
      <c r="E16" s="5"/>
      <c r="F16" s="5"/>
      <c r="G16" s="5"/>
      <c r="H16" s="5"/>
      <c r="I16" s="5"/>
      <c r="J16" s="5"/>
      <c r="K16" s="5"/>
      <c r="L16" s="5"/>
      <c r="M16" s="5"/>
      <c r="N16" s="5"/>
      <c r="O16" s="5"/>
      <c r="P16" s="5"/>
      <c r="Q16" s="5"/>
      <c r="R16" s="5"/>
      <c r="S16" s="5"/>
      <c r="T16" s="5"/>
    </row>
    <row r="17" spans="1:28" x14ac:dyDescent="0.35">
      <c r="B17" s="96" t="s">
        <v>752</v>
      </c>
      <c r="C17" s="5">
        <v>0</v>
      </c>
      <c r="D17" s="73"/>
      <c r="E17" s="5"/>
      <c r="F17" s="5"/>
      <c r="G17" s="5"/>
      <c r="H17" s="5"/>
      <c r="I17" s="5"/>
      <c r="J17" s="5"/>
      <c r="K17" s="5"/>
      <c r="L17" s="5"/>
      <c r="M17" s="5"/>
      <c r="N17" s="5"/>
      <c r="O17" s="5"/>
      <c r="P17" s="5"/>
      <c r="Q17" s="5"/>
      <c r="R17" s="5"/>
      <c r="S17" s="5"/>
      <c r="T17" s="5"/>
    </row>
    <row r="18" spans="1:28" x14ac:dyDescent="0.35">
      <c r="B18" s="4" t="s">
        <v>897</v>
      </c>
      <c r="C18" s="59">
        <v>0</v>
      </c>
      <c r="D18" s="6" t="str">
        <f>IF(OR($C$4=0,C18=0),"-",C18/$C$4)</f>
        <v>-</v>
      </c>
      <c r="E18" s="5"/>
      <c r="F18" s="5"/>
      <c r="G18" s="5"/>
      <c r="H18" s="5"/>
      <c r="I18" s="5"/>
      <c r="J18" s="5"/>
      <c r="K18" s="5"/>
      <c r="L18" s="5"/>
      <c r="M18" s="5"/>
      <c r="N18" s="5"/>
      <c r="O18" s="5"/>
      <c r="P18" s="5"/>
      <c r="Q18" s="5"/>
      <c r="R18" s="5"/>
      <c r="S18" s="5"/>
      <c r="T18" s="5"/>
    </row>
    <row r="19" spans="1:28" x14ac:dyDescent="0.35">
      <c r="B19" s="4" t="s">
        <v>912</v>
      </c>
      <c r="C19" s="59">
        <v>0</v>
      </c>
      <c r="D19" s="6" t="str">
        <f>IF(OR($C$17=0,C19=0),"-",C19/$C$17)</f>
        <v>-</v>
      </c>
      <c r="E19" s="5"/>
      <c r="F19" s="5"/>
      <c r="G19" s="5"/>
      <c r="H19" s="5"/>
      <c r="I19" s="5"/>
      <c r="J19" s="5"/>
      <c r="K19" s="5"/>
      <c r="L19" s="5"/>
      <c r="M19" s="5"/>
      <c r="N19" s="5"/>
      <c r="O19" s="5"/>
      <c r="P19" s="5"/>
      <c r="Q19" s="5"/>
      <c r="R19" s="5"/>
      <c r="S19" s="5"/>
      <c r="T19" s="5"/>
    </row>
    <row r="20" spans="1:28" x14ac:dyDescent="0.35">
      <c r="B20" s="4" t="s">
        <v>898</v>
      </c>
      <c r="C20" s="59">
        <v>0</v>
      </c>
      <c r="D20" s="6" t="str">
        <f>IF(OR($C$17=0,C20=0),"-",C20/$C$17)</f>
        <v>-</v>
      </c>
      <c r="E20" s="5"/>
      <c r="F20" s="5"/>
      <c r="G20" s="5"/>
      <c r="H20" s="5"/>
      <c r="I20" s="5"/>
      <c r="J20" s="5"/>
      <c r="K20" s="5"/>
      <c r="L20" s="5"/>
      <c r="M20" s="5"/>
      <c r="N20" s="5"/>
      <c r="O20" s="5"/>
      <c r="P20" s="5"/>
      <c r="Q20" s="5"/>
      <c r="R20" s="5"/>
      <c r="S20" s="5"/>
      <c r="T20" s="5"/>
    </row>
    <row r="21" spans="1:28" x14ac:dyDescent="0.35">
      <c r="B21" s="71" t="s">
        <v>899</v>
      </c>
      <c r="C21" s="98">
        <v>0</v>
      </c>
      <c r="D21" s="6" t="str">
        <f>IF(OR($C$20=0,C21=0),"-",C21/$C$20)</f>
        <v>-</v>
      </c>
      <c r="E21" s="5"/>
      <c r="F21" s="5"/>
      <c r="G21" s="5"/>
      <c r="H21" s="5"/>
      <c r="I21" s="5"/>
      <c r="J21" s="5"/>
      <c r="K21" s="5"/>
      <c r="L21" s="5"/>
      <c r="M21" s="5"/>
      <c r="N21" s="5"/>
      <c r="O21" s="5"/>
      <c r="P21" s="5"/>
      <c r="Q21" s="5"/>
      <c r="R21" s="5"/>
      <c r="S21" s="5"/>
      <c r="T21" s="5"/>
    </row>
    <row r="22" spans="1:28" x14ac:dyDescent="0.35">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5">
      <c r="B23" s="71" t="s">
        <v>901</v>
      </c>
      <c r="C23" s="98">
        <v>0</v>
      </c>
      <c r="D23" s="6" t="str">
        <f t="shared" si="0"/>
        <v>-</v>
      </c>
      <c r="E23" s="5"/>
      <c r="F23" s="5"/>
      <c r="G23" s="5"/>
      <c r="H23" s="5"/>
      <c r="I23" s="5"/>
      <c r="J23" s="5"/>
      <c r="K23" s="5"/>
      <c r="L23" s="5"/>
      <c r="M23" s="5"/>
      <c r="N23" s="5"/>
      <c r="O23" s="5"/>
      <c r="P23" s="5"/>
      <c r="Q23" s="5"/>
      <c r="R23" s="5"/>
      <c r="S23" s="5"/>
      <c r="T23" s="5"/>
    </row>
    <row r="24" spans="1:28" x14ac:dyDescent="0.35">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4">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4">
      <c r="C26" s="59"/>
      <c r="E26" s="5"/>
      <c r="F26" s="5"/>
      <c r="G26" s="5"/>
      <c r="H26" s="5"/>
      <c r="I26" s="5"/>
      <c r="J26" s="5"/>
      <c r="K26" s="5"/>
      <c r="L26" s="5"/>
      <c r="M26" s="5"/>
      <c r="N26" s="5"/>
      <c r="O26" s="5"/>
      <c r="P26" s="5"/>
      <c r="Q26" s="5"/>
      <c r="R26" s="5"/>
      <c r="S26" s="5"/>
      <c r="T26" s="5"/>
    </row>
    <row r="27" spans="1:28" ht="15" thickBot="1" x14ac:dyDescent="0.4">
      <c r="B27" s="136" t="s">
        <v>776</v>
      </c>
      <c r="C27" s="137"/>
      <c r="D27" s="137"/>
      <c r="E27" s="137"/>
      <c r="F27" s="237" t="s">
        <v>777</v>
      </c>
      <c r="G27" s="238"/>
      <c r="H27" s="238"/>
      <c r="I27" s="238"/>
      <c r="J27" s="238"/>
      <c r="K27" s="238"/>
      <c r="L27" s="238"/>
      <c r="M27" s="238"/>
      <c r="N27" s="238"/>
      <c r="O27" s="238"/>
      <c r="P27" s="238"/>
      <c r="Q27" s="238"/>
      <c r="R27" s="238"/>
      <c r="S27" s="238"/>
      <c r="T27" s="239"/>
      <c r="X27" s="37"/>
      <c r="Z27" s="1"/>
    </row>
    <row r="28" spans="1:28" ht="14.4" customHeight="1" x14ac:dyDescent="0.35">
      <c r="B28" s="30"/>
      <c r="C28" s="235" t="s">
        <v>752</v>
      </c>
      <c r="D28" s="233" t="s">
        <v>753</v>
      </c>
      <c r="E28" s="233"/>
      <c r="F28" s="271" t="s">
        <v>871</v>
      </c>
      <c r="G28" s="265" t="s">
        <v>1004</v>
      </c>
      <c r="H28" s="265"/>
      <c r="I28" s="263" t="s">
        <v>1005</v>
      </c>
      <c r="J28" s="263"/>
      <c r="K28" s="265" t="s">
        <v>1006</v>
      </c>
      <c r="L28" s="265"/>
      <c r="M28" s="263" t="s">
        <v>1007</v>
      </c>
      <c r="N28" s="263"/>
      <c r="O28" s="261" t="s">
        <v>773</v>
      </c>
      <c r="P28" s="261"/>
      <c r="Q28" s="267" t="s">
        <v>774</v>
      </c>
      <c r="R28" s="267"/>
      <c r="S28" s="261" t="s">
        <v>775</v>
      </c>
      <c r="T28" s="269"/>
      <c r="Z28" s="1"/>
      <c r="AB28" s="37"/>
    </row>
    <row r="29" spans="1:28" x14ac:dyDescent="0.35">
      <c r="B29" s="3"/>
      <c r="C29" s="236"/>
      <c r="D29" s="234"/>
      <c r="E29" s="234"/>
      <c r="F29" s="272"/>
      <c r="G29" s="210" t="s">
        <v>1003</v>
      </c>
      <c r="H29" s="210" t="s">
        <v>1002</v>
      </c>
      <c r="I29" s="264"/>
      <c r="J29" s="264"/>
      <c r="K29" s="266"/>
      <c r="L29" s="266"/>
      <c r="M29" s="264"/>
      <c r="N29" s="264"/>
      <c r="O29" s="262"/>
      <c r="P29" s="262"/>
      <c r="Q29" s="268"/>
      <c r="R29" s="268"/>
      <c r="S29" s="262"/>
      <c r="T29" s="270"/>
      <c r="Z29" s="1"/>
      <c r="AB29" s="37"/>
    </row>
    <row r="30" spans="1:28" x14ac:dyDescent="0.35">
      <c r="B30" s="3"/>
      <c r="C30" s="77" t="s">
        <v>28</v>
      </c>
      <c r="D30" s="65" t="s">
        <v>28</v>
      </c>
      <c r="E30" s="65" t="s">
        <v>29</v>
      </c>
      <c r="F30" s="79" t="s">
        <v>28</v>
      </c>
      <c r="G30" s="211" t="s">
        <v>28</v>
      </c>
      <c r="H30" s="211" t="s">
        <v>28</v>
      </c>
      <c r="I30" s="65" t="s">
        <v>28</v>
      </c>
      <c r="J30" s="65" t="s">
        <v>29</v>
      </c>
      <c r="K30" s="210" t="s">
        <v>28</v>
      </c>
      <c r="L30" s="210" t="s">
        <v>29</v>
      </c>
      <c r="M30" s="66" t="s">
        <v>28</v>
      </c>
      <c r="N30" s="66" t="s">
        <v>29</v>
      </c>
      <c r="O30" s="127" t="s">
        <v>28</v>
      </c>
      <c r="P30" s="127" t="s">
        <v>29</v>
      </c>
      <c r="Q30" s="126" t="s">
        <v>28</v>
      </c>
      <c r="R30" s="126" t="s">
        <v>29</v>
      </c>
      <c r="S30" s="127" t="s">
        <v>28</v>
      </c>
      <c r="T30" s="217" t="s">
        <v>29</v>
      </c>
      <c r="Z30" s="1"/>
      <c r="AB30" s="37"/>
    </row>
    <row r="31" spans="1:28" ht="15" thickBot="1" x14ac:dyDescent="0.4">
      <c r="B31" s="13" t="s">
        <v>755</v>
      </c>
      <c r="C31" s="74">
        <v>0</v>
      </c>
      <c r="D31" s="17">
        <v>0</v>
      </c>
      <c r="E31" s="50" t="str">
        <f>IF(D31=0,"-",D31/C31)</f>
        <v>-</v>
      </c>
      <c r="F31" s="133">
        <v>0</v>
      </c>
      <c r="G31" s="212">
        <v>0</v>
      </c>
      <c r="H31" s="212">
        <v>0</v>
      </c>
      <c r="I31" s="17">
        <v>0</v>
      </c>
      <c r="J31" s="215" t="str">
        <f>IF(OR($F$31=0,I31=0),"-",I31/F31)</f>
        <v>-</v>
      </c>
      <c r="K31" s="212">
        <v>0</v>
      </c>
      <c r="L31" s="213" t="str">
        <f>IF(OR($I$31=0,K31=0),"-",K31/I31)</f>
        <v>-</v>
      </c>
      <c r="M31" s="17">
        <v>0</v>
      </c>
      <c r="N31" s="214" t="str">
        <f>IF(OR($K$31=0,M31=0),"-",M31/K31)</f>
        <v>-</v>
      </c>
      <c r="O31" s="134">
        <v>0</v>
      </c>
      <c r="P31" s="216" t="str">
        <f>IF(OR($M$31=0,O31=0),"-",O31/M31)</f>
        <v>-</v>
      </c>
      <c r="Q31" s="135">
        <v>0</v>
      </c>
      <c r="R31" s="135"/>
      <c r="S31" s="134">
        <v>0</v>
      </c>
      <c r="T31" s="218" t="str">
        <f>IF(OR($Q$31=0,S31=0),"-",Q31/O31)</f>
        <v>-</v>
      </c>
      <c r="Z31" s="1"/>
      <c r="AB31" s="37"/>
    </row>
    <row r="33" spans="2:26" ht="15" thickBot="1" x14ac:dyDescent="0.4"/>
    <row r="34" spans="2:26" ht="15" thickBot="1" x14ac:dyDescent="0.4">
      <c r="B34" s="237" t="s">
        <v>791</v>
      </c>
      <c r="C34" s="238"/>
      <c r="D34" s="238"/>
      <c r="E34" s="239"/>
      <c r="F34" s="24"/>
      <c r="G34" s="24"/>
      <c r="H34" s="24"/>
      <c r="I34" s="24"/>
      <c r="T34" s="1"/>
      <c r="Y34" s="37"/>
      <c r="Z34" s="1"/>
    </row>
    <row r="35" spans="2:26" ht="29" x14ac:dyDescent="0.35">
      <c r="B35" s="139" t="s">
        <v>781</v>
      </c>
      <c r="C35" s="77" t="s">
        <v>759</v>
      </c>
      <c r="D35" s="65" t="s">
        <v>752</v>
      </c>
      <c r="E35" s="78" t="s">
        <v>782</v>
      </c>
      <c r="F35" s="66"/>
      <c r="G35" s="66"/>
      <c r="H35" s="66"/>
      <c r="I35" s="66"/>
      <c r="T35" s="1"/>
      <c r="Y35" s="37"/>
      <c r="Z35" s="1"/>
    </row>
    <row r="36" spans="2:26" x14ac:dyDescent="0.35">
      <c r="B36" s="4" t="s">
        <v>783</v>
      </c>
      <c r="C36" s="68">
        <v>0</v>
      </c>
      <c r="D36" s="5">
        <v>0</v>
      </c>
      <c r="E36" s="75">
        <v>0</v>
      </c>
      <c r="F36" s="5"/>
      <c r="G36" s="5"/>
      <c r="H36" s="5"/>
      <c r="I36" s="5"/>
      <c r="T36" s="1"/>
      <c r="Y36" s="37"/>
      <c r="Z36" s="1"/>
    </row>
    <row r="37" spans="2:26" x14ac:dyDescent="0.35">
      <c r="B37" s="4" t="s">
        <v>765</v>
      </c>
      <c r="C37" s="68">
        <v>0</v>
      </c>
      <c r="D37" s="5">
        <v>0</v>
      </c>
      <c r="E37" s="75">
        <v>0</v>
      </c>
      <c r="F37" s="5"/>
      <c r="G37" s="5"/>
      <c r="H37" s="5"/>
      <c r="I37" s="5"/>
      <c r="T37" s="1"/>
      <c r="Y37" s="37"/>
      <c r="Z37" s="1"/>
    </row>
    <row r="38" spans="2:26" x14ac:dyDescent="0.35">
      <c r="B38" s="4" t="s">
        <v>784</v>
      </c>
      <c r="C38" s="68">
        <v>0</v>
      </c>
      <c r="D38" s="5">
        <v>0</v>
      </c>
      <c r="E38" s="75">
        <v>0</v>
      </c>
      <c r="F38" s="5"/>
      <c r="G38" s="5"/>
      <c r="H38" s="5"/>
      <c r="I38" s="5"/>
      <c r="T38" s="1"/>
      <c r="Y38" s="37"/>
      <c r="Z38" s="1"/>
    </row>
    <row r="39" spans="2:26" x14ac:dyDescent="0.35">
      <c r="B39" s="4" t="s">
        <v>766</v>
      </c>
      <c r="C39" s="68">
        <v>0</v>
      </c>
      <c r="D39" s="5">
        <v>0</v>
      </c>
      <c r="E39" s="75">
        <v>0</v>
      </c>
      <c r="F39" s="5"/>
      <c r="G39" s="5"/>
      <c r="H39" s="5"/>
      <c r="I39" s="5"/>
      <c r="T39" s="1"/>
      <c r="Y39" s="37"/>
      <c r="Z39" s="1"/>
    </row>
    <row r="40" spans="2:26" x14ac:dyDescent="0.35">
      <c r="B40" s="4" t="s">
        <v>772</v>
      </c>
      <c r="C40" s="68">
        <v>0</v>
      </c>
      <c r="D40" s="5">
        <v>0</v>
      </c>
      <c r="E40" s="75">
        <v>0</v>
      </c>
      <c r="F40" s="5"/>
      <c r="G40" s="5"/>
      <c r="H40" s="5"/>
      <c r="I40" s="5"/>
      <c r="T40" s="1"/>
      <c r="Y40" s="37"/>
      <c r="Z40" s="1"/>
    </row>
    <row r="41" spans="2:26" x14ac:dyDescent="0.35">
      <c r="B41" s="4" t="s">
        <v>770</v>
      </c>
      <c r="C41" s="68">
        <v>0</v>
      </c>
      <c r="D41" s="5">
        <v>0</v>
      </c>
      <c r="E41" s="75">
        <v>0</v>
      </c>
      <c r="F41" s="5"/>
      <c r="G41" s="5"/>
      <c r="H41" s="5"/>
      <c r="I41" s="5"/>
      <c r="T41" s="1"/>
      <c r="Y41" s="37"/>
      <c r="Z41" s="1"/>
    </row>
    <row r="42" spans="2:26" x14ac:dyDescent="0.35">
      <c r="B42" s="4" t="s">
        <v>764</v>
      </c>
      <c r="C42" s="68">
        <v>0</v>
      </c>
      <c r="D42" s="5">
        <v>0</v>
      </c>
      <c r="E42" s="75">
        <v>0</v>
      </c>
      <c r="F42" s="5"/>
      <c r="G42" s="5"/>
      <c r="H42" s="5"/>
      <c r="I42" s="5"/>
      <c r="T42" s="1"/>
      <c r="Y42" s="37"/>
      <c r="Z42" s="1"/>
    </row>
    <row r="43" spans="2:26" x14ac:dyDescent="0.35">
      <c r="B43" s="4" t="s">
        <v>768</v>
      </c>
      <c r="C43" s="68">
        <v>0</v>
      </c>
      <c r="D43" s="5">
        <v>0</v>
      </c>
      <c r="E43" s="75">
        <v>0</v>
      </c>
      <c r="F43" s="5"/>
      <c r="G43" s="5"/>
      <c r="H43" s="5"/>
      <c r="I43" s="5"/>
      <c r="T43" s="1"/>
      <c r="Y43" s="37"/>
      <c r="Z43" s="1"/>
    </row>
    <row r="44" spans="2:26" x14ac:dyDescent="0.35">
      <c r="B44" s="4" t="s">
        <v>785</v>
      </c>
      <c r="C44" s="68">
        <v>0</v>
      </c>
      <c r="D44" s="5">
        <v>0</v>
      </c>
      <c r="E44" s="75">
        <v>0</v>
      </c>
      <c r="F44" s="5"/>
      <c r="G44" s="5"/>
      <c r="H44" s="5"/>
      <c r="I44" s="5"/>
      <c r="T44" s="1"/>
      <c r="Y44" s="37"/>
      <c r="Z44" s="1"/>
    </row>
    <row r="45" spans="2:26" x14ac:dyDescent="0.35">
      <c r="B45" s="4" t="s">
        <v>786</v>
      </c>
      <c r="C45" s="68">
        <v>0</v>
      </c>
      <c r="D45" s="5">
        <v>0</v>
      </c>
      <c r="E45" s="75">
        <v>0</v>
      </c>
      <c r="F45" s="5"/>
      <c r="G45" s="5"/>
      <c r="H45" s="5"/>
      <c r="I45" s="5"/>
      <c r="T45" s="1"/>
      <c r="Y45" s="37"/>
      <c r="Z45" s="1"/>
    </row>
    <row r="46" spans="2:26" x14ac:dyDescent="0.35">
      <c r="B46" s="4" t="s">
        <v>771</v>
      </c>
      <c r="C46" s="68">
        <v>0</v>
      </c>
      <c r="D46" s="5">
        <v>0</v>
      </c>
      <c r="E46" s="75">
        <v>0</v>
      </c>
      <c r="F46" s="5"/>
      <c r="G46" s="5"/>
      <c r="H46" s="5"/>
      <c r="I46" s="5"/>
      <c r="T46" s="1"/>
      <c r="Y46" s="37"/>
      <c r="Z46" s="1"/>
    </row>
    <row r="47" spans="2:26" x14ac:dyDescent="0.35">
      <c r="B47" s="4" t="s">
        <v>787</v>
      </c>
      <c r="C47" s="68">
        <v>0</v>
      </c>
      <c r="D47" s="5">
        <v>0</v>
      </c>
      <c r="E47" s="75">
        <v>0</v>
      </c>
      <c r="F47" s="5"/>
      <c r="G47" s="5"/>
      <c r="H47" s="5"/>
      <c r="I47" s="5"/>
      <c r="T47" s="1"/>
      <c r="Y47" s="37"/>
      <c r="Z47" s="1"/>
    </row>
    <row r="48" spans="2:26" x14ac:dyDescent="0.35">
      <c r="B48" s="4" t="s">
        <v>788</v>
      </c>
      <c r="C48" s="68">
        <v>0</v>
      </c>
      <c r="D48" s="5">
        <v>0</v>
      </c>
      <c r="E48" s="75">
        <v>0</v>
      </c>
      <c r="F48" s="5"/>
      <c r="G48" s="5"/>
      <c r="H48" s="5"/>
      <c r="I48" s="5"/>
      <c r="T48" s="1"/>
      <c r="Y48" s="37"/>
      <c r="Z48" s="1"/>
    </row>
    <row r="49" spans="2:26" x14ac:dyDescent="0.35">
      <c r="B49" s="4" t="s">
        <v>763</v>
      </c>
      <c r="C49" s="68">
        <v>0</v>
      </c>
      <c r="D49" s="5">
        <v>0</v>
      </c>
      <c r="E49" s="75">
        <v>0</v>
      </c>
      <c r="F49" s="5"/>
      <c r="G49" s="5"/>
      <c r="H49" s="5"/>
      <c r="I49" s="5"/>
      <c r="T49" s="1"/>
      <c r="Y49" s="37"/>
      <c r="Z49" s="1"/>
    </row>
    <row r="50" spans="2:26" x14ac:dyDescent="0.35">
      <c r="B50" s="4" t="s">
        <v>767</v>
      </c>
      <c r="C50" s="68">
        <v>0</v>
      </c>
      <c r="D50" s="5">
        <v>0</v>
      </c>
      <c r="E50" s="75">
        <v>0</v>
      </c>
      <c r="F50" s="5"/>
      <c r="G50" s="5"/>
      <c r="H50" s="5"/>
      <c r="I50" s="5"/>
      <c r="T50" s="1"/>
      <c r="Y50" s="37"/>
      <c r="Z50" s="1"/>
    </row>
    <row r="51" spans="2:26" x14ac:dyDescent="0.35">
      <c r="B51" s="4" t="s">
        <v>789</v>
      </c>
      <c r="C51" s="68">
        <v>0</v>
      </c>
      <c r="D51" s="5">
        <v>0</v>
      </c>
      <c r="E51" s="75">
        <v>0</v>
      </c>
      <c r="F51" s="5"/>
      <c r="G51" s="5"/>
      <c r="H51" s="5"/>
      <c r="I51" s="5"/>
      <c r="T51" s="1"/>
      <c r="Z51" s="1"/>
    </row>
    <row r="52" spans="2:26" x14ac:dyDescent="0.35">
      <c r="B52" s="4" t="s">
        <v>790</v>
      </c>
      <c r="C52" s="68">
        <v>0</v>
      </c>
      <c r="D52" s="5">
        <v>0</v>
      </c>
      <c r="E52" s="75">
        <v>0</v>
      </c>
      <c r="F52" s="5"/>
      <c r="G52" s="5"/>
      <c r="H52" s="5"/>
      <c r="I52" s="5"/>
      <c r="T52" s="1"/>
      <c r="Z52" s="1"/>
    </row>
    <row r="53" spans="2:26" ht="15" thickBot="1" x14ac:dyDescent="0.4">
      <c r="B53" s="13" t="s">
        <v>769</v>
      </c>
      <c r="C53" s="74">
        <v>0</v>
      </c>
      <c r="D53" s="17">
        <v>0</v>
      </c>
      <c r="E53" s="76">
        <v>0</v>
      </c>
      <c r="F53" s="5"/>
      <c r="G53" s="5"/>
      <c r="H53" s="5"/>
      <c r="I53" s="5"/>
      <c r="T53" s="1"/>
      <c r="Z53" s="1"/>
    </row>
    <row r="54" spans="2:26" x14ac:dyDescent="0.35">
      <c r="Z54" s="1"/>
    </row>
    <row r="55" spans="2:26" ht="15" thickBot="1" x14ac:dyDescent="0.4">
      <c r="C55" s="1"/>
      <c r="D55" s="1"/>
      <c r="E55" s="1"/>
      <c r="F55" s="1"/>
      <c r="G55" s="1"/>
      <c r="H55" s="1"/>
      <c r="I55" s="1"/>
      <c r="J55" s="1"/>
      <c r="K55" s="1"/>
      <c r="L55" s="1"/>
      <c r="M55" s="1"/>
      <c r="N55" s="1"/>
      <c r="O55" s="1"/>
      <c r="P55" s="1"/>
      <c r="Q55" s="1"/>
      <c r="R55" s="1"/>
      <c r="S55" s="1"/>
      <c r="T55" s="1"/>
    </row>
    <row r="56" spans="2:26" ht="15" thickBot="1" x14ac:dyDescent="0.4">
      <c r="B56" s="245" t="s">
        <v>822</v>
      </c>
      <c r="C56" s="246"/>
    </row>
    <row r="57" spans="2:26" x14ac:dyDescent="0.35">
      <c r="B57" s="80"/>
      <c r="C57" s="81" t="s">
        <v>826</v>
      </c>
    </row>
    <row r="58" spans="2:26" x14ac:dyDescent="0.35">
      <c r="B58" s="4" t="s">
        <v>823</v>
      </c>
      <c r="C58" s="122">
        <v>0</v>
      </c>
    </row>
    <row r="59" spans="2:26" x14ac:dyDescent="0.35">
      <c r="B59" s="4" t="s">
        <v>824</v>
      </c>
      <c r="C59" s="122">
        <v>0</v>
      </c>
    </row>
    <row r="60" spans="2:26" ht="15" thickBot="1" x14ac:dyDescent="0.4">
      <c r="B60" s="13" t="s">
        <v>825</v>
      </c>
      <c r="C60" s="123">
        <v>0</v>
      </c>
    </row>
    <row r="72" spans="3:20" x14ac:dyDescent="0.35">
      <c r="C72" s="2"/>
    </row>
    <row r="73" spans="3:20" x14ac:dyDescent="0.35">
      <c r="C73" s="10"/>
      <c r="D73" s="27"/>
      <c r="E73" s="27"/>
      <c r="F73" s="27"/>
      <c r="G73" s="27"/>
      <c r="H73" s="27"/>
      <c r="I73" s="27"/>
      <c r="J73" s="27"/>
      <c r="K73" s="27"/>
      <c r="L73" s="27"/>
      <c r="M73" s="27"/>
      <c r="N73" s="27"/>
      <c r="O73" s="27"/>
      <c r="P73" s="27"/>
      <c r="Q73" s="27"/>
      <c r="R73" s="27"/>
      <c r="S73" s="27"/>
      <c r="T73" s="27"/>
    </row>
    <row r="74" spans="3:20" x14ac:dyDescent="0.35">
      <c r="C74" s="12"/>
    </row>
    <row r="75" spans="3:20" x14ac:dyDescent="0.35">
      <c r="C75" s="12"/>
      <c r="D75" s="12"/>
      <c r="E75" s="12"/>
      <c r="F75" s="12"/>
      <c r="G75" s="12"/>
      <c r="H75" s="12"/>
      <c r="I75" s="12"/>
      <c r="J75" s="12"/>
      <c r="K75" s="12"/>
      <c r="L75" s="12"/>
      <c r="M75" s="12"/>
      <c r="N75" s="12"/>
      <c r="O75" s="12"/>
      <c r="P75" s="12"/>
      <c r="Q75" s="12"/>
      <c r="R75" s="12"/>
      <c r="S75" s="12"/>
      <c r="T75" s="12"/>
    </row>
    <row r="76" spans="3:20" x14ac:dyDescent="0.35">
      <c r="C76" s="1"/>
      <c r="D76" s="1"/>
      <c r="E76" s="1"/>
      <c r="F76" s="1"/>
      <c r="G76" s="1"/>
      <c r="H76" s="1"/>
      <c r="I76" s="1"/>
      <c r="J76" s="1"/>
      <c r="K76" s="1"/>
      <c r="L76" s="1"/>
      <c r="M76" s="1"/>
      <c r="N76" s="1"/>
      <c r="O76" s="1"/>
      <c r="P76" s="1"/>
      <c r="Q76" s="1"/>
      <c r="R76" s="1"/>
      <c r="S76" s="1"/>
      <c r="T76" s="1"/>
    </row>
    <row r="77" spans="3:20" x14ac:dyDescent="0.35">
      <c r="C77" s="1"/>
      <c r="D77" s="1"/>
      <c r="E77" s="1"/>
      <c r="F77" s="1"/>
      <c r="G77" s="1"/>
      <c r="H77" s="1"/>
      <c r="I77" s="1"/>
      <c r="J77" s="1"/>
      <c r="K77" s="1"/>
      <c r="L77" s="1"/>
      <c r="M77" s="1"/>
      <c r="N77" s="1"/>
      <c r="O77" s="1"/>
      <c r="P77" s="1"/>
      <c r="Q77" s="1"/>
      <c r="R77" s="1"/>
      <c r="S77" s="1"/>
      <c r="T77" s="1"/>
    </row>
    <row r="78" spans="3:20" x14ac:dyDescent="0.35">
      <c r="C78" s="1"/>
      <c r="D78" s="1"/>
      <c r="E78" s="1"/>
      <c r="F78" s="1"/>
      <c r="G78" s="1"/>
      <c r="H78" s="1"/>
      <c r="I78" s="1"/>
      <c r="J78" s="1"/>
      <c r="K78" s="1"/>
      <c r="L78" s="1"/>
      <c r="M78" s="1"/>
      <c r="N78" s="1"/>
      <c r="O78" s="1"/>
      <c r="P78" s="1"/>
      <c r="Q78" s="1"/>
      <c r="R78" s="1"/>
      <c r="S78" s="1"/>
      <c r="T78" s="1"/>
    </row>
    <row r="79" spans="3:20" x14ac:dyDescent="0.35">
      <c r="C79" s="1"/>
      <c r="D79" s="1"/>
      <c r="E79" s="1"/>
      <c r="F79" s="1"/>
      <c r="G79" s="1"/>
      <c r="H79" s="1"/>
      <c r="I79" s="1"/>
      <c r="J79" s="1"/>
      <c r="K79" s="1"/>
      <c r="L79" s="1"/>
      <c r="M79" s="1"/>
      <c r="N79" s="1"/>
      <c r="O79" s="1"/>
      <c r="P79" s="1"/>
      <c r="Q79" s="1"/>
      <c r="R79" s="1"/>
      <c r="S79" s="1"/>
      <c r="T79" s="1"/>
    </row>
    <row r="80" spans="3:20" x14ac:dyDescent="0.35">
      <c r="C80" s="1"/>
      <c r="D80" s="1"/>
      <c r="E80" s="1"/>
      <c r="F80" s="1"/>
      <c r="G80" s="1"/>
      <c r="H80" s="1"/>
      <c r="I80" s="1"/>
      <c r="J80" s="1"/>
      <c r="K80" s="1"/>
      <c r="L80" s="1"/>
      <c r="M80" s="1"/>
      <c r="N80" s="1"/>
      <c r="O80" s="1"/>
      <c r="P80" s="1"/>
      <c r="Q80" s="1"/>
      <c r="R80" s="1"/>
      <c r="S80" s="1"/>
      <c r="T80" s="1"/>
    </row>
    <row r="81" spans="2:20" x14ac:dyDescent="0.35">
      <c r="C81" s="1"/>
      <c r="D81" s="1"/>
      <c r="E81" s="1"/>
      <c r="F81" s="1"/>
      <c r="G81" s="1"/>
      <c r="H81" s="1"/>
      <c r="I81" s="1"/>
      <c r="J81" s="1"/>
      <c r="K81" s="1"/>
      <c r="L81" s="1"/>
      <c r="M81" s="1"/>
      <c r="N81" s="1"/>
      <c r="O81" s="1"/>
      <c r="P81" s="1"/>
      <c r="Q81" s="1"/>
      <c r="R81" s="1"/>
      <c r="S81" s="1"/>
      <c r="T81" s="1"/>
    </row>
    <row r="82" spans="2:20" x14ac:dyDescent="0.35">
      <c r="C82" s="1"/>
      <c r="D82" s="1"/>
      <c r="E82" s="1"/>
      <c r="F82" s="1"/>
      <c r="G82" s="1"/>
      <c r="H82" s="1"/>
      <c r="I82" s="1"/>
      <c r="J82" s="1"/>
      <c r="K82" s="1"/>
      <c r="L82" s="1"/>
      <c r="M82" s="1"/>
      <c r="N82" s="1"/>
      <c r="O82" s="1"/>
      <c r="P82" s="1"/>
      <c r="Q82" s="1"/>
      <c r="R82" s="1"/>
      <c r="S82" s="1"/>
      <c r="T82" s="1"/>
    </row>
    <row r="83" spans="2:20" x14ac:dyDescent="0.35">
      <c r="C83" s="1"/>
      <c r="D83" s="1"/>
      <c r="E83" s="1"/>
      <c r="F83" s="1"/>
      <c r="G83" s="1"/>
      <c r="H83" s="1"/>
      <c r="I83" s="1"/>
      <c r="J83" s="1"/>
      <c r="K83" s="1"/>
      <c r="L83" s="1"/>
      <c r="M83" s="1"/>
      <c r="N83" s="1"/>
      <c r="O83" s="1"/>
      <c r="P83" s="1"/>
      <c r="Q83" s="1"/>
      <c r="R83" s="1"/>
      <c r="S83" s="1"/>
      <c r="T83" s="1"/>
    </row>
    <row r="84" spans="2:20" x14ac:dyDescent="0.35">
      <c r="C84" s="1"/>
      <c r="D84" s="1"/>
      <c r="E84" s="1"/>
      <c r="F84" s="1"/>
      <c r="G84" s="1"/>
      <c r="H84" s="1"/>
      <c r="I84" s="1"/>
      <c r="J84" s="1"/>
      <c r="K84" s="1"/>
      <c r="L84" s="1"/>
      <c r="M84" s="1"/>
      <c r="N84" s="1"/>
      <c r="O84" s="1"/>
      <c r="P84" s="1"/>
      <c r="Q84" s="1"/>
      <c r="R84" s="1"/>
      <c r="S84" s="1"/>
      <c r="T84" s="1"/>
    </row>
    <row r="85" spans="2:20" x14ac:dyDescent="0.35">
      <c r="C85" s="1"/>
      <c r="D85" s="1"/>
      <c r="E85" s="1"/>
      <c r="F85" s="1"/>
      <c r="G85" s="1"/>
      <c r="H85" s="1"/>
      <c r="I85" s="1"/>
      <c r="J85" s="1"/>
      <c r="K85" s="1"/>
      <c r="L85" s="1"/>
      <c r="M85" s="1"/>
      <c r="N85" s="1"/>
      <c r="O85" s="1"/>
      <c r="P85" s="1"/>
      <c r="Q85" s="1"/>
      <c r="R85" s="1"/>
      <c r="S85" s="1"/>
      <c r="T85" s="1"/>
    </row>
    <row r="86" spans="2:20" x14ac:dyDescent="0.35">
      <c r="C86" s="1"/>
      <c r="D86" s="1"/>
      <c r="E86" s="1"/>
      <c r="F86" s="1"/>
      <c r="G86" s="1"/>
      <c r="H86" s="1"/>
      <c r="I86" s="1"/>
      <c r="J86" s="1"/>
      <c r="K86" s="1"/>
      <c r="L86" s="1"/>
      <c r="M86" s="1"/>
      <c r="N86" s="1"/>
      <c r="O86" s="1"/>
      <c r="P86" s="1"/>
      <c r="Q86" s="1"/>
      <c r="R86" s="1"/>
      <c r="S86" s="1"/>
      <c r="T86" s="1"/>
    </row>
    <row r="87" spans="2:20" x14ac:dyDescent="0.35">
      <c r="C87" s="1"/>
      <c r="D87" s="1"/>
      <c r="E87" s="1"/>
      <c r="F87" s="1"/>
      <c r="G87" s="1"/>
      <c r="H87" s="1"/>
      <c r="I87" s="1"/>
      <c r="J87" s="1"/>
      <c r="K87" s="1"/>
      <c r="L87" s="1"/>
      <c r="M87" s="1"/>
      <c r="N87" s="1"/>
      <c r="O87" s="1"/>
      <c r="P87" s="1"/>
      <c r="Q87" s="1"/>
      <c r="R87" s="1"/>
      <c r="S87" s="1"/>
      <c r="T87" s="1"/>
    </row>
    <row r="88" spans="2:20" x14ac:dyDescent="0.35">
      <c r="C88" s="1"/>
      <c r="D88" s="1"/>
      <c r="E88" s="1"/>
      <c r="F88" s="1"/>
      <c r="G88" s="1"/>
      <c r="H88" s="1"/>
      <c r="I88" s="1"/>
      <c r="J88" s="1"/>
      <c r="K88" s="1"/>
      <c r="L88" s="1"/>
      <c r="M88" s="1"/>
      <c r="N88" s="1"/>
      <c r="O88" s="1"/>
      <c r="P88" s="1"/>
      <c r="Q88" s="1"/>
      <c r="R88" s="1"/>
      <c r="S88" s="1"/>
      <c r="T88" s="1"/>
    </row>
    <row r="95" spans="2:20" x14ac:dyDescent="0.35">
      <c r="B95" s="14"/>
    </row>
  </sheetData>
  <mergeCells count="15">
    <mergeCell ref="Q28:R29"/>
    <mergeCell ref="S28:T29"/>
    <mergeCell ref="B2:D2"/>
    <mergeCell ref="B15:D15"/>
    <mergeCell ref="C28:C29"/>
    <mergeCell ref="D28:E29"/>
    <mergeCell ref="F28:F29"/>
    <mergeCell ref="G28:H28"/>
    <mergeCell ref="F27:T27"/>
    <mergeCell ref="B56:C56"/>
    <mergeCell ref="B34:E34"/>
    <mergeCell ref="O28:P29"/>
    <mergeCell ref="M28:N29"/>
    <mergeCell ref="K28:L29"/>
    <mergeCell ref="I28:J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5" x14ac:dyDescent="0.35"/>
  <cols>
    <col min="1" max="1" width="12" bestFit="1" customWidth="1"/>
    <col min="2" max="2" width="11.6328125" bestFit="1" customWidth="1"/>
    <col min="3" max="3" width="17.90625" bestFit="1" customWidth="1"/>
    <col min="4" max="4" width="15.36328125" bestFit="1" customWidth="1"/>
    <col min="5" max="5" width="21.54296875" bestFit="1" customWidth="1"/>
    <col min="6" max="6" width="10.453125" bestFit="1" customWidth="1"/>
    <col min="7" max="7" width="24.90625" bestFit="1" customWidth="1"/>
    <col min="8" max="8" width="36.90625" bestFit="1" customWidth="1"/>
  </cols>
  <sheetData>
    <row r="1" spans="1:8" x14ac:dyDescent="0.35">
      <c r="A1" t="s">
        <v>760</v>
      </c>
      <c r="B1" t="s">
        <v>761</v>
      </c>
      <c r="C1" t="s">
        <v>1</v>
      </c>
      <c r="D1" t="s">
        <v>2</v>
      </c>
      <c r="E1" t="s">
        <v>762</v>
      </c>
      <c r="F1" t="s">
        <v>792</v>
      </c>
      <c r="G1" t="s">
        <v>793</v>
      </c>
      <c r="H1" t="s">
        <v>794</v>
      </c>
    </row>
    <row r="2" spans="1:8" x14ac:dyDescent="0.35">
      <c r="A2">
        <v>1</v>
      </c>
      <c r="B2" s="46" t="s">
        <v>757</v>
      </c>
      <c r="C2" s="46"/>
      <c r="E2" t="s">
        <v>763</v>
      </c>
      <c r="F2" s="46">
        <v>0.3833333333333333</v>
      </c>
      <c r="G2" s="46">
        <v>0.51111111111111118</v>
      </c>
      <c r="H2" t="s">
        <v>795</v>
      </c>
    </row>
    <row r="3" spans="1:8" x14ac:dyDescent="0.35">
      <c r="A3">
        <v>2</v>
      </c>
      <c r="B3" s="46" t="s">
        <v>757</v>
      </c>
      <c r="E3" t="s">
        <v>764</v>
      </c>
      <c r="F3" s="46">
        <v>0.43541666666666662</v>
      </c>
    </row>
    <row r="4" spans="1:8" x14ac:dyDescent="0.35">
      <c r="A4">
        <v>3</v>
      </c>
      <c r="B4" s="46" t="s">
        <v>757</v>
      </c>
      <c r="C4" s="46"/>
      <c r="E4" t="s">
        <v>764</v>
      </c>
      <c r="F4" s="46">
        <v>0.44305555555555554</v>
      </c>
      <c r="G4" s="46">
        <v>0.50208333333333333</v>
      </c>
      <c r="H4" t="s">
        <v>796</v>
      </c>
    </row>
    <row r="5" spans="1:8" x14ac:dyDescent="0.35">
      <c r="A5">
        <v>4</v>
      </c>
      <c r="B5" s="46" t="s">
        <v>757</v>
      </c>
      <c r="C5" s="46"/>
      <c r="E5" t="s">
        <v>765</v>
      </c>
      <c r="F5" s="46">
        <v>0.45277777777777778</v>
      </c>
      <c r="G5" s="46">
        <v>0.5395833333333333</v>
      </c>
      <c r="H5" t="s">
        <v>797</v>
      </c>
    </row>
    <row r="6" spans="1:8" x14ac:dyDescent="0.35">
      <c r="A6">
        <v>5</v>
      </c>
      <c r="B6" s="46" t="s">
        <v>757</v>
      </c>
      <c r="C6" s="46"/>
      <c r="E6" t="s">
        <v>766</v>
      </c>
      <c r="F6" s="46">
        <v>0.45347222222222222</v>
      </c>
      <c r="G6" s="46">
        <v>0.54861111111111105</v>
      </c>
      <c r="H6" t="s">
        <v>798</v>
      </c>
    </row>
    <row r="7" spans="1:8" x14ac:dyDescent="0.35">
      <c r="A7">
        <v>6</v>
      </c>
      <c r="B7" s="46" t="s">
        <v>757</v>
      </c>
      <c r="C7" s="46"/>
      <c r="E7" t="s">
        <v>767</v>
      </c>
      <c r="F7" s="46">
        <v>0.46458333333333335</v>
      </c>
      <c r="G7" s="46">
        <v>0.5541666666666667</v>
      </c>
      <c r="H7" t="s">
        <v>799</v>
      </c>
    </row>
    <row r="8" spans="1:8" x14ac:dyDescent="0.35">
      <c r="A8">
        <v>7</v>
      </c>
      <c r="B8" s="46" t="s">
        <v>757</v>
      </c>
      <c r="C8" s="46"/>
      <c r="E8" t="s">
        <v>764</v>
      </c>
      <c r="F8" s="46">
        <v>0.54652777777777783</v>
      </c>
      <c r="G8" s="46">
        <v>0.59305555555555556</v>
      </c>
      <c r="H8" t="s">
        <v>800</v>
      </c>
    </row>
    <row r="9" spans="1:8" x14ac:dyDescent="0.35">
      <c r="A9">
        <v>8</v>
      </c>
      <c r="B9" s="46" t="s">
        <v>757</v>
      </c>
      <c r="C9" s="46"/>
      <c r="E9" t="s">
        <v>767</v>
      </c>
      <c r="F9" s="46">
        <v>0.54652777777777783</v>
      </c>
      <c r="G9" s="46">
        <v>0.61805555555555558</v>
      </c>
      <c r="H9" t="s">
        <v>801</v>
      </c>
    </row>
    <row r="10" spans="1:8" x14ac:dyDescent="0.35">
      <c r="A10">
        <v>9</v>
      </c>
      <c r="B10" s="46" t="s">
        <v>757</v>
      </c>
      <c r="C10" s="46"/>
      <c r="E10" t="s">
        <v>764</v>
      </c>
      <c r="F10" s="46">
        <v>0.5083333333333333</v>
      </c>
      <c r="G10" s="46">
        <v>0.5854166666666667</v>
      </c>
      <c r="H10" t="s">
        <v>802</v>
      </c>
    </row>
    <row r="11" spans="1:8" x14ac:dyDescent="0.35">
      <c r="A11">
        <v>10</v>
      </c>
      <c r="B11" s="46" t="s">
        <v>757</v>
      </c>
      <c r="C11" s="46"/>
      <c r="E11" t="s">
        <v>763</v>
      </c>
      <c r="F11" s="46">
        <v>0.52708333333333335</v>
      </c>
      <c r="G11" s="46">
        <v>0.6</v>
      </c>
      <c r="H11" t="s">
        <v>803</v>
      </c>
    </row>
    <row r="12" spans="1:8" x14ac:dyDescent="0.35">
      <c r="A12">
        <v>11</v>
      </c>
      <c r="B12" s="46" t="s">
        <v>757</v>
      </c>
      <c r="C12" s="46"/>
      <c r="E12" t="s">
        <v>766</v>
      </c>
      <c r="F12" s="46">
        <v>0.37708333333333338</v>
      </c>
      <c r="G12" s="46">
        <v>0.48055555555555557</v>
      </c>
      <c r="H12" t="s">
        <v>804</v>
      </c>
    </row>
    <row r="13" spans="1:8" x14ac:dyDescent="0.35">
      <c r="A13">
        <v>12</v>
      </c>
      <c r="B13" s="46" t="s">
        <v>757</v>
      </c>
      <c r="C13" s="46"/>
      <c r="E13" t="s">
        <v>767</v>
      </c>
      <c r="F13" s="46">
        <v>0.40416666666666662</v>
      </c>
      <c r="G13" s="46">
        <v>0.50138888888888888</v>
      </c>
      <c r="H13" t="s">
        <v>805</v>
      </c>
    </row>
    <row r="14" spans="1:8" x14ac:dyDescent="0.35">
      <c r="A14">
        <v>13</v>
      </c>
      <c r="B14" s="46" t="s">
        <v>757</v>
      </c>
      <c r="C14" s="46"/>
      <c r="E14" t="s">
        <v>767</v>
      </c>
      <c r="F14" s="46">
        <v>0.43402777777777773</v>
      </c>
      <c r="G14" s="46">
        <v>0.53541666666666665</v>
      </c>
      <c r="H14" t="s">
        <v>806</v>
      </c>
    </row>
    <row r="15" spans="1:8" x14ac:dyDescent="0.35">
      <c r="A15">
        <v>14</v>
      </c>
      <c r="B15" s="46" t="s">
        <v>757</v>
      </c>
      <c r="E15" t="s">
        <v>764</v>
      </c>
      <c r="F15" s="46">
        <v>0.44513888888888892</v>
      </c>
    </row>
    <row r="16" spans="1:8" x14ac:dyDescent="0.35">
      <c r="A16">
        <v>15</v>
      </c>
      <c r="B16" s="46" t="s">
        <v>757</v>
      </c>
      <c r="E16" t="s">
        <v>764</v>
      </c>
      <c r="F16" s="46">
        <v>0.47500000000000003</v>
      </c>
    </row>
    <row r="17" spans="1:8" x14ac:dyDescent="0.35">
      <c r="A17">
        <v>16</v>
      </c>
      <c r="B17" s="46" t="s">
        <v>757</v>
      </c>
      <c r="E17" t="s">
        <v>768</v>
      </c>
      <c r="F17" s="46">
        <v>0.36458333333333331</v>
      </c>
    </row>
    <row r="18" spans="1:8" x14ac:dyDescent="0.35">
      <c r="A18">
        <v>17</v>
      </c>
      <c r="B18" s="46" t="s">
        <v>757</v>
      </c>
      <c r="C18" s="46"/>
      <c r="E18" t="s">
        <v>768</v>
      </c>
      <c r="F18" s="46">
        <v>0.42152777777777778</v>
      </c>
      <c r="G18" s="46">
        <v>0.51041666666666663</v>
      </c>
      <c r="H18" t="s">
        <v>807</v>
      </c>
    </row>
    <row r="19" spans="1:8" x14ac:dyDescent="0.35">
      <c r="A19">
        <v>18</v>
      </c>
      <c r="B19" s="46" t="s">
        <v>757</v>
      </c>
      <c r="E19" t="s">
        <v>769</v>
      </c>
      <c r="F19" s="46">
        <v>0.45902777777777781</v>
      </c>
    </row>
    <row r="20" spans="1:8" x14ac:dyDescent="0.35">
      <c r="A20">
        <v>19</v>
      </c>
      <c r="B20" s="46" t="s">
        <v>757</v>
      </c>
      <c r="E20" t="s">
        <v>764</v>
      </c>
      <c r="F20" s="46">
        <v>0.46319444444444446</v>
      </c>
    </row>
    <row r="21" spans="1:8" x14ac:dyDescent="0.35">
      <c r="A21">
        <v>20</v>
      </c>
      <c r="B21" s="46" t="s">
        <v>757</v>
      </c>
      <c r="E21" t="s">
        <v>770</v>
      </c>
      <c r="F21" s="46">
        <v>0.64583333333333337</v>
      </c>
      <c r="G21" s="46">
        <v>0.63888888888888895</v>
      </c>
      <c r="H21" t="s">
        <v>843</v>
      </c>
    </row>
    <row r="22" spans="1:8" x14ac:dyDescent="0.35">
      <c r="A22">
        <v>21</v>
      </c>
      <c r="B22" s="46" t="s">
        <v>757</v>
      </c>
      <c r="C22" s="46"/>
      <c r="E22" t="s">
        <v>770</v>
      </c>
      <c r="F22" s="46">
        <v>0.36874999999999997</v>
      </c>
      <c r="G22" s="46">
        <v>0.43402777777777773</v>
      </c>
      <c r="H22" t="s">
        <v>808</v>
      </c>
    </row>
    <row r="23" spans="1:8" x14ac:dyDescent="0.35">
      <c r="A23">
        <v>22</v>
      </c>
      <c r="B23" s="46" t="s">
        <v>757</v>
      </c>
      <c r="C23" s="46"/>
      <c r="E23" t="s">
        <v>766</v>
      </c>
      <c r="F23" s="46">
        <v>0.3888888888888889</v>
      </c>
      <c r="G23" s="46">
        <v>0.47361111111111115</v>
      </c>
      <c r="H23" t="s">
        <v>809</v>
      </c>
    </row>
    <row r="24" spans="1:8" x14ac:dyDescent="0.35">
      <c r="A24">
        <v>23</v>
      </c>
      <c r="B24" s="46" t="s">
        <v>757</v>
      </c>
      <c r="C24" s="46"/>
      <c r="E24" t="s">
        <v>771</v>
      </c>
      <c r="F24" s="46">
        <v>0.3972222222222222</v>
      </c>
      <c r="G24" s="46">
        <v>0.47083333333333338</v>
      </c>
      <c r="H24" t="s">
        <v>810</v>
      </c>
    </row>
    <row r="25" spans="1:8" x14ac:dyDescent="0.35">
      <c r="A25">
        <v>24</v>
      </c>
      <c r="B25" s="46" t="s">
        <v>757</v>
      </c>
      <c r="C25" s="46"/>
      <c r="E25" t="s">
        <v>772</v>
      </c>
      <c r="F25" s="46">
        <v>0.40625</v>
      </c>
      <c r="G25" s="46">
        <v>0.5083333333333333</v>
      </c>
      <c r="H25" t="s">
        <v>811</v>
      </c>
    </row>
    <row r="26" spans="1:8" x14ac:dyDescent="0.35">
      <c r="A26">
        <v>25</v>
      </c>
      <c r="B26" s="46" t="s">
        <v>757</v>
      </c>
      <c r="C26" s="46"/>
      <c r="E26" t="s">
        <v>765</v>
      </c>
      <c r="F26" s="46">
        <v>0.43958333333333338</v>
      </c>
      <c r="G26" s="46">
        <v>0.54999999999999993</v>
      </c>
      <c r="H26" t="s">
        <v>812</v>
      </c>
    </row>
    <row r="27" spans="1:8" x14ac:dyDescent="0.35">
      <c r="A27">
        <v>26</v>
      </c>
      <c r="B27" s="46" t="s">
        <v>757</v>
      </c>
      <c r="C27" s="46"/>
      <c r="E27" t="s">
        <v>763</v>
      </c>
      <c r="F27" s="46">
        <v>0.47916666666666669</v>
      </c>
      <c r="G27" s="46">
        <v>0.56944444444444442</v>
      </c>
      <c r="H27" t="s">
        <v>813</v>
      </c>
    </row>
    <row r="28" spans="1:8" x14ac:dyDescent="0.35">
      <c r="A28">
        <v>27</v>
      </c>
      <c r="B28" s="46" t="s">
        <v>757</v>
      </c>
      <c r="E28" t="s">
        <v>764</v>
      </c>
      <c r="F28" s="46">
        <v>0.49305555555555558</v>
      </c>
    </row>
    <row r="29" spans="1:8" x14ac:dyDescent="0.35">
      <c r="A29">
        <v>28</v>
      </c>
      <c r="B29" s="46" t="s">
        <v>757</v>
      </c>
      <c r="E29" t="s">
        <v>768</v>
      </c>
      <c r="F29" s="46">
        <v>0.52777777777777779</v>
      </c>
    </row>
    <row r="30" spans="1:8" x14ac:dyDescent="0.35">
      <c r="A30">
        <v>29</v>
      </c>
      <c r="B30" s="46" t="s">
        <v>757</v>
      </c>
      <c r="C30" s="46"/>
      <c r="E30" t="s">
        <v>771</v>
      </c>
      <c r="F30" s="46">
        <v>0.56041666666666667</v>
      </c>
      <c r="G30" s="46">
        <v>0.62847222222222221</v>
      </c>
      <c r="H30" t="s">
        <v>814</v>
      </c>
    </row>
    <row r="31" spans="1:8" x14ac:dyDescent="0.35">
      <c r="A31">
        <v>30</v>
      </c>
      <c r="B31" s="46" t="s">
        <v>757</v>
      </c>
      <c r="E31" t="s">
        <v>768</v>
      </c>
      <c r="F31" s="46">
        <v>0.36805555555555558</v>
      </c>
    </row>
    <row r="32" spans="1:8" x14ac:dyDescent="0.35">
      <c r="A32">
        <v>31</v>
      </c>
      <c r="B32" s="46" t="s">
        <v>757</v>
      </c>
      <c r="C32" s="46"/>
      <c r="E32" t="s">
        <v>765</v>
      </c>
      <c r="F32" s="46">
        <v>0.40972222222222227</v>
      </c>
      <c r="G32" s="46">
        <v>0.46597222222222223</v>
      </c>
      <c r="H32" t="s">
        <v>815</v>
      </c>
    </row>
    <row r="33" spans="1:8" x14ac:dyDescent="0.35">
      <c r="A33">
        <v>32</v>
      </c>
      <c r="B33" s="46" t="s">
        <v>757</v>
      </c>
      <c r="C33" s="46"/>
      <c r="E33" t="s">
        <v>765</v>
      </c>
      <c r="F33" s="46">
        <v>0.43055555555555558</v>
      </c>
      <c r="G33" s="46">
        <v>0.49652777777777773</v>
      </c>
      <c r="H33" t="s">
        <v>816</v>
      </c>
    </row>
    <row r="34" spans="1:8" x14ac:dyDescent="0.35">
      <c r="A34">
        <v>33</v>
      </c>
      <c r="B34" s="46" t="s">
        <v>757</v>
      </c>
      <c r="E34" t="s">
        <v>772</v>
      </c>
      <c r="F34" s="46">
        <v>0.44513888888888892</v>
      </c>
    </row>
    <row r="35" spans="1:8" x14ac:dyDescent="0.35">
      <c r="A35">
        <v>34</v>
      </c>
      <c r="B35" s="46" t="s">
        <v>757</v>
      </c>
      <c r="E35" t="s">
        <v>770</v>
      </c>
      <c r="F35" s="46">
        <v>0.45763888888888887</v>
      </c>
    </row>
    <row r="36" spans="1:8" x14ac:dyDescent="0.35">
      <c r="A36">
        <v>35</v>
      </c>
      <c r="B36" s="46" t="s">
        <v>757</v>
      </c>
      <c r="C36" s="46"/>
      <c r="E36" t="s">
        <v>763</v>
      </c>
      <c r="F36" s="46">
        <v>0.47361111111111115</v>
      </c>
      <c r="G36" s="46">
        <v>0.55138888888888882</v>
      </c>
      <c r="H36" t="s">
        <v>817</v>
      </c>
    </row>
    <row r="37" spans="1:8" x14ac:dyDescent="0.35">
      <c r="A37">
        <v>36</v>
      </c>
      <c r="B37" s="46" t="s">
        <v>757</v>
      </c>
      <c r="C37" s="46"/>
      <c r="E37" t="s">
        <v>768</v>
      </c>
      <c r="F37" s="46">
        <v>0.47291666666666665</v>
      </c>
      <c r="G37" s="46">
        <v>0.55625000000000002</v>
      </c>
      <c r="H37">
        <v>2</v>
      </c>
    </row>
    <row r="38" spans="1:8" x14ac:dyDescent="0.35">
      <c r="A38">
        <v>37</v>
      </c>
      <c r="B38" s="46" t="s">
        <v>757</v>
      </c>
      <c r="C38" s="46"/>
      <c r="E38" t="s">
        <v>769</v>
      </c>
      <c r="F38" s="46">
        <v>0.47986111111111113</v>
      </c>
      <c r="G38" s="46">
        <v>0.56319444444444444</v>
      </c>
      <c r="H38">
        <v>2</v>
      </c>
    </row>
    <row r="39" spans="1:8" x14ac:dyDescent="0.35">
      <c r="A39">
        <v>38</v>
      </c>
      <c r="B39" s="46" t="s">
        <v>757</v>
      </c>
      <c r="C39" s="46"/>
      <c r="E39" t="s">
        <v>764</v>
      </c>
      <c r="F39" s="46">
        <v>0.47638888888888892</v>
      </c>
      <c r="G39" s="46">
        <v>0.56388888888888888</v>
      </c>
      <c r="H39" t="s">
        <v>818</v>
      </c>
    </row>
    <row r="40" spans="1:8" x14ac:dyDescent="0.35">
      <c r="A40">
        <v>39</v>
      </c>
      <c r="B40" s="46" t="s">
        <v>757</v>
      </c>
      <c r="C40" s="46"/>
      <c r="E40" t="s">
        <v>765</v>
      </c>
      <c r="F40" s="46">
        <v>0.58680555555555558</v>
      </c>
      <c r="G40" s="46">
        <v>0.64583333333333337</v>
      </c>
      <c r="H40" t="s">
        <v>796</v>
      </c>
    </row>
    <row r="41" spans="1:8" x14ac:dyDescent="0.35">
      <c r="A41">
        <v>40</v>
      </c>
      <c r="B41" s="46" t="s">
        <v>757</v>
      </c>
      <c r="C41" s="46"/>
      <c r="E41" t="s">
        <v>769</v>
      </c>
      <c r="F41" s="46">
        <v>0.37777777777777777</v>
      </c>
      <c r="G41" s="46">
        <v>0.45</v>
      </c>
      <c r="H41" t="s">
        <v>819</v>
      </c>
    </row>
    <row r="42" spans="1:8" x14ac:dyDescent="0.35">
      <c r="A42">
        <v>41</v>
      </c>
      <c r="B42" s="46" t="s">
        <v>757</v>
      </c>
      <c r="E42" t="s">
        <v>770</v>
      </c>
      <c r="F42" s="46">
        <v>0.3923611111111111</v>
      </c>
    </row>
    <row r="43" spans="1:8" x14ac:dyDescent="0.35">
      <c r="A43">
        <v>42</v>
      </c>
      <c r="B43" s="46" t="s">
        <v>757</v>
      </c>
      <c r="C43" s="46"/>
      <c r="E43" t="s">
        <v>764</v>
      </c>
      <c r="F43" s="46">
        <v>0.40416666666666662</v>
      </c>
      <c r="G43" s="46">
        <v>0.48125000000000001</v>
      </c>
      <c r="H43" t="s">
        <v>802</v>
      </c>
    </row>
    <row r="44" spans="1:8" x14ac:dyDescent="0.35">
      <c r="A44">
        <v>43</v>
      </c>
      <c r="B44" s="46" t="s">
        <v>757</v>
      </c>
      <c r="E44" t="s">
        <v>768</v>
      </c>
      <c r="F44" s="46">
        <v>0.46319444444444446</v>
      </c>
    </row>
    <row r="45" spans="1:8" x14ac:dyDescent="0.35">
      <c r="A45">
        <v>44</v>
      </c>
      <c r="B45" s="46" t="s">
        <v>757</v>
      </c>
      <c r="C45" s="46"/>
      <c r="E45" t="s">
        <v>770</v>
      </c>
      <c r="F45" s="46">
        <v>0.45624999999999999</v>
      </c>
      <c r="G45" s="46">
        <v>0.53680555555555554</v>
      </c>
      <c r="H45" t="s">
        <v>820</v>
      </c>
    </row>
    <row r="46" spans="1:8" x14ac:dyDescent="0.35">
      <c r="A46">
        <v>45</v>
      </c>
      <c r="B46" s="46" t="s">
        <v>757</v>
      </c>
      <c r="C46" s="46"/>
      <c r="E46" t="s">
        <v>766</v>
      </c>
      <c r="F46" s="46">
        <v>0.4861111111111111</v>
      </c>
      <c r="G46" s="46">
        <v>0.53680555555555554</v>
      </c>
      <c r="H46" t="s">
        <v>821</v>
      </c>
    </row>
    <row r="47" spans="1:8" x14ac:dyDescent="0.35">
      <c r="A47">
        <v>46</v>
      </c>
      <c r="B47" s="46" t="s">
        <v>757</v>
      </c>
      <c r="E47" t="s">
        <v>765</v>
      </c>
      <c r="F47" s="46">
        <v>0.50555555555555554</v>
      </c>
      <c r="G47" s="46">
        <v>0.59305555555555556</v>
      </c>
      <c r="H47" t="s">
        <v>818</v>
      </c>
    </row>
    <row r="48" spans="1:8" x14ac:dyDescent="0.35">
      <c r="A48">
        <v>47</v>
      </c>
      <c r="B48" s="46" t="s">
        <v>757</v>
      </c>
      <c r="E48" t="s">
        <v>764</v>
      </c>
      <c r="F48" s="46">
        <v>0.53055555555555556</v>
      </c>
      <c r="G48" s="46">
        <v>0.61111111111111105</v>
      </c>
      <c r="H48" t="s">
        <v>820</v>
      </c>
    </row>
    <row r="49" spans="1:8" x14ac:dyDescent="0.35">
      <c r="A49">
        <v>48</v>
      </c>
      <c r="B49" s="46" t="s">
        <v>757</v>
      </c>
      <c r="E49" t="s">
        <v>765</v>
      </c>
      <c r="F49" s="46">
        <v>0.53333333333333333</v>
      </c>
      <c r="G49" s="46">
        <v>0.60138888888888886</v>
      </c>
      <c r="H49" t="s">
        <v>814</v>
      </c>
    </row>
    <row r="50" spans="1:8" x14ac:dyDescent="0.35">
      <c r="A50">
        <v>49</v>
      </c>
      <c r="B50" t="s">
        <v>757</v>
      </c>
      <c r="E50" t="s">
        <v>764</v>
      </c>
      <c r="F50" s="46">
        <v>0.56805555555555554</v>
      </c>
      <c r="G50" s="46">
        <v>0.65277777777777779</v>
      </c>
      <c r="H50" t="s">
        <v>809</v>
      </c>
    </row>
    <row r="51" spans="1:8" x14ac:dyDescent="0.35">
      <c r="A51">
        <v>50</v>
      </c>
      <c r="B51" t="s">
        <v>757</v>
      </c>
      <c r="E51" t="s">
        <v>768</v>
      </c>
      <c r="F51" s="46">
        <v>0.61041666666666672</v>
      </c>
    </row>
    <row r="52" spans="1:8" x14ac:dyDescent="0.35">
      <c r="A52">
        <v>51</v>
      </c>
      <c r="B52" t="s">
        <v>757</v>
      </c>
      <c r="E52" t="s">
        <v>766</v>
      </c>
      <c r="F52" s="46">
        <v>0.35069444444444442</v>
      </c>
      <c r="G52" s="46">
        <v>0.40416666666666662</v>
      </c>
      <c r="H52" t="s">
        <v>828</v>
      </c>
    </row>
    <row r="53" spans="1:8" x14ac:dyDescent="0.35">
      <c r="A53">
        <v>52</v>
      </c>
      <c r="B53" t="s">
        <v>757</v>
      </c>
      <c r="E53" t="s">
        <v>769</v>
      </c>
      <c r="F53" s="46">
        <v>0.38611111111111113</v>
      </c>
      <c r="G53" s="46">
        <v>0.45555555555555555</v>
      </c>
      <c r="H53" t="s">
        <v>829</v>
      </c>
    </row>
    <row r="54" spans="1:8" x14ac:dyDescent="0.35">
      <c r="A54">
        <v>53</v>
      </c>
      <c r="B54" t="s">
        <v>757</v>
      </c>
      <c r="E54" t="s">
        <v>772</v>
      </c>
      <c r="F54" s="46">
        <v>0.40416666666666662</v>
      </c>
    </row>
    <row r="55" spans="1:8" x14ac:dyDescent="0.35">
      <c r="A55">
        <v>54</v>
      </c>
      <c r="B55" t="s">
        <v>757</v>
      </c>
      <c r="E55" t="s">
        <v>770</v>
      </c>
      <c r="F55" s="46">
        <v>0.4069444444444445</v>
      </c>
    </row>
    <row r="56" spans="1:8" x14ac:dyDescent="0.35">
      <c r="A56">
        <v>55</v>
      </c>
      <c r="B56" t="s">
        <v>757</v>
      </c>
      <c r="E56" t="s">
        <v>763</v>
      </c>
      <c r="F56" s="46">
        <v>0.43263888888888885</v>
      </c>
    </row>
    <row r="57" spans="1:8" x14ac:dyDescent="0.35">
      <c r="A57">
        <v>56</v>
      </c>
      <c r="B57" t="s">
        <v>757</v>
      </c>
      <c r="E57" t="s">
        <v>764</v>
      </c>
      <c r="F57" s="46">
        <v>0.43124999999999997</v>
      </c>
    </row>
    <row r="58" spans="1:8" x14ac:dyDescent="0.35">
      <c r="A58">
        <v>57</v>
      </c>
      <c r="B58" t="s">
        <v>757</v>
      </c>
      <c r="E58" t="s">
        <v>766</v>
      </c>
      <c r="F58" s="46">
        <v>0.44930555555555557</v>
      </c>
      <c r="G58" s="46">
        <v>0.5083333333333333</v>
      </c>
      <c r="H58" t="s">
        <v>796</v>
      </c>
    </row>
    <row r="59" spans="1:8" x14ac:dyDescent="0.35">
      <c r="A59">
        <v>58</v>
      </c>
      <c r="B59" t="s">
        <v>757</v>
      </c>
      <c r="E59" t="s">
        <v>771</v>
      </c>
      <c r="F59" s="46">
        <v>0.47847222222222219</v>
      </c>
      <c r="G59" s="46">
        <v>0.56458333333333333</v>
      </c>
      <c r="H59" t="s">
        <v>830</v>
      </c>
    </row>
    <row r="60" spans="1:8" x14ac:dyDescent="0.35">
      <c r="A60">
        <v>59</v>
      </c>
      <c r="B60" t="s">
        <v>757</v>
      </c>
      <c r="E60" t="s">
        <v>763</v>
      </c>
      <c r="F60" s="46">
        <v>0.47569444444444442</v>
      </c>
      <c r="G60" s="46">
        <v>0.54097222222222219</v>
      </c>
      <c r="H60" t="s">
        <v>808</v>
      </c>
    </row>
    <row r="61" spans="1:8" x14ac:dyDescent="0.35">
      <c r="A61">
        <v>60</v>
      </c>
      <c r="B61" t="s">
        <v>757</v>
      </c>
      <c r="E61" t="s">
        <v>764</v>
      </c>
      <c r="F61" s="46">
        <v>0.49583333333333335</v>
      </c>
      <c r="G61" s="46">
        <v>0.56111111111111112</v>
      </c>
      <c r="H61" t="s">
        <v>808</v>
      </c>
    </row>
    <row r="62" spans="1:8" x14ac:dyDescent="0.35">
      <c r="A62">
        <v>61</v>
      </c>
      <c r="B62" t="s">
        <v>757</v>
      </c>
      <c r="E62" t="s">
        <v>770</v>
      </c>
      <c r="F62" s="46">
        <v>0.48819444444444443</v>
      </c>
      <c r="G62" s="46">
        <v>0.57222222222222219</v>
      </c>
      <c r="H62" t="s">
        <v>831</v>
      </c>
    </row>
    <row r="63" spans="1:8" x14ac:dyDescent="0.35">
      <c r="A63">
        <v>62</v>
      </c>
      <c r="B63" t="s">
        <v>757</v>
      </c>
      <c r="E63" t="s">
        <v>769</v>
      </c>
      <c r="F63" s="46">
        <v>0.53402777777777777</v>
      </c>
    </row>
    <row r="64" spans="1:8" x14ac:dyDescent="0.35">
      <c r="A64">
        <v>63</v>
      </c>
      <c r="B64" t="s">
        <v>757</v>
      </c>
      <c r="E64" t="s">
        <v>769</v>
      </c>
      <c r="F64" s="46">
        <v>0.55277777777777781</v>
      </c>
    </row>
    <row r="65" spans="1:8" x14ac:dyDescent="0.35">
      <c r="A65">
        <v>64</v>
      </c>
      <c r="B65" t="s">
        <v>757</v>
      </c>
      <c r="E65" t="s">
        <v>771</v>
      </c>
      <c r="F65" s="46">
        <v>0.58124999999999993</v>
      </c>
      <c r="G65" s="46">
        <v>0.6645833333333333</v>
      </c>
      <c r="H65">
        <v>2</v>
      </c>
    </row>
    <row r="66" spans="1:8" x14ac:dyDescent="0.35">
      <c r="A66">
        <v>65</v>
      </c>
      <c r="B66" t="s">
        <v>757</v>
      </c>
      <c r="E66" t="s">
        <v>770</v>
      </c>
      <c r="F66" s="46">
        <v>0.37847222222222227</v>
      </c>
    </row>
    <row r="67" spans="1:8" x14ac:dyDescent="0.35">
      <c r="A67">
        <v>66</v>
      </c>
      <c r="B67" t="s">
        <v>757</v>
      </c>
      <c r="E67" t="s">
        <v>771</v>
      </c>
      <c r="F67" s="46">
        <v>0.40069444444444446</v>
      </c>
      <c r="G67" s="46">
        <v>0.49027777777777781</v>
      </c>
      <c r="H67" t="s">
        <v>799</v>
      </c>
    </row>
    <row r="68" spans="1:8" x14ac:dyDescent="0.35">
      <c r="A68">
        <v>67</v>
      </c>
      <c r="B68" t="s">
        <v>757</v>
      </c>
      <c r="E68" t="s">
        <v>769</v>
      </c>
      <c r="F68" s="46">
        <v>0.42708333333333331</v>
      </c>
    </row>
    <row r="69" spans="1:8" x14ac:dyDescent="0.35">
      <c r="A69">
        <v>68</v>
      </c>
      <c r="B69" t="s">
        <v>757</v>
      </c>
      <c r="E69" t="s">
        <v>768</v>
      </c>
      <c r="F69" s="46">
        <v>0.44861111111111113</v>
      </c>
      <c r="G69" s="46">
        <v>0.53472222222222221</v>
      </c>
      <c r="H69" t="s">
        <v>830</v>
      </c>
    </row>
    <row r="70" spans="1:8" x14ac:dyDescent="0.35">
      <c r="A70">
        <v>69</v>
      </c>
      <c r="B70" t="s">
        <v>757</v>
      </c>
      <c r="E70" t="s">
        <v>769</v>
      </c>
      <c r="F70" s="46">
        <v>0.44444444444444442</v>
      </c>
      <c r="G70" s="46">
        <v>0.52569444444444446</v>
      </c>
      <c r="H70" t="s">
        <v>832</v>
      </c>
    </row>
    <row r="71" spans="1:8" x14ac:dyDescent="0.35">
      <c r="A71">
        <v>70</v>
      </c>
      <c r="B71" t="s">
        <v>757</v>
      </c>
      <c r="E71" t="s">
        <v>769</v>
      </c>
      <c r="F71" s="46">
        <v>0.46388888888888885</v>
      </c>
      <c r="G71" s="46">
        <v>0.54722222222222217</v>
      </c>
      <c r="H71">
        <v>2</v>
      </c>
    </row>
    <row r="72" spans="1:8" x14ac:dyDescent="0.35">
      <c r="A72">
        <v>71</v>
      </c>
      <c r="B72" t="s">
        <v>757</v>
      </c>
      <c r="E72" t="s">
        <v>766</v>
      </c>
      <c r="F72" s="46">
        <v>0.50208333333333333</v>
      </c>
      <c r="G72" s="46">
        <v>0.55972222222222223</v>
      </c>
      <c r="H72" t="s">
        <v>833</v>
      </c>
    </row>
    <row r="73" spans="1:8" x14ac:dyDescent="0.35">
      <c r="A73">
        <v>72</v>
      </c>
      <c r="B73" t="s">
        <v>757</v>
      </c>
      <c r="E73" t="s">
        <v>771</v>
      </c>
      <c r="F73" s="46">
        <v>0.55208333333333337</v>
      </c>
      <c r="G73" s="46">
        <v>0.6333333333333333</v>
      </c>
      <c r="H73" t="s">
        <v>832</v>
      </c>
    </row>
    <row r="74" spans="1:8" x14ac:dyDescent="0.35">
      <c r="A74">
        <v>73</v>
      </c>
      <c r="B74" t="s">
        <v>757</v>
      </c>
      <c r="E74" t="s">
        <v>767</v>
      </c>
      <c r="F74" s="46">
        <v>0.54236111111111118</v>
      </c>
      <c r="G74" s="46">
        <v>0.63750000000000007</v>
      </c>
      <c r="H74" t="s">
        <v>798</v>
      </c>
    </row>
    <row r="75" spans="1:8" x14ac:dyDescent="0.35">
      <c r="A75">
        <v>74</v>
      </c>
      <c r="B75" t="s">
        <v>757</v>
      </c>
      <c r="E75" t="s">
        <v>769</v>
      </c>
      <c r="F75" s="46">
        <v>0.57361111111111118</v>
      </c>
    </row>
    <row r="76" spans="1:8" x14ac:dyDescent="0.35">
      <c r="A76">
        <v>75</v>
      </c>
      <c r="B76" t="s">
        <v>757</v>
      </c>
      <c r="E76" t="s">
        <v>769</v>
      </c>
      <c r="F76" s="46">
        <v>0.6381944444444444</v>
      </c>
    </row>
    <row r="77" spans="1:8" x14ac:dyDescent="0.35">
      <c r="A77">
        <v>76</v>
      </c>
      <c r="B77" t="s">
        <v>757</v>
      </c>
      <c r="E77" t="s">
        <v>766</v>
      </c>
      <c r="F77" s="46">
        <v>0.37777777777777777</v>
      </c>
      <c r="G77" s="46">
        <v>0.42638888888888887</v>
      </c>
      <c r="H77" t="s">
        <v>834</v>
      </c>
    </row>
    <row r="78" spans="1:8" x14ac:dyDescent="0.35">
      <c r="A78">
        <v>77</v>
      </c>
      <c r="B78" t="s">
        <v>757</v>
      </c>
      <c r="E78" t="s">
        <v>768</v>
      </c>
      <c r="F78" s="46">
        <v>0.40902777777777777</v>
      </c>
    </row>
    <row r="79" spans="1:8" x14ac:dyDescent="0.35">
      <c r="A79">
        <v>78</v>
      </c>
      <c r="B79" t="s">
        <v>757</v>
      </c>
      <c r="E79" t="s">
        <v>766</v>
      </c>
      <c r="F79" s="46">
        <v>0.4368055555555555</v>
      </c>
      <c r="G79" s="46">
        <v>0.47500000000000003</v>
      </c>
      <c r="H79" t="s">
        <v>835</v>
      </c>
    </row>
    <row r="80" spans="1:8" x14ac:dyDescent="0.35">
      <c r="A80">
        <v>79</v>
      </c>
      <c r="B80" t="s">
        <v>757</v>
      </c>
      <c r="E80" t="s">
        <v>769</v>
      </c>
      <c r="F80" s="46">
        <v>0.43888888888888888</v>
      </c>
      <c r="G80" s="46">
        <v>0.52222222222222225</v>
      </c>
      <c r="H80">
        <v>2</v>
      </c>
    </row>
    <row r="81" spans="1:8" x14ac:dyDescent="0.35">
      <c r="A81">
        <v>80</v>
      </c>
      <c r="B81" t="s">
        <v>757</v>
      </c>
      <c r="E81" t="s">
        <v>772</v>
      </c>
      <c r="F81" s="46">
        <v>0.44722222222222219</v>
      </c>
      <c r="G81" s="46">
        <v>0.52013888888888882</v>
      </c>
      <c r="H81" t="s">
        <v>803</v>
      </c>
    </row>
    <row r="82" spans="1:8" x14ac:dyDescent="0.35">
      <c r="A82">
        <v>81</v>
      </c>
      <c r="B82" t="s">
        <v>757</v>
      </c>
      <c r="E82" t="s">
        <v>770</v>
      </c>
      <c r="F82" s="46">
        <v>0.4465277777777778</v>
      </c>
      <c r="G82" s="46">
        <v>0.52708333333333335</v>
      </c>
      <c r="H82" t="s">
        <v>820</v>
      </c>
    </row>
    <row r="83" spans="1:8" x14ac:dyDescent="0.35">
      <c r="A83">
        <v>82</v>
      </c>
      <c r="B83" t="s">
        <v>757</v>
      </c>
      <c r="E83" t="s">
        <v>764</v>
      </c>
      <c r="F83" s="46">
        <v>0.4548611111111111</v>
      </c>
      <c r="G83" s="46">
        <v>0.53472222222222221</v>
      </c>
      <c r="H83" t="s">
        <v>836</v>
      </c>
    </row>
    <row r="84" spans="1:8" x14ac:dyDescent="0.35">
      <c r="A84">
        <v>83</v>
      </c>
      <c r="B84" t="s">
        <v>757</v>
      </c>
      <c r="E84" t="s">
        <v>772</v>
      </c>
      <c r="F84" s="46">
        <v>0.45277777777777778</v>
      </c>
    </row>
    <row r="85" spans="1:8" x14ac:dyDescent="0.35">
      <c r="A85">
        <v>84</v>
      </c>
      <c r="B85" t="s">
        <v>757</v>
      </c>
      <c r="E85" t="s">
        <v>766</v>
      </c>
      <c r="F85" s="46">
        <v>0.49444444444444446</v>
      </c>
      <c r="G85" s="46">
        <v>0.53402777777777777</v>
      </c>
      <c r="H85" t="s">
        <v>837</v>
      </c>
    </row>
    <row r="86" spans="1:8" x14ac:dyDescent="0.35">
      <c r="A86">
        <v>85</v>
      </c>
      <c r="B86" t="s">
        <v>757</v>
      </c>
      <c r="E86" t="s">
        <v>772</v>
      </c>
      <c r="F86" s="46">
        <v>0.51874999999999993</v>
      </c>
    </row>
    <row r="87" spans="1:8" x14ac:dyDescent="0.35">
      <c r="A87">
        <v>86</v>
      </c>
      <c r="B87" t="s">
        <v>757</v>
      </c>
      <c r="E87" t="s">
        <v>772</v>
      </c>
      <c r="F87" s="46">
        <v>0.54861111111111105</v>
      </c>
      <c r="G87" s="46">
        <v>0.63472222222222219</v>
      </c>
      <c r="H87" t="s">
        <v>830</v>
      </c>
    </row>
    <row r="88" spans="1:8" x14ac:dyDescent="0.35">
      <c r="A88">
        <v>87</v>
      </c>
      <c r="B88" t="s">
        <v>757</v>
      </c>
      <c r="E88" t="s">
        <v>771</v>
      </c>
      <c r="F88" s="46">
        <v>0.39097222222222222</v>
      </c>
      <c r="G88" s="46">
        <v>0.48194444444444445</v>
      </c>
      <c r="H88" t="s">
        <v>838</v>
      </c>
    </row>
    <row r="89" spans="1:8" x14ac:dyDescent="0.35">
      <c r="A89">
        <v>88</v>
      </c>
      <c r="B89" t="s">
        <v>757</v>
      </c>
      <c r="E89" t="s">
        <v>772</v>
      </c>
      <c r="F89" s="46">
        <v>0.39513888888888887</v>
      </c>
      <c r="G89" s="46">
        <v>0.47222222222222227</v>
      </c>
      <c r="H89" t="s">
        <v>802</v>
      </c>
    </row>
    <row r="90" spans="1:8" x14ac:dyDescent="0.35">
      <c r="A90">
        <v>89</v>
      </c>
      <c r="B90" t="s">
        <v>757</v>
      </c>
      <c r="E90" t="s">
        <v>770</v>
      </c>
      <c r="F90" s="46">
        <v>0.40347222222222223</v>
      </c>
      <c r="G90" s="46">
        <v>0.47569444444444442</v>
      </c>
      <c r="H90" t="s">
        <v>819</v>
      </c>
    </row>
    <row r="91" spans="1:8" x14ac:dyDescent="0.35">
      <c r="A91">
        <v>90</v>
      </c>
      <c r="B91" t="s">
        <v>757</v>
      </c>
      <c r="E91" t="s">
        <v>766</v>
      </c>
      <c r="F91" s="46">
        <v>0.43958333333333338</v>
      </c>
      <c r="G91" s="46">
        <v>0.48958333333333331</v>
      </c>
      <c r="H91" t="s">
        <v>839</v>
      </c>
    </row>
    <row r="92" spans="1:8" x14ac:dyDescent="0.35">
      <c r="A92">
        <v>91</v>
      </c>
      <c r="B92" t="s">
        <v>757</v>
      </c>
      <c r="E92" t="s">
        <v>768</v>
      </c>
      <c r="F92" s="46">
        <v>0.40347222222222223</v>
      </c>
      <c r="G92" s="46">
        <v>0.46736111111111112</v>
      </c>
      <c r="H92" t="s">
        <v>844</v>
      </c>
    </row>
    <row r="93" spans="1:8" x14ac:dyDescent="0.35">
      <c r="A93">
        <v>92</v>
      </c>
      <c r="B93" t="s">
        <v>757</v>
      </c>
      <c r="E93" t="s">
        <v>770</v>
      </c>
      <c r="F93" s="46">
        <v>0.45833333333333331</v>
      </c>
    </row>
    <row r="94" spans="1:8" x14ac:dyDescent="0.35">
      <c r="A94">
        <v>93</v>
      </c>
      <c r="B94" t="s">
        <v>757</v>
      </c>
      <c r="E94" t="s">
        <v>772</v>
      </c>
      <c r="F94" s="46">
        <v>0.46458333333333335</v>
      </c>
      <c r="G94" s="46">
        <v>0.53333333333333333</v>
      </c>
      <c r="H94" t="s">
        <v>845</v>
      </c>
    </row>
    <row r="95" spans="1:8" x14ac:dyDescent="0.35">
      <c r="A95">
        <v>94</v>
      </c>
      <c r="B95" t="s">
        <v>757</v>
      </c>
      <c r="E95" t="s">
        <v>772</v>
      </c>
      <c r="F95" s="46">
        <v>0.54027777777777775</v>
      </c>
    </row>
    <row r="96" spans="1:8" x14ac:dyDescent="0.35">
      <c r="A96">
        <v>95</v>
      </c>
      <c r="B96" t="s">
        <v>757</v>
      </c>
      <c r="E96" t="s">
        <v>770</v>
      </c>
      <c r="F96" s="46">
        <v>0.53611111111111109</v>
      </c>
      <c r="G96" s="46">
        <v>0.62986111111111109</v>
      </c>
      <c r="H96" t="s">
        <v>846</v>
      </c>
    </row>
    <row r="97" spans="1:8" x14ac:dyDescent="0.35">
      <c r="A97">
        <v>96</v>
      </c>
      <c r="B97" t="s">
        <v>757</v>
      </c>
      <c r="E97" t="s">
        <v>764</v>
      </c>
      <c r="F97" s="46">
        <v>0.38611111111111113</v>
      </c>
      <c r="G97" s="46">
        <v>0.45624999999999999</v>
      </c>
      <c r="H97" t="s">
        <v>847</v>
      </c>
    </row>
    <row r="98" spans="1:8" x14ac:dyDescent="0.35">
      <c r="A98">
        <v>97</v>
      </c>
      <c r="B98" t="s">
        <v>757</v>
      </c>
      <c r="E98" t="s">
        <v>763</v>
      </c>
      <c r="F98" s="46">
        <v>0.37708333333333338</v>
      </c>
      <c r="G98" s="46">
        <v>0.46736111111111112</v>
      </c>
      <c r="H98" t="s">
        <v>813</v>
      </c>
    </row>
    <row r="99" spans="1:8" x14ac:dyDescent="0.35">
      <c r="A99">
        <v>98</v>
      </c>
      <c r="B99" t="s">
        <v>757</v>
      </c>
      <c r="E99" t="s">
        <v>766</v>
      </c>
      <c r="F99" s="46">
        <v>0.39583333333333331</v>
      </c>
      <c r="G99" s="46">
        <v>0.45416666666666666</v>
      </c>
      <c r="H99" t="s">
        <v>848</v>
      </c>
    </row>
    <row r="100" spans="1:8" x14ac:dyDescent="0.35">
      <c r="A100">
        <v>99</v>
      </c>
      <c r="B100" t="s">
        <v>757</v>
      </c>
      <c r="E100" t="s">
        <v>772</v>
      </c>
      <c r="F100" s="46">
        <v>0.42638888888888887</v>
      </c>
      <c r="G100" s="46">
        <v>0.49861111111111112</v>
      </c>
      <c r="H100" t="s">
        <v>819</v>
      </c>
    </row>
    <row r="101" spans="1:8" x14ac:dyDescent="0.35">
      <c r="A101">
        <v>100</v>
      </c>
      <c r="B101" t="s">
        <v>757</v>
      </c>
      <c r="E101" t="s">
        <v>768</v>
      </c>
      <c r="F101" s="46">
        <v>0.4368055555555555</v>
      </c>
      <c r="G101" s="46">
        <v>0.4826388888888889</v>
      </c>
      <c r="H101" t="s">
        <v>849</v>
      </c>
    </row>
    <row r="102" spans="1:8" x14ac:dyDescent="0.35">
      <c r="A102">
        <v>101</v>
      </c>
      <c r="B102" t="s">
        <v>757</v>
      </c>
      <c r="E102" t="s">
        <v>771</v>
      </c>
      <c r="F102" s="46">
        <v>0.48125000000000001</v>
      </c>
      <c r="G102" s="46">
        <v>0.53194444444444444</v>
      </c>
      <c r="H102" t="s">
        <v>821</v>
      </c>
    </row>
    <row r="103" spans="1:8" x14ac:dyDescent="0.35">
      <c r="A103">
        <v>102</v>
      </c>
      <c r="B103" t="s">
        <v>757</v>
      </c>
      <c r="E103" t="s">
        <v>770</v>
      </c>
      <c r="F103" s="46">
        <v>0.4916666666666667</v>
      </c>
      <c r="G103" s="46">
        <v>0.58888888888888891</v>
      </c>
      <c r="H103" t="s">
        <v>805</v>
      </c>
    </row>
    <row r="104" spans="1:8" x14ac:dyDescent="0.35">
      <c r="A104">
        <v>103</v>
      </c>
      <c r="B104" t="s">
        <v>757</v>
      </c>
      <c r="E104" t="s">
        <v>767</v>
      </c>
      <c r="F104" s="46">
        <v>0.52361111111111114</v>
      </c>
      <c r="G104" s="46">
        <v>0.625</v>
      </c>
      <c r="H104" t="s">
        <v>806</v>
      </c>
    </row>
    <row r="105" spans="1:8" x14ac:dyDescent="0.35">
      <c r="A105">
        <v>104</v>
      </c>
      <c r="B105" t="s">
        <v>757</v>
      </c>
      <c r="E105" t="s">
        <v>770</v>
      </c>
      <c r="F105" s="46">
        <v>0.37152777777777773</v>
      </c>
      <c r="G105" s="46">
        <v>0.46319444444444446</v>
      </c>
      <c r="H105" t="s">
        <v>850</v>
      </c>
    </row>
    <row r="106" spans="1:8" x14ac:dyDescent="0.35">
      <c r="A106">
        <v>105</v>
      </c>
      <c r="B106" t="s">
        <v>757</v>
      </c>
      <c r="E106" t="s">
        <v>769</v>
      </c>
      <c r="F106" s="46">
        <v>0.38680555555555557</v>
      </c>
    </row>
    <row r="107" spans="1:8" x14ac:dyDescent="0.35">
      <c r="A107">
        <v>106</v>
      </c>
      <c r="B107" t="s">
        <v>757</v>
      </c>
      <c r="E107" t="s">
        <v>765</v>
      </c>
      <c r="F107" s="46">
        <v>0.40277777777777773</v>
      </c>
      <c r="G107" s="46">
        <v>0.45833333333333331</v>
      </c>
      <c r="H107" t="s">
        <v>851</v>
      </c>
    </row>
    <row r="108" spans="1:8" x14ac:dyDescent="0.35">
      <c r="A108">
        <v>107</v>
      </c>
      <c r="B108" t="s">
        <v>757</v>
      </c>
      <c r="E108" t="s">
        <v>771</v>
      </c>
      <c r="F108" s="46">
        <v>0.43194444444444446</v>
      </c>
      <c r="G108" s="46">
        <v>0.48194444444444445</v>
      </c>
      <c r="H108" t="s">
        <v>839</v>
      </c>
    </row>
    <row r="109" spans="1:8" x14ac:dyDescent="0.35">
      <c r="A109">
        <v>108</v>
      </c>
      <c r="B109" t="s">
        <v>757</v>
      </c>
      <c r="E109" t="s">
        <v>769</v>
      </c>
      <c r="F109" s="46">
        <v>0.47638888888888892</v>
      </c>
    </row>
    <row r="110" spans="1:8" x14ac:dyDescent="0.35">
      <c r="A110">
        <v>109</v>
      </c>
      <c r="B110" t="s">
        <v>757</v>
      </c>
      <c r="E110" t="s">
        <v>771</v>
      </c>
      <c r="F110" s="46">
        <v>0.58819444444444446</v>
      </c>
      <c r="G110" s="46">
        <v>0.65</v>
      </c>
      <c r="H110" t="s">
        <v>852</v>
      </c>
    </row>
    <row r="111" spans="1:8" x14ac:dyDescent="0.35">
      <c r="A111">
        <v>110</v>
      </c>
      <c r="B111" t="s">
        <v>757</v>
      </c>
      <c r="E111" t="s">
        <v>770</v>
      </c>
      <c r="F111" s="46">
        <v>0.37083333333333335</v>
      </c>
      <c r="G111" s="46">
        <v>0.45833333333333331</v>
      </c>
      <c r="H111" t="s">
        <v>818</v>
      </c>
    </row>
    <row r="112" spans="1:8" x14ac:dyDescent="0.35">
      <c r="A112">
        <v>111</v>
      </c>
      <c r="B112" t="s">
        <v>757</v>
      </c>
      <c r="E112" t="s">
        <v>768</v>
      </c>
      <c r="F112" s="46">
        <v>0.39583333333333331</v>
      </c>
      <c r="G112" s="46">
        <v>0.44791666666666669</v>
      </c>
      <c r="H112" t="s">
        <v>853</v>
      </c>
    </row>
    <row r="113" spans="1:8" x14ac:dyDescent="0.35">
      <c r="A113">
        <v>112</v>
      </c>
      <c r="B113" t="s">
        <v>757</v>
      </c>
      <c r="E113" t="s">
        <v>764</v>
      </c>
      <c r="F113" s="46">
        <v>0.4055555555555555</v>
      </c>
      <c r="G113" s="46">
        <v>0.49027777777777781</v>
      </c>
      <c r="H113" t="s">
        <v>809</v>
      </c>
    </row>
    <row r="114" spans="1:8" x14ac:dyDescent="0.35">
      <c r="A114">
        <v>113</v>
      </c>
      <c r="B114" t="s">
        <v>757</v>
      </c>
      <c r="E114" t="s">
        <v>768</v>
      </c>
      <c r="F114" s="46">
        <v>0.5</v>
      </c>
      <c r="G114" s="46">
        <v>0.56319444444444444</v>
      </c>
      <c r="H114" t="s">
        <v>854</v>
      </c>
    </row>
    <row r="115" spans="1:8" x14ac:dyDescent="0.35">
      <c r="A115">
        <v>114</v>
      </c>
      <c r="B115" t="s">
        <v>757</v>
      </c>
      <c r="E115" t="s">
        <v>770</v>
      </c>
      <c r="F115" s="46">
        <v>0.49583333333333335</v>
      </c>
      <c r="G115" s="46">
        <v>0.61388888888888882</v>
      </c>
      <c r="H115" t="s">
        <v>855</v>
      </c>
    </row>
    <row r="116" spans="1:8" x14ac:dyDescent="0.35">
      <c r="A116">
        <v>115</v>
      </c>
      <c r="B116" t="s">
        <v>757</v>
      </c>
      <c r="E116" t="s">
        <v>767</v>
      </c>
      <c r="F116" s="46">
        <v>0.52569444444444446</v>
      </c>
      <c r="G116" s="46">
        <v>0.62430555555555556</v>
      </c>
      <c r="H116" t="s">
        <v>856</v>
      </c>
    </row>
    <row r="117" spans="1:8" x14ac:dyDescent="0.35">
      <c r="A117">
        <v>116</v>
      </c>
      <c r="B117" t="s">
        <v>757</v>
      </c>
      <c r="E117" t="s">
        <v>769</v>
      </c>
      <c r="F117" s="46">
        <v>0.6118055555555556</v>
      </c>
    </row>
    <row r="118" spans="1:8" x14ac:dyDescent="0.35">
      <c r="A118">
        <v>117</v>
      </c>
      <c r="B118" t="s">
        <v>757</v>
      </c>
      <c r="E118" t="s">
        <v>770</v>
      </c>
      <c r="F118" s="46">
        <v>0.3611111111111111</v>
      </c>
      <c r="G118" s="46">
        <v>0.43194444444444446</v>
      </c>
      <c r="H118" t="s">
        <v>857</v>
      </c>
    </row>
    <row r="119" spans="1:8" x14ac:dyDescent="0.35">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5" x14ac:dyDescent="0.35"/>
  <cols>
    <col min="1" max="1" width="20" customWidth="1"/>
    <col min="2" max="2" width="16.36328125" customWidth="1"/>
    <col min="3" max="3" width="4.08984375" customWidth="1"/>
    <col min="4" max="4" width="11.36328125" customWidth="1"/>
    <col min="5" max="5" width="7.36328125" customWidth="1"/>
    <col min="6" max="6" width="11.36328125" bestFit="1" customWidth="1"/>
  </cols>
  <sheetData>
    <row r="3" spans="1:4" ht="16.5" customHeight="1" x14ac:dyDescent="0.35">
      <c r="A3" s="48" t="s">
        <v>863</v>
      </c>
      <c r="B3" s="48" t="s">
        <v>864</v>
      </c>
    </row>
    <row r="4" spans="1:4" x14ac:dyDescent="0.35">
      <c r="A4" s="48" t="s">
        <v>618</v>
      </c>
      <c r="B4" t="s">
        <v>7</v>
      </c>
      <c r="C4" t="s">
        <v>9</v>
      </c>
      <c r="D4" t="s">
        <v>620</v>
      </c>
    </row>
    <row r="5" spans="1:4" x14ac:dyDescent="0.35">
      <c r="A5" s="49">
        <v>23</v>
      </c>
      <c r="B5">
        <v>1</v>
      </c>
      <c r="C5">
        <v>1</v>
      </c>
      <c r="D5">
        <v>2</v>
      </c>
    </row>
    <row r="6" spans="1:4" x14ac:dyDescent="0.35">
      <c r="A6" s="49">
        <v>24</v>
      </c>
      <c r="C6">
        <v>1</v>
      </c>
      <c r="D6">
        <v>1</v>
      </c>
    </row>
    <row r="7" spans="1:4" x14ac:dyDescent="0.35">
      <c r="A7" s="49">
        <v>36</v>
      </c>
      <c r="C7">
        <v>1</v>
      </c>
      <c r="D7">
        <v>1</v>
      </c>
    </row>
    <row r="8" spans="1:4" x14ac:dyDescent="0.35">
      <c r="A8" s="49">
        <v>45</v>
      </c>
      <c r="B8">
        <v>1</v>
      </c>
      <c r="D8">
        <v>1</v>
      </c>
    </row>
    <row r="9" spans="1:4" x14ac:dyDescent="0.35">
      <c r="A9" s="49">
        <v>46</v>
      </c>
      <c r="B9">
        <v>2</v>
      </c>
      <c r="D9">
        <v>2</v>
      </c>
    </row>
    <row r="10" spans="1:4" x14ac:dyDescent="0.35">
      <c r="A10" s="49">
        <v>51</v>
      </c>
      <c r="B10">
        <v>2</v>
      </c>
      <c r="C10">
        <v>4</v>
      </c>
      <c r="D10">
        <v>6</v>
      </c>
    </row>
    <row r="11" spans="1:4" x14ac:dyDescent="0.35">
      <c r="A11" s="49">
        <v>56</v>
      </c>
      <c r="C11">
        <v>2</v>
      </c>
      <c r="D11">
        <v>2</v>
      </c>
    </row>
    <row r="12" spans="1:4" x14ac:dyDescent="0.35">
      <c r="A12" s="49">
        <v>64</v>
      </c>
      <c r="B12">
        <v>2</v>
      </c>
      <c r="C12">
        <v>1</v>
      </c>
      <c r="D12">
        <v>3</v>
      </c>
    </row>
    <row r="13" spans="1:4" x14ac:dyDescent="0.35">
      <c r="A13" s="49">
        <v>85</v>
      </c>
      <c r="B13">
        <v>1</v>
      </c>
      <c r="D13">
        <v>1</v>
      </c>
    </row>
    <row r="14" spans="1:4" x14ac:dyDescent="0.35">
      <c r="A14" s="49">
        <v>93</v>
      </c>
      <c r="B14">
        <v>1</v>
      </c>
      <c r="D14">
        <v>1</v>
      </c>
    </row>
    <row r="15" spans="1:4" x14ac:dyDescent="0.35">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08984375" defaultRowHeight="14.5" x14ac:dyDescent="0.35"/>
  <cols>
    <col min="1" max="1" width="3.36328125" style="1" customWidth="1"/>
    <col min="2" max="2" width="39.6328125" style="1" customWidth="1"/>
    <col min="3" max="3" width="10.90625" style="5" customWidth="1"/>
    <col min="4" max="4" width="12.36328125" style="15" customWidth="1"/>
    <col min="5" max="5" width="10.90625" style="15" customWidth="1"/>
    <col min="6" max="6" width="5.6328125" style="1" customWidth="1"/>
    <col min="7" max="7" width="21.453125" style="1" hidden="1" customWidth="1"/>
    <col min="8" max="8" width="0" style="1" hidden="1" customWidth="1"/>
    <col min="9" max="9" width="7.6328125" style="1" hidden="1" customWidth="1"/>
    <col min="10" max="10" width="3" style="37" hidden="1" customWidth="1"/>
    <col min="11" max="11" width="1" style="1" hidden="1" customWidth="1"/>
    <col min="12" max="12" width="4.08984375" style="1" hidden="1" customWidth="1"/>
    <col min="13" max="13" width="9.08984375" style="1"/>
    <col min="14" max="14" width="6.453125" style="1" customWidth="1"/>
    <col min="15" max="15" width="23.453125" style="1" customWidth="1"/>
    <col min="16" max="16" width="9.08984375" style="1"/>
    <col min="17" max="17" width="13.36328125" style="1" customWidth="1"/>
    <col min="18" max="16384" width="9.08984375" style="1"/>
  </cols>
  <sheetData>
    <row r="1" spans="2:16" ht="7.5" customHeight="1" x14ac:dyDescent="0.35"/>
    <row r="2" spans="2:16" x14ac:dyDescent="0.35">
      <c r="B2" s="47" t="s">
        <v>751</v>
      </c>
    </row>
    <row r="3" spans="2:16" ht="15" thickBot="1" x14ac:dyDescent="0.4"/>
    <row r="4" spans="2:16" ht="15" thickBot="1" x14ac:dyDescent="0.4">
      <c r="B4" s="237" t="s">
        <v>65</v>
      </c>
      <c r="C4" s="238"/>
      <c r="D4" s="238"/>
      <c r="E4" s="239"/>
      <c r="G4" s="230" t="s">
        <v>31</v>
      </c>
      <c r="H4" s="231"/>
      <c r="I4" s="231"/>
      <c r="J4" s="231"/>
      <c r="K4" s="231"/>
      <c r="L4" s="232"/>
      <c r="M4" s="2"/>
    </row>
    <row r="5" spans="2:16" x14ac:dyDescent="0.35">
      <c r="B5" s="30"/>
      <c r="C5" s="16" t="s">
        <v>28</v>
      </c>
      <c r="D5" s="32"/>
      <c r="E5" s="19"/>
      <c r="G5" s="22"/>
      <c r="H5" s="16" t="s">
        <v>28</v>
      </c>
      <c r="I5" s="32" t="s">
        <v>29</v>
      </c>
      <c r="J5" s="38"/>
      <c r="K5" s="32"/>
      <c r="L5" s="19"/>
      <c r="M5" s="25"/>
    </row>
    <row r="6" spans="2:16" x14ac:dyDescent="0.35">
      <c r="B6" s="3" t="s">
        <v>76</v>
      </c>
      <c r="C6" s="2">
        <v>6555</v>
      </c>
      <c r="D6" s="25"/>
      <c r="E6" s="34"/>
      <c r="G6" s="3" t="s">
        <v>32</v>
      </c>
      <c r="H6" s="5"/>
      <c r="I6" s="26"/>
      <c r="J6" s="39"/>
      <c r="K6" s="26"/>
      <c r="L6" s="9"/>
      <c r="M6" s="25"/>
    </row>
    <row r="7" spans="2:16" x14ac:dyDescent="0.35">
      <c r="B7" s="33"/>
      <c r="C7" s="2"/>
      <c r="D7" s="273" t="s">
        <v>749</v>
      </c>
      <c r="E7" s="275" t="s">
        <v>750</v>
      </c>
      <c r="G7" s="4" t="s">
        <v>33</v>
      </c>
      <c r="H7" s="5" t="e">
        <f>COUNTIFS(#REF!, "Female",#REF!, "Yes")</f>
        <v>#REF!</v>
      </c>
      <c r="I7" s="15" t="e">
        <f>H7/SUM($H$7:$H$8)</f>
        <v>#REF!</v>
      </c>
      <c r="J7" s="39"/>
      <c r="K7" s="15"/>
      <c r="L7" s="6"/>
      <c r="M7" s="25"/>
    </row>
    <row r="8" spans="2:16" x14ac:dyDescent="0.35">
      <c r="B8" s="3" t="s">
        <v>77</v>
      </c>
      <c r="C8" s="2">
        <v>5076</v>
      </c>
      <c r="D8" s="274"/>
      <c r="E8" s="276"/>
      <c r="G8" s="4" t="s">
        <v>34</v>
      </c>
      <c r="H8" s="5" t="e">
        <f>COUNTIFS(#REF!, "Male",#REF!, "Yes")</f>
        <v>#REF!</v>
      </c>
      <c r="I8" s="15" t="e">
        <f>H8/SUM($H$7:$H$8)</f>
        <v>#REF!</v>
      </c>
      <c r="J8" s="39"/>
      <c r="K8" s="15"/>
      <c r="L8" s="6"/>
      <c r="M8" s="26"/>
    </row>
    <row r="9" spans="2:16" x14ac:dyDescent="0.35">
      <c r="B9" s="4" t="s">
        <v>63</v>
      </c>
      <c r="C9" s="5">
        <v>4745</v>
      </c>
      <c r="D9" s="15">
        <v>0.93479117415287627</v>
      </c>
      <c r="E9" s="6">
        <v>0.93479117415287627</v>
      </c>
      <c r="G9" s="3" t="s">
        <v>67</v>
      </c>
      <c r="H9" s="2"/>
      <c r="I9" s="15"/>
      <c r="J9" s="39"/>
      <c r="K9" s="15"/>
      <c r="L9" s="6"/>
      <c r="M9" s="15"/>
      <c r="O9" s="24"/>
      <c r="P9" s="2"/>
    </row>
    <row r="10" spans="2:16" x14ac:dyDescent="0.35">
      <c r="B10" s="4" t="s">
        <v>58</v>
      </c>
      <c r="C10" s="5">
        <v>4194</v>
      </c>
      <c r="D10" s="15">
        <v>0.88387776606954693</v>
      </c>
      <c r="E10" s="6">
        <v>0.82624113475177308</v>
      </c>
      <c r="G10" s="4" t="s">
        <v>54</v>
      </c>
      <c r="H10" s="10" t="e">
        <f>AVERAGE(#REF!)</f>
        <v>#REF!</v>
      </c>
      <c r="I10" s="27"/>
      <c r="J10" s="40"/>
      <c r="K10" s="27"/>
      <c r="L10" s="11"/>
      <c r="M10" s="15"/>
    </row>
    <row r="11" spans="2:16" x14ac:dyDescent="0.35">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4">
      <c r="B12" s="13" t="s">
        <v>64</v>
      </c>
      <c r="C12" s="17">
        <v>4178</v>
      </c>
      <c r="D12" s="50">
        <v>0.99928246830901701</v>
      </c>
      <c r="E12" s="21">
        <v>0.82308904649330183</v>
      </c>
      <c r="G12" s="4" t="s">
        <v>55</v>
      </c>
      <c r="H12" s="12" t="e">
        <f>MIN(#REF!)</f>
        <v>#REF!</v>
      </c>
      <c r="I12" s="15"/>
      <c r="J12" s="39"/>
      <c r="K12" s="15"/>
      <c r="L12" s="6"/>
      <c r="M12" s="27"/>
      <c r="O12" s="10"/>
    </row>
    <row r="13" spans="2:16" ht="15" thickBot="1" x14ac:dyDescent="0.4">
      <c r="B13" s="2"/>
      <c r="C13" s="2"/>
      <c r="D13" s="2"/>
      <c r="E13" s="2"/>
      <c r="G13" s="4" t="s">
        <v>56</v>
      </c>
      <c r="H13" s="12" t="e">
        <f>MAX(#REF!)</f>
        <v>#REF!</v>
      </c>
      <c r="I13" s="12"/>
      <c r="J13" s="41"/>
      <c r="K13" s="12"/>
      <c r="L13" s="23"/>
      <c r="O13" s="31"/>
    </row>
    <row r="14" spans="2:16" ht="15" thickBot="1" x14ac:dyDescent="0.4">
      <c r="B14" s="237" t="s">
        <v>66</v>
      </c>
      <c r="C14" s="238"/>
      <c r="D14" s="239"/>
      <c r="E14" s="28"/>
      <c r="G14" s="3" t="s">
        <v>71</v>
      </c>
      <c r="L14" s="20"/>
      <c r="M14" s="15"/>
    </row>
    <row r="15" spans="2:16" x14ac:dyDescent="0.35">
      <c r="B15" s="18"/>
      <c r="C15" s="16" t="s">
        <v>28</v>
      </c>
      <c r="D15" s="19" t="s">
        <v>29</v>
      </c>
      <c r="E15" s="2"/>
      <c r="G15" s="4" t="s">
        <v>68</v>
      </c>
      <c r="H15" s="59" t="e">
        <f>COUNTIFS(#REF!,"&gt;=18",#REF!, "&lt;=35")</f>
        <v>#REF!</v>
      </c>
      <c r="I15" s="15" t="e">
        <f>H15/SUM($H$15:$H$18)</f>
        <v>#REF!</v>
      </c>
      <c r="J15" s="39"/>
      <c r="K15" s="15"/>
      <c r="L15" s="6"/>
      <c r="M15" s="54"/>
    </row>
    <row r="16" spans="2:16" x14ac:dyDescent="0.35">
      <c r="B16" s="3" t="s">
        <v>736</v>
      </c>
      <c r="C16" s="2"/>
      <c r="D16" s="34"/>
      <c r="E16" s="25"/>
      <c r="G16" s="4" t="s">
        <v>69</v>
      </c>
      <c r="H16" s="59" t="e">
        <f>COUNTIFS(#REF!,"&gt;=36",#REF!, "&lt;=50")</f>
        <v>#REF!</v>
      </c>
      <c r="I16" s="15" t="e">
        <f>H16/SUM($H$15:$H$18)</f>
        <v>#REF!</v>
      </c>
      <c r="J16" s="39"/>
      <c r="K16" s="15"/>
      <c r="L16" s="6"/>
    </row>
    <row r="17" spans="2:13" x14ac:dyDescent="0.35">
      <c r="B17" s="4" t="s">
        <v>737</v>
      </c>
      <c r="C17" s="5">
        <v>294</v>
      </c>
      <c r="D17" s="6">
        <v>7.0368597415031112E-2</v>
      </c>
      <c r="E17" s="25"/>
      <c r="G17" s="4" t="s">
        <v>70</v>
      </c>
      <c r="H17" s="59" t="e">
        <f>COUNTIFS(#REF!,"&gt;=51",#REF!, "&lt;=65")</f>
        <v>#REF!</v>
      </c>
      <c r="I17" s="15" t="e">
        <f>H17/SUM($H$15:$H$18)</f>
        <v>#REF!</v>
      </c>
      <c r="J17" s="39"/>
      <c r="K17" s="15"/>
      <c r="L17" s="6"/>
    </row>
    <row r="18" spans="2:13" ht="15" thickBot="1" x14ac:dyDescent="0.4">
      <c r="B18" s="4" t="s">
        <v>738</v>
      </c>
      <c r="C18" s="5">
        <v>357</v>
      </c>
      <c r="D18" s="6">
        <v>8.544758257539492E-2</v>
      </c>
      <c r="G18" s="13" t="s">
        <v>733</v>
      </c>
      <c r="H18" s="60" t="e">
        <f>COUNTIFS(#REF!,"&gt;=66")</f>
        <v>#REF!</v>
      </c>
      <c r="I18" s="50" t="e">
        <f>H18/SUM($H$15:$H$18)</f>
        <v>#REF!</v>
      </c>
      <c r="J18" s="61"/>
      <c r="K18" s="50"/>
      <c r="L18" s="21"/>
    </row>
    <row r="19" spans="2:13" x14ac:dyDescent="0.35">
      <c r="B19" s="4" t="s">
        <v>739</v>
      </c>
      <c r="C19" s="5">
        <v>1060</v>
      </c>
      <c r="D19" s="6">
        <v>0.2537099090473911</v>
      </c>
      <c r="G19" s="3" t="s">
        <v>36</v>
      </c>
      <c r="H19" s="5"/>
      <c r="I19" s="5"/>
      <c r="K19" s="5"/>
      <c r="L19" s="6"/>
    </row>
    <row r="20" spans="2:13" x14ac:dyDescent="0.35">
      <c r="B20" s="4" t="s">
        <v>744</v>
      </c>
      <c r="C20" s="5">
        <v>504</v>
      </c>
      <c r="D20" s="6">
        <v>0.12063188128291048</v>
      </c>
      <c r="G20" s="4" t="s">
        <v>37</v>
      </c>
      <c r="H20" s="57" t="e">
        <f>COUNTIF(#REF!, "Yes")+COUNTIF(#REF!, "Ewe")</f>
        <v>#REF!</v>
      </c>
      <c r="I20" s="15" t="e">
        <f t="shared" ref="I20:I26" si="0">H20/SUM($H$20:$H$26)</f>
        <v>#REF!</v>
      </c>
      <c r="K20" s="5"/>
      <c r="L20" s="6"/>
    </row>
    <row r="21" spans="2:13" x14ac:dyDescent="0.35">
      <c r="B21" s="3" t="s">
        <v>6</v>
      </c>
      <c r="D21" s="6"/>
      <c r="G21" s="4" t="s">
        <v>38</v>
      </c>
      <c r="H21" s="57" t="e">
        <f>COUNTIF(#REF!, "Zimbabwe")</f>
        <v>#REF!</v>
      </c>
      <c r="I21" s="15" t="e">
        <f t="shared" si="0"/>
        <v>#REF!</v>
      </c>
      <c r="K21" s="5"/>
      <c r="L21" s="6"/>
    </row>
    <row r="22" spans="2:13" x14ac:dyDescent="0.35">
      <c r="B22" s="4" t="s">
        <v>745</v>
      </c>
      <c r="C22" s="5">
        <v>337</v>
      </c>
      <c r="D22" s="6">
        <v>8.0660603159406416E-2</v>
      </c>
      <c r="E22" s="25"/>
      <c r="G22" s="4" t="s">
        <v>39</v>
      </c>
      <c r="H22" s="57" t="e">
        <f>COUNTIF(#REF!, "Malawi")</f>
        <v>#REF!</v>
      </c>
      <c r="I22" s="15" t="e">
        <f t="shared" si="0"/>
        <v>#REF!</v>
      </c>
      <c r="K22" s="5"/>
      <c r="L22" s="6"/>
    </row>
    <row r="23" spans="2:13" x14ac:dyDescent="0.35">
      <c r="B23" s="4" t="s">
        <v>746</v>
      </c>
      <c r="C23" s="5">
        <v>262</v>
      </c>
      <c r="D23" s="6">
        <v>6.2709430349449494E-2</v>
      </c>
      <c r="E23" s="55"/>
      <c r="G23" s="4" t="s">
        <v>707</v>
      </c>
      <c r="H23" s="57" t="e">
        <f>COUNTIF(#REF!, "Mozambique")</f>
        <v>#REF!</v>
      </c>
      <c r="I23" s="15" t="e">
        <f t="shared" si="0"/>
        <v>#REF!</v>
      </c>
      <c r="K23" s="5"/>
      <c r="L23" s="6"/>
      <c r="M23" s="15"/>
    </row>
    <row r="24" spans="2:13" x14ac:dyDescent="0.35">
      <c r="B24" s="4" t="s">
        <v>747</v>
      </c>
      <c r="C24" s="5">
        <v>208</v>
      </c>
      <c r="D24" s="6">
        <v>4.9784585926280517E-2</v>
      </c>
      <c r="E24" s="55"/>
      <c r="G24" s="4" t="s">
        <v>708</v>
      </c>
      <c r="H24" s="57" t="e">
        <f>COUNTIF(#REF!, "Lesotho")</f>
        <v>#REF!</v>
      </c>
      <c r="I24" s="15" t="e">
        <f t="shared" si="0"/>
        <v>#REF!</v>
      </c>
      <c r="K24" s="5"/>
      <c r="L24" s="6"/>
      <c r="M24" s="15"/>
    </row>
    <row r="25" spans="2:13" x14ac:dyDescent="0.35">
      <c r="B25" s="4" t="s">
        <v>748</v>
      </c>
      <c r="C25" s="5">
        <v>441</v>
      </c>
      <c r="D25" s="6">
        <v>0.10555289612254667</v>
      </c>
      <c r="E25" s="55"/>
      <c r="G25" s="4" t="s">
        <v>734</v>
      </c>
      <c r="H25" s="57" t="e">
        <f>COUNTIF(#REF!, "Ethopia")+COUNTIF(#REF!, "Ethiopia ")</f>
        <v>#REF!</v>
      </c>
      <c r="I25" s="15" t="e">
        <f t="shared" si="0"/>
        <v>#REF!</v>
      </c>
      <c r="K25" s="5"/>
      <c r="L25" s="6"/>
      <c r="M25" s="15"/>
    </row>
    <row r="26" spans="2:13" x14ac:dyDescent="0.35">
      <c r="B26" s="3" t="s">
        <v>742</v>
      </c>
      <c r="C26" s="1"/>
      <c r="D26" s="20"/>
      <c r="E26" s="55"/>
      <c r="G26" s="4" t="s">
        <v>735</v>
      </c>
      <c r="H26" s="57" t="e">
        <f>COUNTIF(#REF!, "LYBIA")</f>
        <v>#REF!</v>
      </c>
      <c r="I26" s="15" t="e">
        <f t="shared" si="0"/>
        <v>#REF!</v>
      </c>
      <c r="K26" s="5"/>
      <c r="L26" s="6"/>
      <c r="M26" s="15"/>
    </row>
    <row r="27" spans="2:13" x14ac:dyDescent="0.35">
      <c r="B27" s="4" t="s">
        <v>740</v>
      </c>
      <c r="C27" s="5">
        <v>201</v>
      </c>
      <c r="D27" s="6">
        <v>4.810914313068454E-2</v>
      </c>
      <c r="E27" s="55"/>
      <c r="G27" s="3" t="s">
        <v>40</v>
      </c>
      <c r="H27" s="57"/>
      <c r="I27" s="5"/>
      <c r="K27" s="5"/>
      <c r="L27" s="6"/>
      <c r="M27" s="15"/>
    </row>
    <row r="28" spans="2:13" x14ac:dyDescent="0.35">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4">
      <c r="B29" s="13" t="s">
        <v>743</v>
      </c>
      <c r="C29" s="17">
        <v>358</v>
      </c>
      <c r="D29" s="21">
        <v>8.5686931546194348E-2</v>
      </c>
      <c r="E29" s="56"/>
      <c r="G29" s="4" t="s">
        <v>42</v>
      </c>
      <c r="H29" s="57" t="e">
        <f>COUNTIF(#REF!, "Colored")+COUNTIF(#REF!, "XXX")</f>
        <v>#REF!</v>
      </c>
      <c r="I29" s="15" t="e">
        <f>H29/SUM($H$28:$H$32)</f>
        <v>#REF!</v>
      </c>
      <c r="K29" s="5"/>
      <c r="L29" s="6"/>
      <c r="M29" s="15"/>
    </row>
    <row r="30" spans="2:13" x14ac:dyDescent="0.35">
      <c r="G30" s="4" t="s">
        <v>43</v>
      </c>
      <c r="H30" s="57" t="e">
        <f>COUNTIF(#REF!, "White")+COUNTIF(#REF!, "XXX")</f>
        <v>#REF!</v>
      </c>
      <c r="I30" s="15" t="e">
        <f>H30/SUM($H$28:$H$32)</f>
        <v>#REF!</v>
      </c>
      <c r="K30" s="5"/>
      <c r="L30" s="6"/>
      <c r="M30" s="15"/>
    </row>
    <row r="31" spans="2:13" ht="15" hidden="1" thickBot="1" x14ac:dyDescent="0.4">
      <c r="B31" s="62" t="s">
        <v>80</v>
      </c>
      <c r="C31" s="63"/>
      <c r="D31" s="64"/>
      <c r="G31" s="4" t="s">
        <v>44</v>
      </c>
      <c r="H31" s="57" t="e">
        <f>COUNTIF(#REF!, "Indian")+COUNTIF(#REF!, "XXX")</f>
        <v>#REF!</v>
      </c>
      <c r="I31" s="15" t="e">
        <f>H31/SUM($H$28:$H$32)</f>
        <v>#REF!</v>
      </c>
      <c r="K31" s="5"/>
      <c r="L31" s="6"/>
      <c r="M31" s="15"/>
    </row>
    <row r="32" spans="2:13" hidden="1" x14ac:dyDescent="0.35">
      <c r="B32" s="18"/>
      <c r="C32" s="16" t="s">
        <v>28</v>
      </c>
      <c r="D32" s="19" t="s">
        <v>29</v>
      </c>
      <c r="G32" s="4" t="s">
        <v>35</v>
      </c>
      <c r="H32" s="57">
        <v>0</v>
      </c>
      <c r="I32" s="15" t="e">
        <f>H32/SUM($H$28:$H$32)</f>
        <v>#REF!</v>
      </c>
      <c r="K32" s="5"/>
      <c r="L32" s="6"/>
      <c r="M32" s="15"/>
    </row>
    <row r="33" spans="2:13" hidden="1" x14ac:dyDescent="0.35">
      <c r="B33" s="4" t="s">
        <v>81</v>
      </c>
      <c r="C33" s="5" t="e">
        <f>COUNTIFS(#REF!, "Yes",#REF!, "Yes")+COUNTIFS(#REF!, "Ewe",#REF!, "Ewe")</f>
        <v>#REF!</v>
      </c>
      <c r="D33" s="6" t="e">
        <f>C33/SUM($C$33:$C$34)</f>
        <v>#REF!</v>
      </c>
      <c r="E33" s="1"/>
      <c r="G33" s="3" t="s">
        <v>45</v>
      </c>
      <c r="H33" s="57"/>
      <c r="I33" s="5"/>
      <c r="K33" s="5"/>
      <c r="L33" s="6"/>
      <c r="M33" s="15"/>
    </row>
    <row r="34" spans="2:13" ht="15" hidden="1" thickBot="1" x14ac:dyDescent="0.4">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5">
      <c r="E35" s="2"/>
      <c r="G35" s="4" t="s">
        <v>47</v>
      </c>
      <c r="H35" s="57" t="e">
        <f>COUNTIF(#REF!, "Employed full-time")+COUNTIF(#REF!, "Uqeshwe isigxina")</f>
        <v>#REF!</v>
      </c>
      <c r="I35" s="15" t="e">
        <f>H35/SUM($H$34:$H$37)</f>
        <v>#REF!</v>
      </c>
      <c r="K35" s="5"/>
      <c r="L35" s="6"/>
      <c r="M35" s="15"/>
    </row>
    <row r="36" spans="2:13" x14ac:dyDescent="0.35">
      <c r="E36" s="25"/>
      <c r="G36" s="4" t="s">
        <v>48</v>
      </c>
      <c r="H36" s="57" t="e">
        <f>COUNTIF(#REF!, "Employed part-time")+COUNTIF(#REF!, "Uqeshwa okwexeshana")</f>
        <v>#REF!</v>
      </c>
      <c r="I36" s="15" t="e">
        <f>H36/SUM($H$34:$H$37)</f>
        <v>#REF!</v>
      </c>
      <c r="K36" s="5"/>
      <c r="L36" s="6"/>
      <c r="M36" s="15"/>
    </row>
    <row r="37" spans="2:13" x14ac:dyDescent="0.35">
      <c r="G37" s="4" t="s">
        <v>49</v>
      </c>
      <c r="H37" s="57" t="e">
        <f>COUNTIF(#REF!, "Self-Employed")+COUNTIF(#REF!, "Uziqeshile")</f>
        <v>#REF!</v>
      </c>
      <c r="I37" s="15" t="e">
        <f>H37/SUM($H$34:$H$37)</f>
        <v>#REF!</v>
      </c>
      <c r="K37" s="5"/>
      <c r="L37" s="6"/>
      <c r="M37" s="15"/>
    </row>
    <row r="38" spans="2:13" x14ac:dyDescent="0.35">
      <c r="G38" s="3" t="s">
        <v>50</v>
      </c>
      <c r="H38" s="57"/>
      <c r="I38" s="5"/>
      <c r="K38" s="5"/>
      <c r="L38" s="6"/>
      <c r="M38" s="15"/>
    </row>
    <row r="39" spans="2:13" x14ac:dyDescent="0.35">
      <c r="C39" s="1"/>
      <c r="D39" s="1"/>
      <c r="E39" s="1"/>
      <c r="G39" s="4" t="s">
        <v>51</v>
      </c>
      <c r="H39" s="57" t="e">
        <f>COUNTIF(#REF!, "Less than Matric")+COUNTIF(#REF!, "Ngaphantsi kwebanga leshumi")</f>
        <v>#REF!</v>
      </c>
      <c r="I39" s="15" t="e">
        <f>H39/SUM($H$39:$H$41)</f>
        <v>#REF!</v>
      </c>
      <c r="K39" s="5"/>
      <c r="L39" s="6"/>
      <c r="M39" s="15"/>
    </row>
    <row r="40" spans="2:13" x14ac:dyDescent="0.35">
      <c r="C40" s="1"/>
      <c r="D40" s="1"/>
      <c r="E40" s="1"/>
      <c r="G40" s="4" t="s">
        <v>52</v>
      </c>
      <c r="H40" s="57" t="e">
        <f>COUNTIF(#REF!, "Matric")+COUNTIF(#REF!, "Ibanga leshumi")</f>
        <v>#REF!</v>
      </c>
      <c r="I40" s="15" t="e">
        <f>H40/SUM($H$39:$H$41)</f>
        <v>#REF!</v>
      </c>
      <c r="K40" s="5"/>
      <c r="L40" s="6"/>
      <c r="M40" s="15"/>
    </row>
    <row r="41" spans="2:13" ht="15" thickBot="1" x14ac:dyDescent="0.4">
      <c r="C41" s="1"/>
      <c r="D41" s="1"/>
      <c r="E41" s="1"/>
      <c r="G41" s="13" t="s">
        <v>53</v>
      </c>
      <c r="H41" s="58" t="e">
        <f>COUNTIF(#REF!, "Tertiary")+COUNTIF(#REF!, "Imfundo enomsila")</f>
        <v>#REF!</v>
      </c>
      <c r="I41" s="50" t="e">
        <f>H41/SUM($H$39:$H$41)</f>
        <v>#REF!</v>
      </c>
      <c r="J41" s="42"/>
      <c r="K41" s="17"/>
      <c r="L41" s="21"/>
      <c r="M41" s="15"/>
    </row>
    <row r="42" spans="2:13" x14ac:dyDescent="0.35">
      <c r="C42" s="1"/>
      <c r="D42" s="1"/>
      <c r="E42" s="1"/>
      <c r="J42" s="1"/>
      <c r="M42" s="15"/>
    </row>
    <row r="43" spans="2:13" x14ac:dyDescent="0.35">
      <c r="C43" s="1"/>
      <c r="D43" s="1"/>
      <c r="E43" s="1"/>
      <c r="J43" s="1"/>
      <c r="M43" s="15"/>
    </row>
    <row r="44" spans="2:13" x14ac:dyDescent="0.35">
      <c r="J44" s="1"/>
      <c r="M44" s="15"/>
    </row>
    <row r="45" spans="2:13" x14ac:dyDescent="0.35">
      <c r="J45" s="1"/>
      <c r="M45" s="15"/>
    </row>
    <row r="46" spans="2:13" x14ac:dyDescent="0.35">
      <c r="J46" s="1"/>
      <c r="M46" s="15"/>
    </row>
    <row r="47" spans="2:13" x14ac:dyDescent="0.35">
      <c r="D47" s="29"/>
      <c r="E47" s="29"/>
      <c r="J47" s="1"/>
      <c r="M47" s="15"/>
    </row>
    <row r="48" spans="2:13" x14ac:dyDescent="0.35">
      <c r="J48" s="1"/>
      <c r="M48" s="15"/>
    </row>
    <row r="49" spans="2:18" x14ac:dyDescent="0.35">
      <c r="J49" s="1"/>
      <c r="M49" s="15"/>
    </row>
    <row r="50" spans="2:18" x14ac:dyDescent="0.35">
      <c r="J50" s="1"/>
      <c r="M50" s="15"/>
    </row>
    <row r="51" spans="2:18" x14ac:dyDescent="0.35">
      <c r="J51" s="1"/>
      <c r="M51" s="15"/>
    </row>
    <row r="52" spans="2:18" x14ac:dyDescent="0.35">
      <c r="J52" s="1"/>
      <c r="M52" s="15"/>
    </row>
    <row r="53" spans="2:18" x14ac:dyDescent="0.35">
      <c r="J53" s="1"/>
      <c r="M53" s="15"/>
    </row>
    <row r="54" spans="2:18" x14ac:dyDescent="0.35">
      <c r="B54" s="24"/>
      <c r="C54" s="2"/>
      <c r="D54" s="25"/>
      <c r="E54" s="25"/>
      <c r="J54" s="1"/>
      <c r="M54" s="15"/>
    </row>
    <row r="55" spans="2:18" x14ac:dyDescent="0.35">
      <c r="M55" s="15"/>
    </row>
    <row r="56" spans="2:18" x14ac:dyDescent="0.35">
      <c r="M56" s="15"/>
    </row>
    <row r="58" spans="2:18" x14ac:dyDescent="0.35">
      <c r="C58" s="2"/>
      <c r="F58" s="7"/>
      <c r="N58" s="8"/>
      <c r="O58" s="8"/>
      <c r="P58" s="8"/>
      <c r="Q58" s="8"/>
      <c r="R58" s="8"/>
    </row>
    <row r="59" spans="2:18" x14ac:dyDescent="0.35">
      <c r="B59" s="24"/>
      <c r="C59" s="2"/>
      <c r="D59" s="25"/>
      <c r="E59" s="25"/>
      <c r="F59" s="7"/>
      <c r="N59" s="8"/>
      <c r="O59" s="8"/>
      <c r="P59" s="8"/>
      <c r="Q59" s="8"/>
      <c r="R59" s="8"/>
    </row>
    <row r="60" spans="2:18" x14ac:dyDescent="0.35">
      <c r="D60" s="26"/>
      <c r="E60" s="26"/>
      <c r="F60" s="7"/>
      <c r="G60" s="8"/>
      <c r="H60" s="8"/>
      <c r="I60" s="8"/>
      <c r="J60" s="43"/>
      <c r="K60" s="8"/>
      <c r="L60" s="8"/>
      <c r="M60" s="8"/>
      <c r="N60" s="8"/>
      <c r="O60" s="8"/>
      <c r="P60" s="8"/>
      <c r="Q60" s="8"/>
      <c r="R60" s="8"/>
    </row>
    <row r="61" spans="2:18" x14ac:dyDescent="0.35">
      <c r="F61" s="7"/>
      <c r="G61" s="8"/>
      <c r="H61" s="8"/>
      <c r="I61" s="8"/>
      <c r="J61" s="43"/>
      <c r="K61" s="8"/>
      <c r="L61" s="8"/>
      <c r="M61" s="8"/>
      <c r="N61" s="8"/>
      <c r="O61" s="8"/>
      <c r="P61" s="8"/>
      <c r="Q61" s="8"/>
      <c r="R61" s="8"/>
    </row>
    <row r="62" spans="2:18" x14ac:dyDescent="0.35">
      <c r="F62" s="7"/>
      <c r="G62" s="8"/>
      <c r="H62" s="8"/>
      <c r="I62" s="8"/>
      <c r="J62" s="43"/>
      <c r="K62" s="8"/>
      <c r="L62" s="8"/>
      <c r="M62" s="8"/>
      <c r="N62" s="8"/>
      <c r="O62" s="8"/>
      <c r="P62" s="8"/>
      <c r="Q62" s="8"/>
      <c r="R62" s="8"/>
    </row>
    <row r="63" spans="2:18" x14ac:dyDescent="0.35">
      <c r="C63" s="2"/>
    </row>
    <row r="87" spans="3:5" x14ac:dyDescent="0.35">
      <c r="C87" s="2"/>
    </row>
    <row r="88" spans="3:5" x14ac:dyDescent="0.35">
      <c r="C88" s="10"/>
      <c r="D88" s="27"/>
      <c r="E88" s="27"/>
    </row>
    <row r="89" spans="3:5" x14ac:dyDescent="0.35">
      <c r="C89" s="12"/>
    </row>
    <row r="90" spans="3:5" x14ac:dyDescent="0.35">
      <c r="C90" s="12"/>
      <c r="D90" s="12"/>
      <c r="E90" s="12"/>
    </row>
    <row r="91" spans="3:5" x14ac:dyDescent="0.35">
      <c r="C91" s="1"/>
      <c r="D91" s="1"/>
      <c r="E91" s="1"/>
    </row>
    <row r="92" spans="3:5" x14ac:dyDescent="0.35">
      <c r="C92" s="1"/>
      <c r="D92" s="1"/>
      <c r="E92" s="1"/>
    </row>
    <row r="93" spans="3:5" x14ac:dyDescent="0.35">
      <c r="C93" s="1"/>
      <c r="D93" s="1"/>
      <c r="E93" s="1"/>
    </row>
    <row r="94" spans="3:5" x14ac:dyDescent="0.35">
      <c r="C94" s="1"/>
      <c r="D94" s="1"/>
      <c r="E94" s="1"/>
    </row>
    <row r="95" spans="3:5" x14ac:dyDescent="0.35">
      <c r="C95" s="1"/>
      <c r="D95" s="1"/>
      <c r="E95" s="1"/>
    </row>
    <row r="96" spans="3:5" x14ac:dyDescent="0.35">
      <c r="C96" s="1"/>
      <c r="D96" s="1"/>
      <c r="E96" s="1"/>
    </row>
    <row r="97" spans="2:5" x14ac:dyDescent="0.35">
      <c r="C97" s="1"/>
      <c r="D97" s="1"/>
      <c r="E97" s="1"/>
    </row>
    <row r="98" spans="2:5" x14ac:dyDescent="0.35">
      <c r="C98" s="1"/>
      <c r="D98" s="1"/>
      <c r="E98" s="1"/>
    </row>
    <row r="99" spans="2:5" x14ac:dyDescent="0.35">
      <c r="C99" s="1"/>
      <c r="D99" s="1"/>
      <c r="E99" s="1"/>
    </row>
    <row r="100" spans="2:5" x14ac:dyDescent="0.35">
      <c r="C100" s="1"/>
      <c r="D100" s="1"/>
      <c r="E100" s="1"/>
    </row>
    <row r="101" spans="2:5" x14ac:dyDescent="0.35">
      <c r="C101" s="1"/>
      <c r="D101" s="1"/>
      <c r="E101" s="1"/>
    </row>
    <row r="102" spans="2:5" x14ac:dyDescent="0.35">
      <c r="C102" s="1"/>
      <c r="D102" s="1"/>
      <c r="E102" s="1"/>
    </row>
    <row r="103" spans="2:5" x14ac:dyDescent="0.35">
      <c r="C103" s="1"/>
      <c r="D103" s="1"/>
      <c r="E103" s="1"/>
    </row>
    <row r="110" spans="2:5" x14ac:dyDescent="0.35">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Mbasa Njomane</cp:lastModifiedBy>
  <cp:lastPrinted>2023-06-21T08:36:00Z</cp:lastPrinted>
  <dcterms:created xsi:type="dcterms:W3CDTF">2022-06-14T12:16:36Z</dcterms:created>
  <dcterms:modified xsi:type="dcterms:W3CDTF">2024-10-01T08:45:41Z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