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E8EBB8E9-9C9B-9B4F-B079-1E66997ADD93}" xr6:coauthVersionLast="36" xr6:coauthVersionMax="36" xr10:uidLastSave="{00000000-0000-0000-0000-000000000000}"/>
  <bookViews>
    <workbookView xWindow="0" yWindow="460" windowWidth="33600" windowHeight="20540" activeTab="4" xr2:uid="{FE8AE665-2E0C-EE41-8E57-B44FC7121AAA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T6" i="4"/>
  <c r="R6" i="4"/>
  <c r="J12" i="4"/>
  <c r="J14" i="4"/>
  <c r="L6" i="4"/>
  <c r="L5" i="4"/>
  <c r="L4" i="4"/>
  <c r="C17" i="4"/>
  <c r="D18" i="4"/>
  <c r="D12" i="4"/>
  <c r="E34" i="6"/>
  <c r="E35" i="6"/>
  <c r="E36" i="6"/>
  <c r="E37" i="6"/>
  <c r="E38" i="6"/>
  <c r="E33" i="6"/>
  <c r="J16" i="6"/>
  <c r="J15" i="6"/>
  <c r="J7" i="6"/>
  <c r="J8" i="6"/>
  <c r="J9" i="6"/>
  <c r="J10" i="6"/>
  <c r="J11" i="6"/>
  <c r="J6" i="6"/>
  <c r="D33" i="6"/>
  <c r="C33" i="6"/>
  <c r="B34" i="6" s="1"/>
  <c r="D34" i="6" s="1"/>
  <c r="C24" i="6"/>
  <c r="M43" i="5"/>
  <c r="D24" i="6"/>
  <c r="N44" i="5"/>
  <c r="N43" i="5"/>
  <c r="N7" i="5"/>
  <c r="N6" i="5"/>
  <c r="E15" i="6"/>
  <c r="D15" i="6"/>
  <c r="G6" i="6"/>
  <c r="H6" i="6" s="1"/>
  <c r="D6" i="6"/>
  <c r="E6" i="6"/>
  <c r="C34" i="6" l="1"/>
  <c r="E24" i="6"/>
  <c r="G15" i="6"/>
  <c r="H15" i="6" s="1"/>
  <c r="I15" i="6" s="1"/>
  <c r="F15" i="6"/>
  <c r="I6" i="6"/>
  <c r="B7" i="6" s="1"/>
  <c r="F6" i="6"/>
  <c r="L18" i="5"/>
  <c r="N19" i="5" s="1"/>
  <c r="L19" i="5"/>
  <c r="N20" i="5" s="1"/>
  <c r="L20" i="5"/>
  <c r="N21" i="5" s="1"/>
  <c r="L21" i="5"/>
  <c r="N22" i="5" s="1"/>
  <c r="L22" i="5"/>
  <c r="M21" i="5" s="1"/>
  <c r="L23" i="5"/>
  <c r="M22" i="5" s="1"/>
  <c r="L24" i="5"/>
  <c r="M23" i="5" s="1"/>
  <c r="L25" i="5"/>
  <c r="M24" i="5" s="1"/>
  <c r="L26" i="5"/>
  <c r="N27" i="5" s="1"/>
  <c r="L27" i="5"/>
  <c r="N28" i="5" s="1"/>
  <c r="L28" i="5"/>
  <c r="N29" i="5" s="1"/>
  <c r="L29" i="5"/>
  <c r="N30" i="5" s="1"/>
  <c r="L30" i="5"/>
  <c r="M29" i="5" s="1"/>
  <c r="L31" i="5"/>
  <c r="M30" i="5" s="1"/>
  <c r="L32" i="5"/>
  <c r="M31" i="5" s="1"/>
  <c r="L33" i="5"/>
  <c r="M32" i="5" s="1"/>
  <c r="L34" i="5"/>
  <c r="N35" i="5" s="1"/>
  <c r="L35" i="5"/>
  <c r="N36" i="5" s="1"/>
  <c r="L36" i="5"/>
  <c r="N37" i="5" s="1"/>
  <c r="L37" i="5"/>
  <c r="N38" i="5" s="1"/>
  <c r="L38" i="5"/>
  <c r="M37" i="5" s="1"/>
  <c r="L39" i="5"/>
  <c r="M38" i="5" s="1"/>
  <c r="L40" i="5"/>
  <c r="M39" i="5" s="1"/>
  <c r="L41" i="5"/>
  <c r="M40" i="5" s="1"/>
  <c r="L42" i="5"/>
  <c r="L43" i="5"/>
  <c r="L44" i="5"/>
  <c r="L5" i="5"/>
  <c r="L6" i="5"/>
  <c r="L7" i="5"/>
  <c r="N8" i="5" s="1"/>
  <c r="L8" i="5"/>
  <c r="M7" i="5" s="1"/>
  <c r="L9" i="5"/>
  <c r="M8" i="5" s="1"/>
  <c r="L10" i="5"/>
  <c r="N11" i="5" s="1"/>
  <c r="L11" i="5"/>
  <c r="N12" i="5" s="1"/>
  <c r="L12" i="5"/>
  <c r="N13" i="5" s="1"/>
  <c r="L13" i="5"/>
  <c r="N14" i="5" s="1"/>
  <c r="L14" i="5"/>
  <c r="M13" i="5" s="1"/>
  <c r="L15" i="5"/>
  <c r="M14" i="5" s="1"/>
  <c r="L16" i="5"/>
  <c r="M15" i="5" s="1"/>
  <c r="L17" i="5"/>
  <c r="M16" i="5" s="1"/>
  <c r="G35" i="5"/>
  <c r="I32" i="5"/>
  <c r="H32" i="5"/>
  <c r="G32" i="5"/>
  <c r="I29" i="5"/>
  <c r="I35" i="5" s="1"/>
  <c r="H29" i="5"/>
  <c r="H35" i="5" s="1"/>
  <c r="G11" i="5" s="1"/>
  <c r="C5" i="4"/>
  <c r="T4" i="4" s="1"/>
  <c r="C5" i="5"/>
  <c r="G2" i="5"/>
  <c r="B25" i="6" l="1"/>
  <c r="C25" i="6" s="1"/>
  <c r="F24" i="6"/>
  <c r="B35" i="6"/>
  <c r="C7" i="6"/>
  <c r="E7" i="6" s="1"/>
  <c r="D25" i="6"/>
  <c r="E25" i="6" s="1"/>
  <c r="D7" i="6"/>
  <c r="G7" i="6"/>
  <c r="H7" i="6" s="1"/>
  <c r="B16" i="6"/>
  <c r="C16" i="6"/>
  <c r="M36" i="5"/>
  <c r="M28" i="5"/>
  <c r="M20" i="5"/>
  <c r="M12" i="5"/>
  <c r="N42" i="5"/>
  <c r="N34" i="5"/>
  <c r="N26" i="5"/>
  <c r="N18" i="5"/>
  <c r="N10" i="5"/>
  <c r="M6" i="5"/>
  <c r="M35" i="5"/>
  <c r="M27" i="5"/>
  <c r="M19" i="5"/>
  <c r="M11" i="5"/>
  <c r="N41" i="5"/>
  <c r="N33" i="5"/>
  <c r="N25" i="5"/>
  <c r="N17" i="5"/>
  <c r="N9" i="5"/>
  <c r="M42" i="5"/>
  <c r="M34" i="5"/>
  <c r="M26" i="5"/>
  <c r="M18" i="5"/>
  <c r="M10" i="5"/>
  <c r="N40" i="5"/>
  <c r="N32" i="5"/>
  <c r="N24" i="5"/>
  <c r="N16" i="5"/>
  <c r="M41" i="5"/>
  <c r="M33" i="5"/>
  <c r="M25" i="5"/>
  <c r="M17" i="5"/>
  <c r="M9" i="5"/>
  <c r="N39" i="5"/>
  <c r="N31" i="5"/>
  <c r="N23" i="5"/>
  <c r="N15" i="5"/>
  <c r="D6" i="5"/>
  <c r="B6" i="5"/>
  <c r="B7" i="5" s="1"/>
  <c r="Q14" i="4"/>
  <c r="B26" i="6" l="1"/>
  <c r="C26" i="6" s="1"/>
  <c r="F25" i="6"/>
  <c r="C35" i="6"/>
  <c r="B36" i="6" s="1"/>
  <c r="D35" i="6"/>
  <c r="F7" i="6"/>
  <c r="E16" i="6"/>
  <c r="D16" i="6"/>
  <c r="I7" i="6"/>
  <c r="B8" i="5"/>
  <c r="C7" i="5"/>
  <c r="C6" i="5"/>
  <c r="M4" i="4"/>
  <c r="M5" i="4"/>
  <c r="E1" i="3"/>
  <c r="D26" i="6" l="1"/>
  <c r="E26" i="6" s="1"/>
  <c r="C36" i="6"/>
  <c r="B37" i="6" s="1"/>
  <c r="D36" i="6"/>
  <c r="H16" i="6"/>
  <c r="I16" i="6" s="1"/>
  <c r="F16" i="6"/>
  <c r="B8" i="6"/>
  <c r="C8" i="6"/>
  <c r="E8" i="6" s="1"/>
  <c r="F7" i="5"/>
  <c r="F6" i="5"/>
  <c r="D6" i="3"/>
  <c r="C6" i="3"/>
  <c r="E7" i="5"/>
  <c r="D7" i="5"/>
  <c r="E6" i="5"/>
  <c r="D8" i="5"/>
  <c r="B9" i="5"/>
  <c r="C8" i="5"/>
  <c r="E8" i="5" s="1"/>
  <c r="N4" i="4"/>
  <c r="J16" i="4" s="1"/>
  <c r="B14" i="3"/>
  <c r="D12" i="3"/>
  <c r="D20" i="3" s="1"/>
  <c r="C12" i="3"/>
  <c r="C20" i="3" s="1"/>
  <c r="E1" i="1"/>
  <c r="J18" i="4" l="1"/>
  <c r="J17" i="4"/>
  <c r="J19" i="4"/>
  <c r="J31" i="4"/>
  <c r="B27" i="6"/>
  <c r="C27" i="6" s="1"/>
  <c r="F26" i="6"/>
  <c r="C37" i="6"/>
  <c r="D37" i="6"/>
  <c r="D27" i="6"/>
  <c r="E27" i="6" s="1"/>
  <c r="D8" i="6"/>
  <c r="G8" i="6"/>
  <c r="H8" i="6" s="1"/>
  <c r="C17" i="6"/>
  <c r="B17" i="6"/>
  <c r="C1" i="3"/>
  <c r="B4" i="3" s="1"/>
  <c r="C1" i="4"/>
  <c r="B5" i="4" s="1"/>
  <c r="D9" i="5"/>
  <c r="C9" i="5"/>
  <c r="B10" i="5"/>
  <c r="C10" i="5" s="1"/>
  <c r="E15" i="4"/>
  <c r="G13" i="4"/>
  <c r="E13" i="4"/>
  <c r="G14" i="4"/>
  <c r="F12" i="4"/>
  <c r="F15" i="4"/>
  <c r="F14" i="4"/>
  <c r="E12" i="4"/>
  <c r="T14" i="4"/>
  <c r="C12" i="4"/>
  <c r="E27" i="4"/>
  <c r="J20" i="4"/>
  <c r="J28" i="4"/>
  <c r="J24" i="4"/>
  <c r="J27" i="4"/>
  <c r="J23" i="4"/>
  <c r="J29" i="4"/>
  <c r="J25" i="4"/>
  <c r="J15" i="4"/>
  <c r="J21" i="4"/>
  <c r="J13" i="4"/>
  <c r="J30" i="4"/>
  <c r="J26" i="4"/>
  <c r="J22" i="4"/>
  <c r="D15" i="4"/>
  <c r="D14" i="4"/>
  <c r="G12" i="4"/>
  <c r="F13" i="4"/>
  <c r="G15" i="4"/>
  <c r="E14" i="4"/>
  <c r="G31" i="4"/>
  <c r="G28" i="4"/>
  <c r="G16" i="4"/>
  <c r="G18" i="4"/>
  <c r="F20" i="4"/>
  <c r="F22" i="4"/>
  <c r="F24" i="4"/>
  <c r="F26" i="4"/>
  <c r="G30" i="4"/>
  <c r="G29" i="4"/>
  <c r="F19" i="4"/>
  <c r="F23" i="4"/>
  <c r="F25" i="4"/>
  <c r="D31" i="4"/>
  <c r="D16" i="4"/>
  <c r="G19" i="4"/>
  <c r="E18" i="4"/>
  <c r="F28" i="4"/>
  <c r="F18" i="4"/>
  <c r="E24" i="4"/>
  <c r="D30" i="4"/>
  <c r="D27" i="4"/>
  <c r="D29" i="4"/>
  <c r="D17" i="4"/>
  <c r="G20" i="4"/>
  <c r="G22" i="4"/>
  <c r="G24" i="4"/>
  <c r="G26" i="4"/>
  <c r="E30" i="4"/>
  <c r="E29" i="4"/>
  <c r="E17" i="4"/>
  <c r="D19" i="4"/>
  <c r="D21" i="4"/>
  <c r="D23" i="4"/>
  <c r="D25" i="4"/>
  <c r="E25" i="4"/>
  <c r="G27" i="4"/>
  <c r="G17" i="4"/>
  <c r="F21" i="4"/>
  <c r="G21" i="4"/>
  <c r="E28" i="4"/>
  <c r="D22" i="4"/>
  <c r="F16" i="4"/>
  <c r="E22" i="4"/>
  <c r="D28" i="4"/>
  <c r="G23" i="4"/>
  <c r="E16" i="4"/>
  <c r="D24" i="4"/>
  <c r="F31" i="4"/>
  <c r="E26" i="4"/>
  <c r="F30" i="4"/>
  <c r="F27" i="4"/>
  <c r="F29" i="4"/>
  <c r="F17" i="4"/>
  <c r="E19" i="4"/>
  <c r="E21" i="4"/>
  <c r="E23" i="4"/>
  <c r="G25" i="4"/>
  <c r="E31" i="4"/>
  <c r="D20" i="4"/>
  <c r="D26" i="4"/>
  <c r="E20" i="4"/>
  <c r="E14" i="3"/>
  <c r="D14" i="3"/>
  <c r="E12" i="3"/>
  <c r="E20" i="3" s="1"/>
  <c r="C14" i="3"/>
  <c r="B28" i="6" l="1"/>
  <c r="F27" i="6"/>
  <c r="B38" i="6"/>
  <c r="D28" i="6"/>
  <c r="C28" i="6"/>
  <c r="E17" i="6"/>
  <c r="D17" i="6"/>
  <c r="F8" i="6"/>
  <c r="I8" i="6"/>
  <c r="E22" i="3"/>
  <c r="D13" i="4"/>
  <c r="Q5" i="4"/>
  <c r="Q13" i="4" s="1"/>
  <c r="Q18" i="4" s="1"/>
  <c r="Q23" i="4" s="1"/>
  <c r="T5" i="4"/>
  <c r="Q6" i="4"/>
  <c r="Q12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R12" i="4"/>
  <c r="R17" i="4" s="1"/>
  <c r="R22" i="4" s="1"/>
  <c r="B13" i="3"/>
  <c r="B21" i="3" s="1"/>
  <c r="D13" i="3"/>
  <c r="D22" i="3" s="1"/>
  <c r="C13" i="3"/>
  <c r="E13" i="3"/>
  <c r="F9" i="5"/>
  <c r="D10" i="5"/>
  <c r="D11" i="5" s="1"/>
  <c r="E10" i="5"/>
  <c r="F8" i="5"/>
  <c r="F11" i="5" s="1"/>
  <c r="E9" i="5"/>
  <c r="E11" i="5" s="1"/>
  <c r="C13" i="4"/>
  <c r="C22" i="3"/>
  <c r="S13" i="4"/>
  <c r="S18" i="4" s="1"/>
  <c r="S23" i="4" s="1"/>
  <c r="T13" i="4"/>
  <c r="T18" i="4" s="1"/>
  <c r="T23" i="4" s="1"/>
  <c r="Q19" i="4"/>
  <c r="Q17" i="4"/>
  <c r="Q22" i="4" s="1"/>
  <c r="C15" i="4"/>
  <c r="C14" i="4"/>
  <c r="C21" i="4"/>
  <c r="C16" i="4"/>
  <c r="C24" i="4"/>
  <c r="C26" i="4"/>
  <c r="C20" i="4"/>
  <c r="C28" i="4"/>
  <c r="C27" i="4"/>
  <c r="C31" i="4"/>
  <c r="C29" i="4"/>
  <c r="C22" i="4"/>
  <c r="C25" i="4"/>
  <c r="C18" i="4"/>
  <c r="C19" i="4"/>
  <c r="C30" i="4"/>
  <c r="C23" i="4"/>
  <c r="B12" i="3"/>
  <c r="B20" i="3" s="1"/>
  <c r="C38" i="6" l="1"/>
  <c r="D38" i="6"/>
  <c r="E28" i="6"/>
  <c r="G17" i="6"/>
  <c r="F17" i="6"/>
  <c r="C9" i="6"/>
  <c r="E9" i="6" s="1"/>
  <c r="B9" i="6"/>
  <c r="R19" i="4"/>
  <c r="R24" i="4" s="1"/>
  <c r="D27" i="3"/>
  <c r="R13" i="4"/>
  <c r="R18" i="4" s="1"/>
  <c r="R23" i="4" s="1"/>
  <c r="B22" i="3"/>
  <c r="T19" i="4"/>
  <c r="S19" i="4"/>
  <c r="D21" i="3"/>
  <c r="H17" i="6" l="1"/>
  <c r="J17" i="6"/>
  <c r="S24" i="4"/>
  <c r="T24" i="4"/>
  <c r="T27" i="4" s="1"/>
  <c r="S27" i="4" s="1"/>
  <c r="R27" i="4" s="1"/>
  <c r="V12" i="4" s="1"/>
  <c r="B29" i="6"/>
  <c r="C29" i="6" s="1"/>
  <c r="F28" i="6"/>
  <c r="D9" i="6"/>
  <c r="G9" i="6"/>
  <c r="H9" i="6" s="1"/>
  <c r="I17" i="6"/>
  <c r="C18" i="6" s="1"/>
  <c r="Q24" i="4"/>
  <c r="E21" i="3"/>
  <c r="C21" i="3"/>
  <c r="V16" i="4" l="1"/>
  <c r="D29" i="6"/>
  <c r="E29" i="6" s="1"/>
  <c r="F29" i="6" s="1"/>
  <c r="E18" i="6"/>
  <c r="B18" i="6"/>
  <c r="I9" i="6"/>
  <c r="F9" i="6"/>
  <c r="C27" i="3"/>
  <c r="B27" i="3" s="1"/>
  <c r="V31" i="4"/>
  <c r="V30" i="4"/>
  <c r="V22" i="4"/>
  <c r="V14" i="4"/>
  <c r="V21" i="4"/>
  <c r="V13" i="4"/>
  <c r="V28" i="4"/>
  <c r="V20" i="4"/>
  <c r="V27" i="4"/>
  <c r="V19" i="4"/>
  <c r="V26" i="4"/>
  <c r="V18" i="4"/>
  <c r="V17" i="4"/>
  <c r="V24" i="4"/>
  <c r="V23" i="4"/>
  <c r="V15" i="4"/>
  <c r="V29" i="4"/>
  <c r="V25" i="4"/>
  <c r="C10" i="6" l="1"/>
  <c r="B10" i="6"/>
  <c r="D18" i="6"/>
  <c r="G18" i="6" s="1"/>
  <c r="J18" i="6" s="1"/>
  <c r="E10" i="6"/>
  <c r="F5" i="3"/>
  <c r="G5" i="3" s="1"/>
  <c r="H5" i="3" s="1"/>
  <c r="F6" i="3"/>
  <c r="H6" i="3" s="1"/>
  <c r="F4" i="3"/>
  <c r="G4" i="3" s="1"/>
  <c r="H4" i="3" s="1"/>
  <c r="D10" i="6" l="1"/>
  <c r="G10" i="6"/>
  <c r="F18" i="6"/>
  <c r="H18" i="6"/>
  <c r="I18" i="6" s="1"/>
  <c r="H10" i="6"/>
  <c r="G6" i="3"/>
  <c r="C19" i="6" l="1"/>
  <c r="B19" i="6"/>
  <c r="F10" i="6"/>
  <c r="I10" i="6"/>
  <c r="C11" i="6" s="1"/>
  <c r="E11" i="6" s="1"/>
  <c r="E19" i="6" l="1"/>
  <c r="D19" i="6"/>
  <c r="B11" i="6"/>
  <c r="D11" i="6" l="1"/>
  <c r="F11" i="6" s="1"/>
  <c r="G11" i="6"/>
  <c r="H11" i="6" s="1"/>
  <c r="G19" i="6"/>
  <c r="F19" i="6"/>
  <c r="H19" i="6" l="1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<sst xmlns="http://schemas.openxmlformats.org/spreadsheetml/2006/main" count="146" uniqueCount="79">
  <si>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</si>
  <si>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</si>
  <si>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</si>
  <si>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</si>
  <si>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</si>
  <si>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</si>
  <si>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</si>
  <si>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</si>
  <si>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</si>
  <si>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</si>
  <si>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</si>
  <si>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</si>
  <si>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</si>
  <si>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</si>
  <si>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</si>
  <si>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</si>
  <si>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</si>
  <si>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3. Метод наименьшик квадратов (Полином 2-го порядка)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</si>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</sst>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</numFmts>
  <fonts count="14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функции'!$L$5:$L$44</c:f>
              <c:numCache>
                <c:formatCode>General</c:formatCode>
                <c:ptCount val="40"/>
                <c:pt idx="0">
                  <c:v>4.4527871611549088</c:v>
                </c:pt>
                <c:pt idx="1">
                  <c:v>2.2389641575922536</c:v>
                </c:pt>
                <c:pt idx="2">
                  <c:v>1.5067366550332997</c:v>
                </c:pt>
                <c:pt idx="3">
                  <c:v>1.1450531251495653</c:v>
                </c:pt>
                <c:pt idx="4">
                  <c:v>0.93175411303540778</c:v>
                </c:pt>
                <c:pt idx="5">
                  <c:v>0.79283272508243996</c:v>
                </c:pt>
                <c:pt idx="6">
                  <c:v>0.69661590664977302</c:v>
                </c:pt>
                <c:pt idx="7">
                  <c:v>0.62731100834090969</c:v>
                </c:pt>
                <c:pt idx="8">
                  <c:v>0.57618931246036098</c:v>
                </c:pt>
                <c:pt idx="9">
                  <c:v>0.53806092409738759</c:v>
                </c:pt>
                <c:pt idx="10">
                  <c:v>0.50967412984487481</c:v>
                </c:pt>
                <c:pt idx="11">
                  <c:v>0.48891702727255781</c:v>
                </c:pt>
                <c:pt idx="12">
                  <c:v>0.47438993826746439</c:v>
                </c:pt>
                <c:pt idx="13">
                  <c:v>0.46516384490102519</c:v>
                </c:pt>
                <c:pt idx="14">
                  <c:v>0.46063883454013987</c:v>
                </c:pt>
                <c:pt idx="15">
                  <c:v>0.4604598214232507</c:v>
                </c:pt>
                <c:pt idx="16">
                  <c:v>0.46446728668554882</c:v>
                </c:pt>
                <c:pt idx="17">
                  <c:v>0.47267116625454819</c:v>
                </c:pt>
                <c:pt idx="18">
                  <c:v>0.48524169622606311</c:v>
                </c:pt>
                <c:pt idx="19">
                  <c:v>0.5025144575712347</c:v>
                </c:pt>
                <c:pt idx="20">
                  <c:v>0.52500927731521008</c:v>
                </c:pt>
                <c:pt idx="21">
                  <c:v>0.55346475302761955</c:v>
                </c:pt>
                <c:pt idx="22">
                  <c:v>0.58889249977572067</c:v>
                </c:pt>
                <c:pt idx="23">
                  <c:v>0.63265832362522589</c:v>
                </c:pt>
                <c:pt idx="24">
                  <c:v>0.68660216705412092</c:v>
                </c:pt>
                <c:pt idx="25">
                  <c:v>0.7532161005599044</c:v>
                </c:pt>
                <c:pt idx="26">
                  <c:v>0.83591208262139838</c:v>
                </c:pt>
                <c:pt idx="27">
                  <c:v>0.93943286970431272</c:v>
                </c:pt>
                <c:pt idx="28">
                  <c:v>1.0704985573119621</c:v>
                </c:pt>
                <c:pt idx="29">
                  <c:v>1.2388546447759246</c:v>
                </c:pt>
                <c:pt idx="30">
                  <c:v>1.459031550087319</c:v>
                </c:pt>
                <c:pt idx="31">
                  <c:v>1.7534227041530379</c:v>
                </c:pt>
                <c:pt idx="32">
                  <c:v>2.1579387327133706</c:v>
                </c:pt>
                <c:pt idx="33">
                  <c:v>2.7330211742175154</c:v>
                </c:pt>
                <c:pt idx="34">
                  <c:v>3.5866938128984702</c:v>
                </c:pt>
                <c:pt idx="35">
                  <c:v>4.9273607916755005</c:v>
                </c:pt>
                <c:pt idx="36">
                  <c:v>7.1997446034914194</c:v>
                </c:pt>
                <c:pt idx="37">
                  <c:v>11.4951419451959</c:v>
                </c:pt>
                <c:pt idx="38">
                  <c:v>21.11149969346264</c:v>
                </c:pt>
                <c:pt idx="39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функции'!$M$5:$M$44</c:f>
              <c:numCache>
                <c:formatCode>General</c:formatCode>
                <c:ptCount val="40"/>
                <c:pt idx="1">
                  <c:v>-58.921010122432179</c:v>
                </c:pt>
                <c:pt idx="2">
                  <c:v>-21.878220648853766</c:v>
                </c:pt>
                <c:pt idx="3">
                  <c:v>-11.499650839957837</c:v>
                </c:pt>
                <c:pt idx="4">
                  <c:v>-7.0444080013425054</c:v>
                </c:pt>
                <c:pt idx="5">
                  <c:v>-4.7027641277126948</c:v>
                </c:pt>
                <c:pt idx="6">
                  <c:v>-3.3104343348306053</c:v>
                </c:pt>
                <c:pt idx="7">
                  <c:v>-2.4085318837882408</c:v>
                </c:pt>
                <c:pt idx="8">
                  <c:v>-1.785001684870442</c:v>
                </c:pt>
                <c:pt idx="9">
                  <c:v>-1.3303036523097234</c:v>
                </c:pt>
                <c:pt idx="10">
                  <c:v>-0.98287793649659561</c:v>
                </c:pt>
                <c:pt idx="11">
                  <c:v>-0.70568383154820835</c:v>
                </c:pt>
                <c:pt idx="12">
                  <c:v>-0.47506364743065244</c:v>
                </c:pt>
                <c:pt idx="13">
                  <c:v>-0.27502207454649041</c:v>
                </c:pt>
                <c:pt idx="14">
                  <c:v>-9.4080469555489765E-2</c:v>
                </c:pt>
                <c:pt idx="15">
                  <c:v>7.6569042908178897E-2</c:v>
                </c:pt>
                <c:pt idx="16">
                  <c:v>0.24422689662594976</c:v>
                </c:pt>
                <c:pt idx="17">
                  <c:v>0.41548819081028587</c:v>
                </c:pt>
                <c:pt idx="18">
                  <c:v>0.59686582633373009</c:v>
                </c:pt>
                <c:pt idx="19">
                  <c:v>0.79535162178293928</c:v>
                </c:pt>
                <c:pt idx="20">
                  <c:v>1.0190059091276971</c:v>
                </c:pt>
                <c:pt idx="21">
                  <c:v>1.2776644492102118</c:v>
                </c:pt>
                <c:pt idx="22">
                  <c:v>1.5838714119521269</c:v>
                </c:pt>
                <c:pt idx="23">
                  <c:v>1.9541933455680049</c:v>
                </c:pt>
                <c:pt idx="24">
                  <c:v>2.4111555386935701</c:v>
                </c:pt>
                <c:pt idx="25">
                  <c:v>2.9861983113455493</c:v>
                </c:pt>
                <c:pt idx="26">
                  <c:v>3.7243353828881665</c:v>
                </c:pt>
                <c:pt idx="27">
                  <c:v>4.6917294938112741</c:v>
                </c:pt>
                <c:pt idx="28">
                  <c:v>5.9884355014322361</c:v>
                </c:pt>
                <c:pt idx="29">
                  <c:v>7.7706598555071382</c:v>
                </c:pt>
                <c:pt idx="30">
                  <c:v>10.291361187542266</c:v>
                </c:pt>
                <c:pt idx="31">
                  <c:v>13.97814365252103</c:v>
                </c:pt>
                <c:pt idx="32">
                  <c:v>19.59196940128955</c:v>
                </c:pt>
                <c:pt idx="33">
                  <c:v>28.575101603701992</c:v>
                </c:pt>
                <c:pt idx="34">
                  <c:v>43.886792349159698</c:v>
                </c:pt>
                <c:pt idx="35">
                  <c:v>72.261015811858982</c:v>
                </c:pt>
                <c:pt idx="36">
                  <c:v>131.355623070408</c:v>
                </c:pt>
                <c:pt idx="37">
                  <c:v>278.2351017994244</c:v>
                </c:pt>
                <c:pt idx="38">
                  <c:v>774.37252830425678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функции'!$N$5:$N$44</c:f>
              <c:numCache>
                <c:formatCode>General</c:formatCode>
                <c:ptCount val="40"/>
                <c:pt idx="1">
                  <c:v>8.3646891484339528E-2</c:v>
                </c:pt>
                <c:pt idx="2">
                  <c:v>4.6821260157819421E-2</c:v>
                </c:pt>
                <c:pt idx="3">
                  <c:v>3.3147372252285812E-2</c:v>
                </c:pt>
                <c:pt idx="4">
                  <c:v>2.5960090477312167E-2</c:v>
                </c:pt>
                <c:pt idx="5">
                  <c:v>2.1557335476473097E-2</c:v>
                </c:pt>
                <c:pt idx="6">
                  <c:v>1.8618107896652664E-2</c:v>
                </c:pt>
                <c:pt idx="7">
                  <c:v>1.6549086437383533E-2</c:v>
                </c:pt>
                <c:pt idx="8">
                  <c:v>1.5043754010015883E-2</c:v>
                </c:pt>
                <c:pt idx="9">
                  <c:v>1.392812795697186E-2</c:v>
                </c:pt>
                <c:pt idx="10">
                  <c:v>1.3096688174278281E-2</c:v>
                </c:pt>
                <c:pt idx="11">
                  <c:v>1.2482389463967909E-2</c:v>
                </c:pt>
                <c:pt idx="12">
                  <c:v>1.2041337069250278E-2</c:v>
                </c:pt>
                <c:pt idx="13">
                  <c:v>1.1744422289606121E-2</c:v>
                </c:pt>
                <c:pt idx="14">
                  <c:v>1.1572533493014564E-2</c:v>
                </c:pt>
                <c:pt idx="15">
                  <c:v>1.1513733199542383E-2</c:v>
                </c:pt>
                <c:pt idx="16">
                  <c:v>1.1561588851359994E-2</c:v>
                </c:pt>
                <c:pt idx="17">
                  <c:v>1.1714230661751214E-2</c:v>
                </c:pt>
                <c:pt idx="18">
                  <c:v>1.1973910781007641E-2</c:v>
                </c:pt>
                <c:pt idx="19">
                  <c:v>1.2346951922466223E-2</c:v>
                </c:pt>
                <c:pt idx="20">
                  <c:v>1.284404668608056E-2</c:v>
                </c:pt>
                <c:pt idx="21">
                  <c:v>1.348092537928537E-2</c:v>
                </c:pt>
                <c:pt idx="22">
                  <c:v>1.4279465660041752E-2</c:v>
                </c:pt>
                <c:pt idx="23">
                  <c:v>1.5269385292511834E-2</c:v>
                </c:pt>
                <c:pt idx="24">
                  <c:v>1.6490756133491834E-2</c:v>
                </c:pt>
                <c:pt idx="25">
                  <c:v>1.799772834517532E-2</c:v>
                </c:pt>
                <c:pt idx="26">
                  <c:v>1.9864102289766285E-2</c:v>
                </c:pt>
                <c:pt idx="27">
                  <c:v>2.2191811904071393E-2</c:v>
                </c:pt>
                <c:pt idx="28">
                  <c:v>2.5124142837703436E-2</c:v>
                </c:pt>
                <c:pt idx="29">
                  <c:v>2.8866915026098585E-2</c:v>
                </c:pt>
                <c:pt idx="30">
                  <c:v>3.372357743579054E-2</c:v>
                </c:pt>
                <c:pt idx="31">
                  <c:v>4.0155678178004466E-2</c:v>
                </c:pt>
                <c:pt idx="32">
                  <c:v>4.8892017960830106E-2</c:v>
                </c:pt>
                <c:pt idx="33">
                  <c:v>6.1136998836636085E-2</c:v>
                </c:pt>
                <c:pt idx="34">
                  <c:v>7.8996437338949829E-2</c:v>
                </c:pt>
                <c:pt idx="35">
                  <c:v>0.10642568255717465</c:v>
                </c:pt>
                <c:pt idx="36">
                  <c:v>0.15158881743958652</c:v>
                </c:pt>
                <c:pt idx="37">
                  <c:v>0.23368608185859152</c:v>
                </c:pt>
                <c:pt idx="38">
                  <c:v>0.40758302048323181</c:v>
                </c:pt>
                <c:pt idx="39">
                  <c:v>0.89156585067339233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61546</xdr:colOff>
      <xdr:row>9</xdr:row>
      <xdr:rowOff>95738</xdr:rowOff>
    </xdr:from>
    <xdr:ext cx="1743875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88238" y="1883507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88238" y="1883507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57638</xdr:colOff>
      <xdr:row>11</xdr:row>
      <xdr:rowOff>3908</xdr:rowOff>
    </xdr:from>
    <xdr:ext cx="1745542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84330" y="2231293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84330" y="2231293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𝑎_22=8+3∗(−3/22)=7,59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53730</xdr:colOff>
      <xdr:row>12</xdr:row>
      <xdr:rowOff>156308</xdr:rowOff>
    </xdr:from>
    <xdr:ext cx="1745542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80422" y="2588846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80422" y="2588846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𝑎_23=1−4∗(−3/22)=1,55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67408</xdr:colOff>
      <xdr:row>17</xdr:row>
      <xdr:rowOff>101599</xdr:rowOff>
    </xdr:from>
    <xdr:ext cx="1538563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94100" y="3569676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94100" y="3569676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63500</xdr:colOff>
      <xdr:row>19</xdr:row>
      <xdr:rowOff>9770</xdr:rowOff>
    </xdr:from>
    <xdr:ext cx="172367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90192" y="3917462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90192" y="3917462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59592</xdr:colOff>
      <xdr:row>20</xdr:row>
      <xdr:rowOff>162169</xdr:rowOff>
    </xdr:from>
    <xdr:ext cx="2064989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86284" y="4275015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86284" y="4275015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𝑎_23=16−1,55∗(6/7,59)=14,78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662699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2852127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3855799" cy="349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35006</xdr:colOff>
      <xdr:row>32</xdr:row>
      <xdr:rowOff>28901</xdr:rowOff>
    </xdr:from>
    <xdr:to>
      <xdr:col>20</xdr:col>
      <xdr:colOff>778934</xdr:colOff>
      <xdr:row>49</xdr:row>
      <xdr:rowOff>186266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75FE3-1122-BB43-8CBB-B030841F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163146</xdr:colOff>
      <xdr:row>31</xdr:row>
      <xdr:rowOff>133837</xdr:rowOff>
    </xdr:from>
    <xdr:ext cx="5886483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30119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66040</xdr:colOff>
      <xdr:row>22</xdr:row>
      <xdr:rowOff>20320</xdr:rowOff>
    </xdr:from>
    <xdr:ext cx="2402840" cy="73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(𝑥)=𝑦(𝑥)+(〖∆𝑦〗_0∗(𝑥−𝑥_0 ))+(∆^2 𝑦_0∗(𝑥−𝑥_0 )(𝑥−𝑥_1 ))+(∆^3 𝑦_0∗(𝑥−𝑥_0 )(𝑥−𝑥_1 )(𝑥−𝑥_2 ))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156504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120479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10990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5627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69890</xdr:colOff>
      <xdr:row>14</xdr:row>
      <xdr:rowOff>30448</xdr:rowOff>
    </xdr:from>
    <xdr:ext cx="199734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𝐴_1 𝑓(𝑥_1 )+𝐴_2 𝑓(𝑥_2 )+𝐴_3 𝑓(𝑥_3)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106070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8729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34127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135728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135728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135728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35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EF7DDD-49B0-3640-8D27-288A6881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13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14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16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8BCF-2721-7845-AF4C-D5EF09C66259}">
  <dimension ref="A1:E4"/>
  <sheetViews>
    <sheetView workbookViewId="0">
      <selection activeCell="E2" sqref="E2"/>
    </sheetView>
  </sheetViews>
  <sheetFormatPr baseColWidth="10" defaultRowHeight="16"/>
  <sheetData>
    <row r="1" spans="1:5">
      <c r="A1" t="s">
        <v>3</v>
      </c>
      <c r="B1">
        <v>1</v>
      </c>
      <c r="D1" t="s">
        <v>0</v>
      </c>
      <c r="E1">
        <f>ABS(3*(B2+B1)+B3-B4)</f>
        <v>18</v>
      </c>
    </row>
    <row r="2" spans="1:5">
      <c r="A2" t="s">
        <v>2</v>
      </c>
      <c r="B2">
        <v>4</v>
      </c>
      <c r="D2" t="s">
        <v>1</v>
      </c>
      <c r="E2">
        <v>16</v>
      </c>
    </row>
    <row r="3" spans="1:5">
      <c r="A3" t="s">
        <v>4</v>
      </c>
      <c r="B3">
        <v>5</v>
      </c>
    </row>
    <row r="4" spans="1:5">
      <c r="A4" t="s">
        <v>5</v>
      </c>
      <c r="B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3041-31E1-134E-8744-C92A9802D1CF}">
  <dimension ref="A1:N33"/>
  <sheetViews>
    <sheetView zoomScale="130" zoomScaleNormal="130" workbookViewId="0">
      <selection activeCell="G8" sqref="G8"/>
    </sheetView>
  </sheetViews>
  <sheetFormatPr baseColWidth="10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n!$E$1</f>
        <v>18</v>
      </c>
      <c r="D1" s="6" t="s">
        <v>1</v>
      </c>
      <c r="E1" s="6">
        <f>n!$E$2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25</v>
      </c>
      <c r="C3" s="14" t="s">
        <v>26</v>
      </c>
      <c r="D3" s="15" t="s">
        <v>27</v>
      </c>
      <c r="E3" s="38" t="s">
        <v>28</v>
      </c>
      <c r="F3" s="24" t="s">
        <v>43</v>
      </c>
      <c r="G3" s="14" t="s">
        <v>44</v>
      </c>
      <c r="H3" s="25" t="s">
        <v>45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25</v>
      </c>
      <c r="C11" s="14" t="s">
        <v>26</v>
      </c>
      <c r="D11" s="15" t="s">
        <v>27</v>
      </c>
      <c r="E11" s="16" t="s">
        <v>28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25</v>
      </c>
      <c r="C19" s="14" t="s">
        <v>26</v>
      </c>
      <c r="D19" s="15" t="s">
        <v>27</v>
      </c>
      <c r="E19" s="16" t="s">
        <v>28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67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29</v>
      </c>
      <c r="C26" s="14" t="s">
        <v>30</v>
      </c>
      <c r="D26" s="25" t="s">
        <v>31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424-711B-3C49-863D-1D78871F8073}">
  <dimension ref="A1:V31"/>
  <sheetViews>
    <sheetView zoomScale="110" zoomScaleNormal="110" workbookViewId="0">
      <selection activeCell="Q4" sqref="Q4"/>
    </sheetView>
  </sheetViews>
  <sheetFormatPr baseColWidth="10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</cols>
  <sheetData>
    <row r="1" spans="1:22">
      <c r="B1" s="6" t="s">
        <v>0</v>
      </c>
      <c r="C1" s="6">
        <f>n!$E$1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33</v>
      </c>
      <c r="N3" s="25" t="s">
        <v>34</v>
      </c>
      <c r="P3" s="13" t="s">
        <v>6</v>
      </c>
      <c r="Q3" s="14" t="s">
        <v>35</v>
      </c>
      <c r="R3" s="14" t="s">
        <v>36</v>
      </c>
      <c r="S3" s="15" t="s">
        <v>37</v>
      </c>
      <c r="T3" s="16" t="s">
        <v>28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17</v>
      </c>
    </row>
    <row r="10" spans="1:22" ht="17" thickBot="1"/>
    <row r="11" spans="1:22" ht="18">
      <c r="B11" s="13" t="s">
        <v>10</v>
      </c>
      <c r="C11" s="14" t="s">
        <v>32</v>
      </c>
      <c r="D11" s="14" t="s">
        <v>72</v>
      </c>
      <c r="E11" s="14" t="s">
        <v>73</v>
      </c>
      <c r="F11" s="14" t="s">
        <v>74</v>
      </c>
      <c r="G11" s="25" t="s">
        <v>75</v>
      </c>
      <c r="J11" s="27" t="s">
        <v>76</v>
      </c>
      <c r="P11" s="13" t="s">
        <v>6</v>
      </c>
      <c r="Q11" s="14" t="s">
        <v>35</v>
      </c>
      <c r="R11" s="14" t="s">
        <v>36</v>
      </c>
      <c r="S11" s="15" t="s">
        <v>37</v>
      </c>
      <c r="T11" s="16" t="s">
        <v>28</v>
      </c>
      <c r="V11" s="27" t="s">
        <v>77</v>
      </c>
    </row>
    <row r="12" spans="1:22">
      <c r="B12" s="36">
        <v>-1</v>
      </c>
      <c r="C12" s="31">
        <f>($C$4*D12) + ($C$5*E12) + ($C$6*F12) + ($C$7*G12)</f>
        <v>1</v>
      </c>
      <c r="D12" s="31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1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2">(($B13-$B$4) * ($B13-$B$5) * ($B13-$B$6)) / (($B$7-$B$4) * ($B$7-$B$5) * ($B$7-$B$6))</f>
        <v>-0.30681818181818182</v>
      </c>
      <c r="J13" s="28">
        <f t="shared" ref="J13:J31" si="3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>$R$27 + ($S$27 * B13) + ($T$27 * (B13^2))</f>
        <v>2.1024135560202835</v>
      </c>
    </row>
    <row r="14" spans="1:22" ht="17" thickBot="1">
      <c r="B14" s="36">
        <v>1</v>
      </c>
      <c r="C14" s="31">
        <f t="shared" ref="C14" si="4">($C$4*D14) + ($C$5*E14) + ($C$6*F14) + ($C$7*G14)</f>
        <v>9.3172846889952154</v>
      </c>
      <c r="D14" s="31">
        <f t="shared" ref="D14:D31" si="5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2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>$R$27 + ($S$27 * B14) + ($T$27 * (B14^2))</f>
        <v>1.9304967485031665</v>
      </c>
    </row>
    <row r="15" spans="1:22" ht="17" thickBot="1">
      <c r="B15" s="36">
        <v>2</v>
      </c>
      <c r="C15" s="31">
        <f>($C$4*D15) + ($C$5*E15) + ($C$6*F15) + ($C$7*G15)</f>
        <v>11.162679425837322</v>
      </c>
      <c r="D15" s="31">
        <f t="shared" si="5"/>
        <v>0.3499658236500342</v>
      </c>
      <c r="E15" s="31">
        <f t="shared" si="1"/>
        <v>5.2631578947368418E-2</v>
      </c>
      <c r="F15" s="31">
        <f>(($B15-$B$4) * ($B15-$B$5) * ($B15-$B$7)) / (($B$6-$B$4) * ($B$6-$B$5) * ($B$6-$B$7))</f>
        <v>1.1428571428571428</v>
      </c>
      <c r="G15" s="32">
        <f t="shared" si="2"/>
        <v>-0.54545454545454541</v>
      </c>
      <c r="J15" s="28">
        <f t="shared" si="3"/>
        <v>11.162679425837322</v>
      </c>
      <c r="V15" s="28">
        <f>$R$27 + ($S$27 * B15) + ($T$27 * (B15^2))</f>
        <v>1.8299051766121419</v>
      </c>
    </row>
    <row r="16" spans="1:22" ht="18">
      <c r="B16" s="36">
        <v>3</v>
      </c>
      <c r="C16" s="31">
        <f t="shared" ref="C16:C26" si="6">($C$4*D16) + ($C$5*E16) + ($C$6*F16) + ($C$7*G16)</f>
        <v>11.744617224880383</v>
      </c>
      <c r="D16" s="31">
        <f t="shared" si="5"/>
        <v>0.21531100478468901</v>
      </c>
      <c r="E16" s="31">
        <f t="shared" si="1"/>
        <v>4.6052631578947366E-2</v>
      </c>
      <c r="F16" s="31">
        <f t="shared" ref="F16:F28" si="7">(($B16-$B$4) * ($B16-$B$5) * ($B16-$B$7)) / (($B$6-$B$4) * ($B$6-$B$5) * ($B$6-$B$7))</f>
        <v>1.25</v>
      </c>
      <c r="G16" s="32">
        <f t="shared" si="2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35</v>
      </c>
      <c r="R16" s="14" t="s">
        <v>36</v>
      </c>
      <c r="S16" s="15" t="s">
        <v>37</v>
      </c>
      <c r="T16" s="16" t="s">
        <v>28</v>
      </c>
      <c r="V16" s="28">
        <f>$R$27 + ($S$27 * B16) + ($T$27 * (B16^2))</f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5"/>
        <v>0.11483253588516747</v>
      </c>
      <c r="E17" s="31">
        <f t="shared" si="1"/>
        <v>3.2894736842105261E-2</v>
      </c>
      <c r="F17" s="31">
        <f t="shared" si="7"/>
        <v>1.25</v>
      </c>
      <c r="G17" s="32">
        <f t="shared" si="2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8">Q12</f>
        <v>461</v>
      </c>
      <c r="R17" s="18">
        <f t="shared" si="8"/>
        <v>7047</v>
      </c>
      <c r="S17" s="12">
        <f t="shared" si="8"/>
        <v>116273</v>
      </c>
      <c r="T17" s="19">
        <f t="shared" si="8"/>
        <v>3653</v>
      </c>
      <c r="V17" s="28">
        <f>$R$27 + ($S$27 * B17) + ($T$27 * (B17^2))</f>
        <v>1.842697739708369</v>
      </c>
    </row>
    <row r="18" spans="2:22">
      <c r="B18" s="36">
        <v>5</v>
      </c>
      <c r="C18" s="31">
        <f t="shared" si="6"/>
        <v>9.9542464114832541</v>
      </c>
      <c r="D18" s="31">
        <f t="shared" si="5"/>
        <v>4.4429254955570742E-2</v>
      </c>
      <c r="E18" s="31">
        <f t="shared" si="1"/>
        <v>1.6447368421052631E-2</v>
      </c>
      <c r="F18" s="31">
        <f t="shared" si="7"/>
        <v>1.1607142857142858</v>
      </c>
      <c r="G18" s="32">
        <f t="shared" si="2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8"/>
        <v>0</v>
      </c>
      <c r="R18" s="18">
        <f t="shared" si="8"/>
        <v>-43.449023861171383</v>
      </c>
      <c r="S18" s="12">
        <f t="shared" si="8"/>
        <v>-1276.2299349240784</v>
      </c>
      <c r="T18" s="19">
        <f t="shared" si="8"/>
        <v>-36.494577006507598</v>
      </c>
      <c r="V18" s="28">
        <f>$R$27 + ($S$27 * B18) + ($T$27 * (B18^2))</f>
        <v>1.956081874695621</v>
      </c>
    </row>
    <row r="19" spans="2:22" ht="17" thickBot="1">
      <c r="B19" s="36">
        <v>6</v>
      </c>
      <c r="C19" s="31">
        <f t="shared" si="6"/>
        <v>8</v>
      </c>
      <c r="D19" s="31">
        <f t="shared" si="5"/>
        <v>0</v>
      </c>
      <c r="E19" s="31">
        <f t="shared" si="1"/>
        <v>0</v>
      </c>
      <c r="F19" s="31">
        <f t="shared" si="7"/>
        <v>1</v>
      </c>
      <c r="G19" s="32">
        <f t="shared" si="2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>$R$27 + ($S$27 * B19) + ($T$27 * (B19^2))</f>
        <v>2.1407912453089648</v>
      </c>
    </row>
    <row r="20" spans="2:22" ht="17" thickBot="1">
      <c r="B20" s="36">
        <v>7</v>
      </c>
      <c r="C20" s="31">
        <f t="shared" si="6"/>
        <v>5.6184210526315788</v>
      </c>
      <c r="D20" s="31">
        <f t="shared" si="5"/>
        <v>-2.2556390977443608E-2</v>
      </c>
      <c r="E20" s="31">
        <f t="shared" si="1"/>
        <v>-1.3157894736842105E-2</v>
      </c>
      <c r="F20" s="31">
        <f t="shared" si="7"/>
        <v>0.7857142857142857</v>
      </c>
      <c r="G20" s="32">
        <f t="shared" si="2"/>
        <v>0.25</v>
      </c>
      <c r="J20" s="28">
        <f t="shared" si="3"/>
        <v>5.6184210526315796</v>
      </c>
      <c r="V20" s="28">
        <f>$R$27 + ($S$27 * B20) + ($T$27 * (B20^2))</f>
        <v>2.3968258515484013</v>
      </c>
    </row>
    <row r="21" spans="2:22" ht="18">
      <c r="B21" s="36">
        <v>8</v>
      </c>
      <c r="C21" s="31">
        <f t="shared" si="6"/>
        <v>3.0185406698564599</v>
      </c>
      <c r="D21" s="31">
        <f t="shared" si="5"/>
        <v>-2.7341079972658919E-2</v>
      </c>
      <c r="E21" s="31">
        <f t="shared" si="1"/>
        <v>-1.9736842105263157E-2</v>
      </c>
      <c r="F21" s="31">
        <f t="shared" si="7"/>
        <v>0.5357142857142857</v>
      </c>
      <c r="G21" s="32">
        <f t="shared" si="2"/>
        <v>0.51136363636363635</v>
      </c>
      <c r="J21" s="28">
        <f t="shared" si="3"/>
        <v>3.018540669856459</v>
      </c>
      <c r="P21" s="13" t="s">
        <v>6</v>
      </c>
      <c r="Q21" s="14" t="s">
        <v>35</v>
      </c>
      <c r="R21" s="14" t="s">
        <v>36</v>
      </c>
      <c r="S21" s="15" t="s">
        <v>37</v>
      </c>
      <c r="T21" s="16" t="s">
        <v>28</v>
      </c>
      <c r="V21" s="28">
        <f>$R$27 + ($S$27 * B21) + ($T$27 * (B21^2))</f>
        <v>2.7241856934139292</v>
      </c>
    </row>
    <row r="22" spans="2:22">
      <c r="B22" s="36">
        <v>9</v>
      </c>
      <c r="C22" s="31">
        <f t="shared" si="6"/>
        <v>0.40938995215310992</v>
      </c>
      <c r="D22" s="31">
        <f t="shared" si="5"/>
        <v>-1.845522898154477E-2</v>
      </c>
      <c r="E22" s="31">
        <f t="shared" si="1"/>
        <v>-1.6447368421052631E-2</v>
      </c>
      <c r="F22" s="31">
        <f t="shared" si="7"/>
        <v>0.26785714285714285</v>
      </c>
      <c r="G22" s="32">
        <f t="shared" si="2"/>
        <v>0.76704545454545459</v>
      </c>
      <c r="J22" s="28">
        <f t="shared" si="3"/>
        <v>0.40938995215311058</v>
      </c>
      <c r="P22" s="17">
        <v>1</v>
      </c>
      <c r="Q22" s="18">
        <f t="shared" ref="Q22:T23" si="9">Q17</f>
        <v>461</v>
      </c>
      <c r="R22" s="18">
        <f t="shared" si="9"/>
        <v>7047</v>
      </c>
      <c r="S22" s="12">
        <f t="shared" si="9"/>
        <v>116273</v>
      </c>
      <c r="T22" s="19">
        <f t="shared" si="9"/>
        <v>3653</v>
      </c>
      <c r="V22" s="28">
        <f>$R$27 + ($S$27 * B22) + ($T$27 * (B22^2))</f>
        <v>3.1228707709055499</v>
      </c>
    </row>
    <row r="23" spans="2:22">
      <c r="B23" s="36">
        <v>10</v>
      </c>
      <c r="C23" s="31">
        <f t="shared" si="6"/>
        <v>-2</v>
      </c>
      <c r="D23" s="31">
        <f t="shared" si="5"/>
        <v>0</v>
      </c>
      <c r="E23" s="31">
        <f t="shared" si="1"/>
        <v>0</v>
      </c>
      <c r="F23" s="31">
        <f t="shared" si="7"/>
        <v>0</v>
      </c>
      <c r="G23" s="32">
        <f t="shared" si="2"/>
        <v>1</v>
      </c>
      <c r="J23" s="28">
        <f t="shared" si="3"/>
        <v>-2</v>
      </c>
      <c r="P23" s="17">
        <v>2</v>
      </c>
      <c r="Q23" s="18">
        <f t="shared" si="9"/>
        <v>0</v>
      </c>
      <c r="R23" s="18">
        <f t="shared" si="9"/>
        <v>-43.449023861171383</v>
      </c>
      <c r="S23" s="12">
        <f t="shared" si="9"/>
        <v>-1276.2299349240784</v>
      </c>
      <c r="T23" s="19">
        <f t="shared" si="9"/>
        <v>-36.494577006507598</v>
      </c>
      <c r="V23" s="28">
        <f>$R$27 + ($S$27 * B23) + ($T$27 * (B23^2))</f>
        <v>3.5928810840232628</v>
      </c>
    </row>
    <row r="24" spans="2:22" ht="17" thickBot="1">
      <c r="B24" s="36">
        <v>11</v>
      </c>
      <c r="C24" s="31">
        <f t="shared" si="6"/>
        <v>-4.0005980861244019</v>
      </c>
      <c r="D24" s="31">
        <f t="shared" si="5"/>
        <v>2.3923444976076555E-2</v>
      </c>
      <c r="E24" s="31">
        <f t="shared" si="1"/>
        <v>3.2894736842105261E-2</v>
      </c>
      <c r="F24" s="31">
        <f t="shared" si="7"/>
        <v>-0.25</v>
      </c>
      <c r="G24" s="32">
        <f t="shared" si="2"/>
        <v>1.1931818181818181</v>
      </c>
      <c r="J24" s="28">
        <f t="shared" si="3"/>
        <v>-4.0005980861244046</v>
      </c>
      <c r="O24" s="6"/>
      <c r="P24" s="20" t="s">
        <v>18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>$R$27 + ($S$27 * B24) + ($T$27 * (B24^2))</f>
        <v>4.1342166327670675</v>
      </c>
    </row>
    <row r="25" spans="2:22" ht="17" thickBot="1">
      <c r="B25" s="36">
        <v>12</v>
      </c>
      <c r="C25" s="31">
        <f t="shared" si="6"/>
        <v>-5.383373205741627</v>
      </c>
      <c r="D25" s="31">
        <f t="shared" si="5"/>
        <v>4.9213943950786057E-2</v>
      </c>
      <c r="E25" s="31">
        <f t="shared" si="1"/>
        <v>8.5526315789473686E-2</v>
      </c>
      <c r="F25" s="31">
        <f t="shared" si="7"/>
        <v>-0.4642857142857143</v>
      </c>
      <c r="G25" s="32">
        <f t="shared" si="2"/>
        <v>1.3295454545454546</v>
      </c>
      <c r="J25" s="28">
        <f t="shared" si="3"/>
        <v>-5.3833732057416288</v>
      </c>
      <c r="O25" s="6"/>
      <c r="V25" s="28">
        <f>$R$27 + ($S$27 * B25) + ($T$27 * (B25^2))</f>
        <v>4.7468774171369645</v>
      </c>
    </row>
    <row r="26" spans="2:22" ht="18">
      <c r="B26" s="36">
        <v>13</v>
      </c>
      <c r="C26" s="31">
        <f t="shared" si="6"/>
        <v>-5.9392942583732058</v>
      </c>
      <c r="D26" s="31">
        <f t="shared" si="5"/>
        <v>7.1770334928229665E-2</v>
      </c>
      <c r="E26" s="31">
        <f t="shared" si="1"/>
        <v>0.16118421052631579</v>
      </c>
      <c r="F26" s="31">
        <f t="shared" si="7"/>
        <v>-0.625</v>
      </c>
      <c r="G26" s="32">
        <f t="shared" si="2"/>
        <v>1.3920454545454546</v>
      </c>
      <c r="J26" s="28">
        <f t="shared" si="3"/>
        <v>-5.939294258373204</v>
      </c>
      <c r="Q26" s="50"/>
      <c r="R26" s="14" t="s">
        <v>38</v>
      </c>
      <c r="S26" s="14" t="s">
        <v>39</v>
      </c>
      <c r="T26" s="25" t="s">
        <v>40</v>
      </c>
      <c r="V26" s="28">
        <f>$R$27 + ($S$27 * B26) + ($T$27 * (B26^2))</f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7"/>
        <v>-0.7142857142857143</v>
      </c>
      <c r="G27" s="32">
        <f>(($B27-$B$4) * ($B27-$B$5) * ($B27-$B$6)) / (($B$7-$B$4) * ($B$7-$B$5) * ($B$7-$B$6))</f>
        <v>1.3636363636363635</v>
      </c>
      <c r="J27" s="28">
        <f t="shared" si="3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>$R$27 + ($S$27 * B27) + ($T$27 * (B27^2))</f>
        <v>6.186174692755035</v>
      </c>
    </row>
    <row r="28" spans="2:22" ht="17" thickBot="1">
      <c r="B28" s="36">
        <v>15</v>
      </c>
      <c r="C28" s="31">
        <f>($C$4*D28) + ($C$5*E28) + ($C$6*F28) + ($C$7*G28)</f>
        <v>-3.7344497607655502</v>
      </c>
      <c r="D28" s="31">
        <f t="shared" si="5"/>
        <v>9.2276144907723859E-2</v>
      </c>
      <c r="E28" s="31">
        <f t="shared" si="1"/>
        <v>0.39473684210526316</v>
      </c>
      <c r="F28" s="31">
        <f t="shared" si="7"/>
        <v>-0.7142857142857143</v>
      </c>
      <c r="G28" s="32">
        <f t="shared" si="2"/>
        <v>1.2272727272727273</v>
      </c>
      <c r="J28" s="28">
        <f t="shared" si="3"/>
        <v>-3.7344497607655533</v>
      </c>
      <c r="Q28" s="37" t="s">
        <v>78</v>
      </c>
      <c r="R28" s="34">
        <v>2.1023999999999998</v>
      </c>
      <c r="S28" s="34">
        <v>-0.20760000000000001</v>
      </c>
      <c r="T28" s="23">
        <v>3.56E-2</v>
      </c>
      <c r="V28" s="28">
        <f>$R$27 + ($S$27 * B28) + ($T$27 * (B28^2))</f>
        <v>7.0128111840032084</v>
      </c>
    </row>
    <row r="29" spans="2:22">
      <c r="B29" s="36">
        <v>16</v>
      </c>
      <c r="C29" s="31">
        <f t="shared" ref="C29" si="10">($C$4*D29) + ($C$5*E29) + ($C$6*F29) + ($C$7*G29)</f>
        <v>-0.55562200956937802</v>
      </c>
      <c r="D29" s="31">
        <f t="shared" si="5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2"/>
        <v>0.96590909090909094</v>
      </c>
      <c r="J29" s="28">
        <f t="shared" si="3"/>
        <v>-0.55562200956938312</v>
      </c>
      <c r="V29" s="28">
        <f>$R$27 + ($S$27 * B29) + ($T$27 * (B29^2))</f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1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3"/>
        <v>4.286184210526315</v>
      </c>
      <c r="V30" s="28">
        <f>$R$27 + ($S$27 * B30) + ($T$27 * (B30^2))</f>
        <v>8.8800598733778315</v>
      </c>
    </row>
    <row r="31" spans="2:22" ht="17" thickBot="1">
      <c r="B31" s="37">
        <v>18</v>
      </c>
      <c r="C31" s="34">
        <f>($C$4*D31) + ($C$5*E31) + ($C$6*F31) + ($C$7*G31)</f>
        <v>11</v>
      </c>
      <c r="D31" s="34">
        <f t="shared" si="5"/>
        <v>0</v>
      </c>
      <c r="E31" s="34">
        <f t="shared" ref="E31" si="12">(($B31-$B$4) * ($B31-$B$6) * ($B31-$B$7)) / (($B$5-$B$4) * ($B$5-$B$6) * ($B$5-$B$7))</f>
        <v>1</v>
      </c>
      <c r="F31" s="34">
        <f t="shared" si="11"/>
        <v>0</v>
      </c>
      <c r="G31" s="35">
        <f t="shared" si="2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>$R$27 + ($S$27 * B31) + ($T$27 * (B31^2))</f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6138-5950-9543-BAC7-84D2D075A1E0}">
  <dimension ref="A1:N44"/>
  <sheetViews>
    <sheetView zoomScale="125" zoomScaleNormal="120" workbookViewId="0">
      <selection activeCell="G11" sqref="G11"/>
    </sheetView>
  </sheetViews>
  <sheetFormatPr baseColWidth="10" defaultRowHeight="16"/>
  <cols>
    <col min="1" max="1" width="12.1640625" bestFit="1" customWidth="1"/>
    <col min="2" max="2" width="5.33203125" bestFit="1" customWidth="1"/>
  </cols>
  <sheetData>
    <row r="1" spans="1:14">
      <c r="D1" t="s">
        <v>20</v>
      </c>
      <c r="E1" t="s">
        <v>21</v>
      </c>
      <c r="F1" t="s">
        <v>23</v>
      </c>
      <c r="G1" s="6" t="s">
        <v>22</v>
      </c>
    </row>
    <row r="2" spans="1:14">
      <c r="D2">
        <v>0.1</v>
      </c>
      <c r="E2">
        <v>1</v>
      </c>
      <c r="F2">
        <v>5</v>
      </c>
      <c r="G2">
        <f>(E2-D2)/F2</f>
        <v>0.18</v>
      </c>
    </row>
    <row r="3" spans="1:14" ht="8" customHeight="1" thickBot="1"/>
    <row r="4" spans="1:14" ht="18">
      <c r="A4" s="50"/>
      <c r="B4" s="14" t="s">
        <v>10</v>
      </c>
      <c r="C4" s="15" t="s">
        <v>19</v>
      </c>
      <c r="D4" s="14" t="s">
        <v>56</v>
      </c>
      <c r="E4" s="14" t="s">
        <v>54</v>
      </c>
      <c r="F4" s="14" t="s">
        <v>55</v>
      </c>
      <c r="G4" s="52" t="s">
        <v>41</v>
      </c>
      <c r="H4" s="46"/>
      <c r="I4" s="46"/>
      <c r="K4" s="24" t="s">
        <v>10</v>
      </c>
      <c r="L4" s="14" t="s">
        <v>19</v>
      </c>
      <c r="M4" s="51" t="s">
        <v>52</v>
      </c>
      <c r="N4" s="52" t="s">
        <v>53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2.5000000000000001E-2</v>
      </c>
      <c r="L5" s="9">
        <f t="shared" ref="L5:L44" si="0">K5 / (SIN(3 * K5))^2</f>
        <v>4.4527871611549088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v>0.05</v>
      </c>
      <c r="L6" s="9">
        <f t="shared" si="0"/>
        <v>2.2389641575922536</v>
      </c>
      <c r="M6" s="31">
        <f>(L7-L5) / (2 * 0.025)</f>
        <v>-58.921010122432179</v>
      </c>
      <c r="N6" s="32">
        <f>(0.025 * (L5 + L6)) / 2</f>
        <v>8.3646891484339528E-2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v>7.4999999999999997E-2</v>
      </c>
      <c r="L7" s="9">
        <f t="shared" si="0"/>
        <v>1.5067366550332997</v>
      </c>
      <c r="M7" s="31">
        <f t="shared" ref="M7:M42" si="3">(L8-L6) / (2 * 0.025)</f>
        <v>-21.878220648853766</v>
      </c>
      <c r="N7" s="32">
        <f>(0.025 * (L6 + L7)) / 2</f>
        <v>4.6821260157819421E-2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4">($G$2 * (C7 + C8)) / 2</f>
        <v>0.10818150612932936</v>
      </c>
      <c r="F8" s="31">
        <f t="shared" ref="F8:F9" si="5">($G$2 * (C7 + (4*C8) + C9)) / 6</f>
        <v>0.16327189091862682</v>
      </c>
      <c r="G8" s="32"/>
      <c r="H8" s="31"/>
      <c r="I8" s="31"/>
      <c r="K8" s="57">
        <v>0.1</v>
      </c>
      <c r="L8" s="9">
        <f t="shared" si="0"/>
        <v>1.1450531251495653</v>
      </c>
      <c r="M8" s="31">
        <f t="shared" si="3"/>
        <v>-11.499650839957837</v>
      </c>
      <c r="N8" s="32">
        <f t="shared" ref="N7:N43" si="6">(0.025 * (L7 + L8)) / 2</f>
        <v>3.3147372252285812E-2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5"/>
        <v>1.7760560251454001</v>
      </c>
      <c r="G9" s="32"/>
      <c r="H9" s="31"/>
      <c r="I9" s="31"/>
      <c r="K9" s="57">
        <v>0.125</v>
      </c>
      <c r="L9" s="9">
        <f t="shared" si="0"/>
        <v>0.93175411303540778</v>
      </c>
      <c r="M9" s="31">
        <f t="shared" si="3"/>
        <v>-7.0444080013425054</v>
      </c>
      <c r="N9" s="32">
        <f t="shared" si="6"/>
        <v>2.5960090477312167E-2</v>
      </c>
    </row>
    <row r="10" spans="1:14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57">
        <v>0.15</v>
      </c>
      <c r="L10" s="9">
        <f t="shared" si="0"/>
        <v>0.79283272508243996</v>
      </c>
      <c r="M10" s="31">
        <f t="shared" si="3"/>
        <v>-4.7027641277126948</v>
      </c>
      <c r="N10" s="32">
        <f t="shared" si="6"/>
        <v>2.1557335476473097E-2</v>
      </c>
    </row>
    <row r="11" spans="1:14" ht="17" thickBot="1">
      <c r="A11" s="54" t="s">
        <v>24</v>
      </c>
      <c r="B11" s="55"/>
      <c r="C11" s="56"/>
      <c r="D11" s="55">
        <f>SUM(D5:D10)</f>
        <v>0.88521228440027278</v>
      </c>
      <c r="E11" s="55">
        <f t="shared" ref="E11:F11" si="7">SUM(E5:E10)</f>
        <v>5.3013966555735976</v>
      </c>
      <c r="F11" s="34">
        <f t="shared" si="7"/>
        <v>2.1427440815043179</v>
      </c>
      <c r="G11" s="35">
        <f>(( G32 * (G35 / (SIN(3 * G35)^2)) ) + ( H32 * (H35 / (SIN(3 * H35)^2)) ) + ( I32 * (I35 / (SIN(3 * I35)^2)) )) * ((E2-D2)/2)</f>
        <v>1.5852327087272966</v>
      </c>
      <c r="H11" s="31"/>
      <c r="I11" s="31"/>
      <c r="K11" s="57">
        <v>0.17499999999999999</v>
      </c>
      <c r="L11" s="9">
        <f t="shared" si="0"/>
        <v>0.69661590664977302</v>
      </c>
      <c r="M11" s="31">
        <f t="shared" si="3"/>
        <v>-3.3104343348306053</v>
      </c>
      <c r="N11" s="32">
        <f t="shared" si="6"/>
        <v>1.8618107896652664E-2</v>
      </c>
    </row>
    <row r="12" spans="1:14">
      <c r="K12" s="57">
        <v>0.2</v>
      </c>
      <c r="L12" s="9">
        <f t="shared" si="0"/>
        <v>0.62731100834090969</v>
      </c>
      <c r="M12" s="31">
        <f t="shared" si="3"/>
        <v>-2.4085318837882408</v>
      </c>
      <c r="N12" s="32">
        <f t="shared" si="6"/>
        <v>1.6549086437383533E-2</v>
      </c>
    </row>
    <row r="13" spans="1:14">
      <c r="K13" s="57">
        <v>0.22500000000000001</v>
      </c>
      <c r="L13" s="9">
        <f t="shared" si="0"/>
        <v>0.57618931246036098</v>
      </c>
      <c r="M13" s="31">
        <f t="shared" si="3"/>
        <v>-1.785001684870442</v>
      </c>
      <c r="N13" s="32">
        <f t="shared" si="6"/>
        <v>1.5043754010015883E-2</v>
      </c>
    </row>
    <row r="14" spans="1:14">
      <c r="A14" s="48" t="s">
        <v>42</v>
      </c>
      <c r="K14" s="57">
        <v>0.25</v>
      </c>
      <c r="L14" s="9">
        <f t="shared" si="0"/>
        <v>0.53806092409738759</v>
      </c>
      <c r="M14" s="31">
        <f t="shared" si="3"/>
        <v>-1.3303036523097234</v>
      </c>
      <c r="N14" s="32">
        <f t="shared" si="6"/>
        <v>1.392812795697186E-2</v>
      </c>
    </row>
    <row r="15" spans="1:14">
      <c r="K15" s="57">
        <v>0.27500000000000002</v>
      </c>
      <c r="L15" s="9">
        <f t="shared" si="0"/>
        <v>0.50967412984487481</v>
      </c>
      <c r="M15" s="31">
        <f t="shared" si="3"/>
        <v>-0.98287793649659561</v>
      </c>
      <c r="N15" s="32">
        <f t="shared" si="6"/>
        <v>1.3096688174278281E-2</v>
      </c>
    </row>
    <row r="16" spans="1:14">
      <c r="K16" s="57">
        <v>0.3</v>
      </c>
      <c r="L16" s="9">
        <f t="shared" si="0"/>
        <v>0.48891702727255781</v>
      </c>
      <c r="M16" s="31">
        <f t="shared" si="3"/>
        <v>-0.70568383154820835</v>
      </c>
      <c r="N16" s="32">
        <f t="shared" si="6"/>
        <v>1.2482389463967909E-2</v>
      </c>
    </row>
    <row r="17" spans="7:14">
      <c r="K17" s="57">
        <v>0.32500000000000001</v>
      </c>
      <c r="L17" s="9">
        <f t="shared" si="0"/>
        <v>0.47438993826746439</v>
      </c>
      <c r="M17" s="31">
        <f t="shared" si="3"/>
        <v>-0.47506364743065244</v>
      </c>
      <c r="N17" s="32">
        <f t="shared" si="6"/>
        <v>1.2041337069250278E-2</v>
      </c>
    </row>
    <row r="18" spans="7:14">
      <c r="K18" s="57">
        <v>0.35</v>
      </c>
      <c r="L18" s="9">
        <f t="shared" si="0"/>
        <v>0.46516384490102519</v>
      </c>
      <c r="M18" s="31">
        <f t="shared" si="3"/>
        <v>-0.27502207454649041</v>
      </c>
      <c r="N18" s="32">
        <f t="shared" si="6"/>
        <v>1.1744422289606121E-2</v>
      </c>
    </row>
    <row r="19" spans="7:14">
      <c r="K19" s="57">
        <v>0.375</v>
      </c>
      <c r="L19" s="9">
        <f t="shared" si="0"/>
        <v>0.46063883454013987</v>
      </c>
      <c r="M19" s="31">
        <f t="shared" si="3"/>
        <v>-9.4080469555489765E-2</v>
      </c>
      <c r="N19" s="32">
        <f t="shared" si="6"/>
        <v>1.1572533493014564E-2</v>
      </c>
    </row>
    <row r="20" spans="7:14">
      <c r="K20" s="57">
        <v>0.4</v>
      </c>
      <c r="L20" s="9">
        <f t="shared" si="0"/>
        <v>0.4604598214232507</v>
      </c>
      <c r="M20" s="31">
        <f t="shared" si="3"/>
        <v>7.6569042908178897E-2</v>
      </c>
      <c r="N20" s="32">
        <f t="shared" si="6"/>
        <v>1.1513733199542383E-2</v>
      </c>
    </row>
    <row r="21" spans="7:14">
      <c r="K21" s="57">
        <v>0.42499999999999999</v>
      </c>
      <c r="L21" s="9">
        <f t="shared" si="0"/>
        <v>0.46446728668554882</v>
      </c>
      <c r="M21" s="31">
        <f t="shared" si="3"/>
        <v>0.24422689662594976</v>
      </c>
      <c r="N21" s="32">
        <f t="shared" si="6"/>
        <v>1.1561588851359994E-2</v>
      </c>
    </row>
    <row r="22" spans="7:14">
      <c r="K22" s="57">
        <v>0.45</v>
      </c>
      <c r="L22" s="9">
        <f t="shared" si="0"/>
        <v>0.47267116625454819</v>
      </c>
      <c r="M22" s="31">
        <f t="shared" si="3"/>
        <v>0.41548819081028587</v>
      </c>
      <c r="N22" s="32">
        <f t="shared" si="6"/>
        <v>1.1714230661751214E-2</v>
      </c>
    </row>
    <row r="23" spans="7:14">
      <c r="K23" s="57">
        <v>0.47499999999999998</v>
      </c>
      <c r="L23" s="9">
        <f t="shared" si="0"/>
        <v>0.48524169622606311</v>
      </c>
      <c r="M23" s="31">
        <f t="shared" si="3"/>
        <v>0.59686582633373009</v>
      </c>
      <c r="N23" s="32">
        <f t="shared" si="6"/>
        <v>1.1973910781007641E-2</v>
      </c>
    </row>
    <row r="24" spans="7:14">
      <c r="K24" s="57">
        <v>0.5</v>
      </c>
      <c r="L24" s="9">
        <f t="shared" si="0"/>
        <v>0.5025144575712347</v>
      </c>
      <c r="M24" s="31">
        <f t="shared" si="3"/>
        <v>0.79535162178293928</v>
      </c>
      <c r="N24" s="32">
        <f t="shared" si="6"/>
        <v>1.2346951922466223E-2</v>
      </c>
    </row>
    <row r="25" spans="7:14">
      <c r="K25" s="57">
        <v>0.52500000000000002</v>
      </c>
      <c r="L25" s="9">
        <f t="shared" si="0"/>
        <v>0.52500927731521008</v>
      </c>
      <c r="M25" s="31">
        <f t="shared" si="3"/>
        <v>1.0190059091276971</v>
      </c>
      <c r="N25" s="32">
        <f t="shared" si="6"/>
        <v>1.284404668608056E-2</v>
      </c>
    </row>
    <row r="26" spans="7:14">
      <c r="K26" s="57">
        <v>0.55000000000000004</v>
      </c>
      <c r="L26" s="9">
        <f t="shared" si="0"/>
        <v>0.55346475302761955</v>
      </c>
      <c r="M26" s="31">
        <f t="shared" si="3"/>
        <v>1.2776644492102118</v>
      </c>
      <c r="N26" s="32">
        <f t="shared" si="6"/>
        <v>1.348092537928537E-2</v>
      </c>
    </row>
    <row r="27" spans="7:14" ht="17" thickBot="1">
      <c r="K27" s="57">
        <v>0.57499999999999996</v>
      </c>
      <c r="L27" s="9">
        <f t="shared" si="0"/>
        <v>0.58889249977572067</v>
      </c>
      <c r="M27" s="31">
        <f t="shared" si="3"/>
        <v>1.5838714119521269</v>
      </c>
      <c r="N27" s="32">
        <f t="shared" si="6"/>
        <v>1.4279465660041752E-2</v>
      </c>
    </row>
    <row r="28" spans="7:14" ht="18">
      <c r="G28" s="24" t="s">
        <v>46</v>
      </c>
      <c r="H28" s="14" t="s">
        <v>47</v>
      </c>
      <c r="I28" s="25" t="s">
        <v>48</v>
      </c>
      <c r="K28" s="57">
        <v>0.6</v>
      </c>
      <c r="L28" s="9">
        <f t="shared" si="0"/>
        <v>0.63265832362522589</v>
      </c>
      <c r="M28" s="31">
        <f t="shared" si="3"/>
        <v>1.9541933455680049</v>
      </c>
      <c r="N28" s="32">
        <f t="shared" si="6"/>
        <v>1.5269385292511834E-2</v>
      </c>
    </row>
    <row r="29" spans="7:14" ht="17" thickBot="1">
      <c r="G29" s="47">
        <v>0</v>
      </c>
      <c r="H29" s="34">
        <f>SQRT(3/5)</f>
        <v>0.7745966692414834</v>
      </c>
      <c r="I29" s="35">
        <f>-SQRT(3/5)</f>
        <v>-0.7745966692414834</v>
      </c>
      <c r="K29" s="57">
        <v>0.625</v>
      </c>
      <c r="L29" s="9">
        <f t="shared" si="0"/>
        <v>0.68660216705412092</v>
      </c>
      <c r="M29" s="31">
        <f t="shared" si="3"/>
        <v>2.4111555386935701</v>
      </c>
      <c r="N29" s="32">
        <f t="shared" si="6"/>
        <v>1.6490756133491834E-2</v>
      </c>
    </row>
    <row r="30" spans="7:14" ht="17" thickBot="1">
      <c r="K30" s="57">
        <v>0.65</v>
      </c>
      <c r="L30" s="9">
        <f t="shared" si="0"/>
        <v>0.7532161005599044</v>
      </c>
      <c r="M30" s="31">
        <f t="shared" si="3"/>
        <v>2.9861983113455493</v>
      </c>
      <c r="N30" s="32">
        <f t="shared" si="6"/>
        <v>1.799772834517532E-2</v>
      </c>
    </row>
    <row r="31" spans="7:14" ht="18">
      <c r="G31" s="24" t="s">
        <v>49</v>
      </c>
      <c r="H31" s="14" t="s">
        <v>50</v>
      </c>
      <c r="I31" s="25" t="s">
        <v>51</v>
      </c>
      <c r="K31" s="57">
        <v>0.67500000000000004</v>
      </c>
      <c r="L31" s="9">
        <f t="shared" si="0"/>
        <v>0.83591208262139838</v>
      </c>
      <c r="M31" s="31">
        <f t="shared" si="3"/>
        <v>3.7243353828881665</v>
      </c>
      <c r="N31" s="32">
        <f t="shared" si="6"/>
        <v>1.9864102289766285E-2</v>
      </c>
    </row>
    <row r="32" spans="7:14" ht="17" thickBot="1">
      <c r="G32" s="47">
        <f>2/2.25</f>
        <v>0.88888888888888884</v>
      </c>
      <c r="H32" s="34">
        <f>2/3.6</f>
        <v>0.55555555555555558</v>
      </c>
      <c r="I32" s="35">
        <f>2/3.6</f>
        <v>0.55555555555555558</v>
      </c>
      <c r="K32" s="57">
        <v>0.7</v>
      </c>
      <c r="L32" s="9">
        <f t="shared" si="0"/>
        <v>0.93943286970431272</v>
      </c>
      <c r="M32" s="31">
        <f t="shared" si="3"/>
        <v>4.6917294938112741</v>
      </c>
      <c r="N32" s="32">
        <f t="shared" si="6"/>
        <v>2.2191811904071393E-2</v>
      </c>
    </row>
    <row r="33" spans="7:14" ht="17" thickBot="1">
      <c r="K33" s="57">
        <v>0.72499999999999998</v>
      </c>
      <c r="L33" s="9">
        <f t="shared" si="0"/>
        <v>1.0704985573119621</v>
      </c>
      <c r="M33" s="31">
        <f t="shared" si="3"/>
        <v>5.9884355014322361</v>
      </c>
      <c r="N33" s="32">
        <f t="shared" si="6"/>
        <v>2.5124142837703436E-2</v>
      </c>
    </row>
    <row r="34" spans="7:14" ht="18">
      <c r="G34" s="24" t="s">
        <v>29</v>
      </c>
      <c r="H34" s="14" t="s">
        <v>30</v>
      </c>
      <c r="I34" s="25" t="s">
        <v>31</v>
      </c>
      <c r="K34" s="57">
        <v>0.75</v>
      </c>
      <c r="L34" s="9">
        <f t="shared" si="0"/>
        <v>1.2388546447759246</v>
      </c>
      <c r="M34" s="31">
        <f t="shared" si="3"/>
        <v>7.7706598555071382</v>
      </c>
      <c r="N34" s="32">
        <f t="shared" si="6"/>
        <v>2.8866915026098585E-2</v>
      </c>
    </row>
    <row r="35" spans="7:14" ht="17" thickBot="1">
      <c r="G35" s="47">
        <f>(($E$2+$D$2) / 2) + (($E$2-$D$2) / 2) * G29</f>
        <v>0.55000000000000004</v>
      </c>
      <c r="H35" s="34">
        <f>(($E$2+$D$2) / 2) + (($E$2-$D$2) / 2) * H29</f>
        <v>0.8985685011586676</v>
      </c>
      <c r="I35" s="35">
        <f>(($E$2+$D$2) / 2) + (($E$2-$D$2) / 2) * I29</f>
        <v>0.20143149884133249</v>
      </c>
      <c r="K35" s="57">
        <v>0.77500000000000002</v>
      </c>
      <c r="L35" s="9">
        <f t="shared" si="0"/>
        <v>1.459031550087319</v>
      </c>
      <c r="M35" s="31">
        <f t="shared" si="3"/>
        <v>10.291361187542266</v>
      </c>
      <c r="N35" s="32">
        <f t="shared" si="6"/>
        <v>3.372357743579054E-2</v>
      </c>
    </row>
    <row r="36" spans="7:14">
      <c r="K36" s="57">
        <v>0.8</v>
      </c>
      <c r="L36" s="9">
        <f t="shared" si="0"/>
        <v>1.7534227041530379</v>
      </c>
      <c r="M36" s="31">
        <f t="shared" si="3"/>
        <v>13.97814365252103</v>
      </c>
      <c r="N36" s="32">
        <f t="shared" si="6"/>
        <v>4.0155678178004466E-2</v>
      </c>
    </row>
    <row r="37" spans="7:14">
      <c r="K37" s="57">
        <v>0.82499999999999996</v>
      </c>
      <c r="L37" s="9">
        <f t="shared" si="0"/>
        <v>2.1579387327133706</v>
      </c>
      <c r="M37" s="31">
        <f t="shared" si="3"/>
        <v>19.59196940128955</v>
      </c>
      <c r="N37" s="32">
        <f t="shared" si="6"/>
        <v>4.8892017960830106E-2</v>
      </c>
    </row>
    <row r="38" spans="7:14">
      <c r="K38" s="57">
        <v>0.85</v>
      </c>
      <c r="L38" s="9">
        <f t="shared" si="0"/>
        <v>2.7330211742175154</v>
      </c>
      <c r="M38" s="31">
        <f t="shared" si="3"/>
        <v>28.575101603701992</v>
      </c>
      <c r="N38" s="32">
        <f t="shared" si="6"/>
        <v>6.1136998836636085E-2</v>
      </c>
    </row>
    <row r="39" spans="7:14">
      <c r="K39" s="57">
        <v>0.875</v>
      </c>
      <c r="L39" s="9">
        <f t="shared" si="0"/>
        <v>3.5866938128984702</v>
      </c>
      <c r="M39" s="31">
        <f t="shared" si="3"/>
        <v>43.886792349159698</v>
      </c>
      <c r="N39" s="32">
        <f t="shared" si="6"/>
        <v>7.8996437338949829E-2</v>
      </c>
    </row>
    <row r="40" spans="7:14">
      <c r="K40" s="57">
        <v>0.9</v>
      </c>
      <c r="L40" s="9">
        <f t="shared" si="0"/>
        <v>4.9273607916755005</v>
      </c>
      <c r="M40" s="31">
        <f t="shared" si="3"/>
        <v>72.261015811858982</v>
      </c>
      <c r="N40" s="32">
        <f t="shared" si="6"/>
        <v>0.10642568255717465</v>
      </c>
    </row>
    <row r="41" spans="7:14">
      <c r="K41" s="57">
        <v>0.92500000000000004</v>
      </c>
      <c r="L41" s="9">
        <f t="shared" si="0"/>
        <v>7.1997446034914194</v>
      </c>
      <c r="M41" s="31">
        <f t="shared" si="3"/>
        <v>131.355623070408</v>
      </c>
      <c r="N41" s="32">
        <f t="shared" si="6"/>
        <v>0.15158881743958652</v>
      </c>
    </row>
    <row r="42" spans="7:14">
      <c r="K42" s="57">
        <v>0.95</v>
      </c>
      <c r="L42" s="9">
        <f t="shared" si="0"/>
        <v>11.4951419451959</v>
      </c>
      <c r="M42" s="31">
        <f t="shared" si="3"/>
        <v>278.2351017994244</v>
      </c>
      <c r="N42" s="32">
        <f t="shared" si="6"/>
        <v>0.23368608185859152</v>
      </c>
    </row>
    <row r="43" spans="7:14">
      <c r="K43" s="57">
        <v>0.97499999999999998</v>
      </c>
      <c r="L43" s="9">
        <f t="shared" si="0"/>
        <v>21.11149969346264</v>
      </c>
      <c r="M43" s="31">
        <f>(L44-L42) / (2 * 0.025)</f>
        <v>774.37252830425678</v>
      </c>
      <c r="N43" s="32">
        <f>(0.025 * (L42 + L43)) / 2</f>
        <v>0.40758302048323181</v>
      </c>
    </row>
    <row r="44" spans="7:14" ht="17" thickBot="1">
      <c r="K44" s="47">
        <v>1</v>
      </c>
      <c r="L44" s="58">
        <f t="shared" si="0"/>
        <v>50.213768360408736</v>
      </c>
      <c r="M44" s="34"/>
      <c r="N44" s="35">
        <f>(0.025 * (L43 + L44)) / 2</f>
        <v>0.89156585067339233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76B8-66ED-E345-BA42-47C65E46771C}">
  <dimension ref="A1:M59"/>
  <sheetViews>
    <sheetView tabSelected="1" zoomScale="130" zoomScaleNormal="130" workbookViewId="0">
      <selection activeCell="F33" sqref="F33"/>
    </sheetView>
  </sheetViews>
  <sheetFormatPr baseColWidth="10" defaultRowHeight="16"/>
  <cols>
    <col min="1" max="1" width="2.1640625" bestFit="1" customWidth="1"/>
    <col min="5" max="6" width="12.5" bestFit="1" customWidth="1"/>
  </cols>
  <sheetData>
    <row r="1" spans="1:12">
      <c r="E1" t="s">
        <v>71</v>
      </c>
    </row>
    <row r="2" spans="1:12">
      <c r="E2">
        <v>0.96909999999999996</v>
      </c>
    </row>
    <row r="4" spans="1:12" ht="17" thickBot="1">
      <c r="B4" s="48" t="s">
        <v>63</v>
      </c>
    </row>
    <row r="5" spans="1:12">
      <c r="A5" s="13" t="s">
        <v>6</v>
      </c>
      <c r="B5" s="14" t="s">
        <v>20</v>
      </c>
      <c r="C5" s="14" t="s">
        <v>21</v>
      </c>
      <c r="D5" s="14" t="s">
        <v>60</v>
      </c>
      <c r="E5" s="14" t="s">
        <v>61</v>
      </c>
      <c r="F5" s="14" t="s">
        <v>57</v>
      </c>
      <c r="G5" s="14" t="s">
        <v>10</v>
      </c>
      <c r="H5" s="14" t="s">
        <v>19</v>
      </c>
      <c r="I5" s="14" t="s">
        <v>58</v>
      </c>
      <c r="J5" s="25" t="s">
        <v>59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0">(B7 / SIN(3*B7)^2) - 18</f>
        <v>-17.446535246972381</v>
      </c>
      <c r="E7" s="31">
        <f t="shared" ref="E7:E11" si="1">(C7 / SIN(3*C7)^2) - 18</f>
        <v>32.213768360408736</v>
      </c>
      <c r="F7" s="31">
        <f t="shared" ref="F7:F11" si="2">D7*E7</f>
        <v>-562.01864513767475</v>
      </c>
      <c r="G7" s="31">
        <f>(B7+C7) / 2</f>
        <v>0.77500000000000002</v>
      </c>
      <c r="H7" s="31">
        <f t="shared" ref="H7:H11" si="3">(G7 / SIN(3*G7)^2) - 18</f>
        <v>-16.540968449912683</v>
      </c>
      <c r="I7" s="31">
        <f t="shared" ref="I7:I11" si="4">D7 * H7</f>
        <v>288.58258908045974</v>
      </c>
      <c r="J7" s="32">
        <f t="shared" ref="J7:J11" si="5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6">IF(I7 &lt;= 0, G7, C7)</f>
        <v>1</v>
      </c>
      <c r="D8" s="31">
        <f t="shared" si="0"/>
        <v>-16.540968449912683</v>
      </c>
      <c r="E8" s="31">
        <f t="shared" si="1"/>
        <v>32.213768360408736</v>
      </c>
      <c r="F8" s="31">
        <f t="shared" si="2"/>
        <v>-532.84692610231627</v>
      </c>
      <c r="G8" s="31">
        <f>(B8+C8) / 2</f>
        <v>0.88749999999999996</v>
      </c>
      <c r="H8" s="31">
        <f t="shared" si="3"/>
        <v>-13.823474163873824</v>
      </c>
      <c r="I8" s="31">
        <f t="shared" si="4"/>
        <v>228.65365001282001</v>
      </c>
      <c r="J8" s="32">
        <f t="shared" si="5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6"/>
        <v>1</v>
      </c>
      <c r="D9" s="31">
        <f t="shared" si="0"/>
        <v>-13.823474163873824</v>
      </c>
      <c r="E9" s="31">
        <f t="shared" si="1"/>
        <v>32.213768360408736</v>
      </c>
      <c r="F9" s="31">
        <f t="shared" si="2"/>
        <v>-445.30619465112619</v>
      </c>
      <c r="G9" s="31">
        <f>(B9+C9) / 2</f>
        <v>0.94374999999999998</v>
      </c>
      <c r="H9" s="31">
        <f t="shared" si="3"/>
        <v>-7.8804375433226515</v>
      </c>
      <c r="I9" s="31">
        <f t="shared" si="4"/>
        <v>108.93502478014199</v>
      </c>
      <c r="J9" s="32">
        <f t="shared" si="5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0"/>
        <v>-7.8804375433226515</v>
      </c>
      <c r="E10" s="31">
        <f t="shared" si="1"/>
        <v>32.213768360408736</v>
      </c>
      <c r="F10" s="31">
        <f t="shared" si="2"/>
        <v>-253.85858959926438</v>
      </c>
      <c r="G10" s="31">
        <f>(B10+C10) / 2</f>
        <v>0.97187500000000004</v>
      </c>
      <c r="H10" s="31">
        <f t="shared" si="3"/>
        <v>1.3607587314185636</v>
      </c>
      <c r="I10" s="31">
        <f t="shared" si="4"/>
        <v>-10.723374194474953</v>
      </c>
      <c r="J10" s="32">
        <f t="shared" si="5"/>
        <v>2.775000000000083E-3</v>
      </c>
      <c r="K10" s="31"/>
      <c r="L10" s="31"/>
    </row>
    <row r="11" spans="1:12" ht="17" thickBot="1">
      <c r="A11" s="37">
        <v>6</v>
      </c>
      <c r="B11" s="34">
        <f>IF(I10 &gt; 0, G10, B10)</f>
        <v>0.94374999999999998</v>
      </c>
      <c r="C11" s="34">
        <f t="shared" si="6"/>
        <v>0.97187500000000004</v>
      </c>
      <c r="D11" s="34">
        <f t="shared" si="0"/>
        <v>-7.8804375433226515</v>
      </c>
      <c r="E11" s="34">
        <f t="shared" si="1"/>
        <v>1.3607587314185636</v>
      </c>
      <c r="F11" s="34">
        <f t="shared" si="2"/>
        <v>-10.723374194474953</v>
      </c>
      <c r="G11" s="60">
        <f>(B11+C11) / 2</f>
        <v>0.95781249999999996</v>
      </c>
      <c r="H11" s="34">
        <f t="shared" si="3"/>
        <v>-4.355962590327886</v>
      </c>
      <c r="I11" s="34">
        <f t="shared" si="4"/>
        <v>34.326891134128857</v>
      </c>
      <c r="J11" s="63">
        <f t="shared" si="5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7" thickBot="1">
      <c r="B13" s="48" t="s">
        <v>64</v>
      </c>
    </row>
    <row r="14" spans="1:12">
      <c r="A14" s="13" t="s">
        <v>6</v>
      </c>
      <c r="B14" s="14" t="s">
        <v>20</v>
      </c>
      <c r="C14" s="14" t="s">
        <v>21</v>
      </c>
      <c r="D14" s="14" t="s">
        <v>60</v>
      </c>
      <c r="E14" s="14" t="s">
        <v>61</v>
      </c>
      <c r="F14" s="14" t="s">
        <v>57</v>
      </c>
      <c r="G14" s="14" t="s">
        <v>10</v>
      </c>
      <c r="H14" s="14" t="s">
        <v>19</v>
      </c>
      <c r="I14" s="14" t="s">
        <v>58</v>
      </c>
      <c r="J14" s="25" t="s">
        <v>59</v>
      </c>
    </row>
    <row r="15" spans="1:12">
      <c r="A15" s="36">
        <v>1</v>
      </c>
      <c r="B15" s="31">
        <v>0.1</v>
      </c>
      <c r="C15" s="31">
        <v>1</v>
      </c>
      <c r="D15" s="31">
        <f>(B15 / SIN(3*B15)^2) - 18</f>
        <v>-16.854946874850434</v>
      </c>
      <c r="E15" s="31">
        <f>(C15 / SIN(3*C15)^2) - 18</f>
        <v>32.213768360408736</v>
      </c>
      <c r="F15" s="31">
        <f>D15*E15</f>
        <v>-542.96135435342705</v>
      </c>
      <c r="G15" s="31">
        <f>C15 - ((C15-B15) / (E15-D15)) * E15</f>
        <v>0.40914712387792707</v>
      </c>
      <c r="H15" s="31">
        <f>(G15 / SIN(3*G15)^2) - 18</f>
        <v>-17.538556595607343</v>
      </c>
      <c r="I15" s="31">
        <f>D15 * H15</f>
        <v>295.61143968051942</v>
      </c>
      <c r="J15" s="32">
        <f>ABS(G15-$E$2)</f>
        <v>0.5599528761220729</v>
      </c>
    </row>
    <row r="16" spans="1:12">
      <c r="A16" s="36">
        <v>2</v>
      </c>
      <c r="B16" s="31">
        <f>IF(I15 &gt; 0, G15, B15)</f>
        <v>0.40914712387792707</v>
      </c>
      <c r="C16" s="31">
        <f>IF(I15 &lt;= 0, G15, C15)</f>
        <v>1</v>
      </c>
      <c r="D16" s="31">
        <f t="shared" ref="D16:D19" si="7">(B16 / SIN(3*B16)^2) - 18</f>
        <v>-17.538556595607343</v>
      </c>
      <c r="E16" s="31">
        <f t="shared" ref="E16:E20" si="8">(C16 / SIN(3*C16)^2) - 18</f>
        <v>32.213768360408736</v>
      </c>
      <c r="F16" s="31">
        <f t="shared" ref="F16:F20" si="9">D16*E16</f>
        <v>-564.98299954681374</v>
      </c>
      <c r="G16" s="31">
        <f>C16 - ((C16-B16) / (E16-D16)) * E16</f>
        <v>0.61743300030089987</v>
      </c>
      <c r="H16" s="31">
        <f t="shared" ref="H16:H20" si="10">(G16 / SIN(3*G16)^2) - 18</f>
        <v>-17.330933421600562</v>
      </c>
      <c r="I16" s="31">
        <f t="shared" ref="I16:I20" si="11">D16 * H16</f>
        <v>303.95955666944428</v>
      </c>
      <c r="J16" s="32">
        <f t="shared" ref="J16:J20" si="12">ABS(G16-$E$2)</f>
        <v>0.35166699969910009</v>
      </c>
    </row>
    <row r="17" spans="1:13">
      <c r="A17" s="36">
        <v>3</v>
      </c>
      <c r="B17" s="31">
        <f>IF(I16 &gt; 0, G16, B16)</f>
        <v>0.61743300030089987</v>
      </c>
      <c r="C17" s="31">
        <f t="shared" ref="C17:C20" si="13">IF(I16 &lt;= 0, G16, C16)</f>
        <v>1</v>
      </c>
      <c r="D17" s="31">
        <f t="shared" si="7"/>
        <v>-17.330933421600562</v>
      </c>
      <c r="E17" s="31">
        <f t="shared" si="8"/>
        <v>32.213768360408736</v>
      </c>
      <c r="F17" s="31">
        <f t="shared" si="9"/>
        <v>-558.29467471310647</v>
      </c>
      <c r="G17" s="31">
        <f t="shared" ref="G16:G20" si="14">C17 - ((C17-B17) / (E17-D17)) * E17</f>
        <v>0.75125645594019019</v>
      </c>
      <c r="H17" s="31">
        <f t="shared" si="10"/>
        <v>-16.751464791966836</v>
      </c>
      <c r="I17" s="31">
        <f t="shared" si="11"/>
        <v>290.31852102386313</v>
      </c>
      <c r="J17" s="32">
        <f t="shared" si="12"/>
        <v>0.21784354405980977</v>
      </c>
    </row>
    <row r="18" spans="1:13">
      <c r="A18" s="36">
        <v>4</v>
      </c>
      <c r="B18" s="31">
        <f>IF(I17 &gt; 0, G17, B17)</f>
        <v>0.75125645594019019</v>
      </c>
      <c r="C18" s="31">
        <f t="shared" si="13"/>
        <v>1</v>
      </c>
      <c r="D18" s="31">
        <f t="shared" si="7"/>
        <v>-16.751464791966836</v>
      </c>
      <c r="E18" s="31">
        <f t="shared" si="8"/>
        <v>32.213768360408736</v>
      </c>
      <c r="F18" s="31">
        <f t="shared" si="9"/>
        <v>-539.6278065059621</v>
      </c>
      <c r="G18" s="31">
        <f t="shared" si="14"/>
        <v>0.83635395169968496</v>
      </c>
      <c r="H18" s="31">
        <f t="shared" si="10"/>
        <v>-15.60701954299223</v>
      </c>
      <c r="I18" s="31">
        <f t="shared" si="11"/>
        <v>261.44043838197268</v>
      </c>
      <c r="J18" s="32">
        <f t="shared" si="12"/>
        <v>0.132746048300315</v>
      </c>
    </row>
    <row r="19" spans="1:13">
      <c r="A19" s="36">
        <v>5</v>
      </c>
      <c r="B19" s="31">
        <f>IF(I18 &gt; 0, G18, B18)</f>
        <v>0.83635395169968496</v>
      </c>
      <c r="C19" s="31">
        <f t="shared" si="13"/>
        <v>1</v>
      </c>
      <c r="D19" s="31">
        <f t="shared" si="7"/>
        <v>-15.60701954299223</v>
      </c>
      <c r="E19" s="31">
        <f t="shared" si="8"/>
        <v>32.213768360408736</v>
      </c>
      <c r="F19" s="31">
        <f t="shared" si="9"/>
        <v>-502.76091235432392</v>
      </c>
      <c r="G19" s="31">
        <f t="shared" si="14"/>
        <v>0.88976225352682459</v>
      </c>
      <c r="H19" s="31">
        <f t="shared" si="10"/>
        <v>-13.701034743086558</v>
      </c>
      <c r="I19" s="31">
        <f t="shared" si="11"/>
        <v>213.83231699456744</v>
      </c>
      <c r="J19" s="32">
        <f t="shared" si="12"/>
        <v>7.9337746473175375E-2</v>
      </c>
    </row>
    <row r="20" spans="1:13" ht="17" thickBot="1">
      <c r="A20" s="37">
        <v>6</v>
      </c>
      <c r="B20" s="34">
        <f>IF(I19 &gt; 0, G19, B19)</f>
        <v>0.88976225352682459</v>
      </c>
      <c r="C20" s="34">
        <f t="shared" si="13"/>
        <v>1</v>
      </c>
      <c r="D20" s="34">
        <f>(B20 / SIN(3*B20)^2) - 18</f>
        <v>-13.701034743086558</v>
      </c>
      <c r="E20" s="34">
        <f t="shared" si="8"/>
        <v>32.213768360408736</v>
      </c>
      <c r="F20" s="34">
        <f t="shared" si="9"/>
        <v>-441.36195951170259</v>
      </c>
      <c r="G20" s="60">
        <f t="shared" si="14"/>
        <v>0.92265733512009762</v>
      </c>
      <c r="H20" s="34">
        <f t="shared" si="10"/>
        <v>-11.074013518440953</v>
      </c>
      <c r="I20" s="34">
        <f t="shared" si="11"/>
        <v>151.72544396156971</v>
      </c>
      <c r="J20" s="63">
        <f>ABS(G20-$E$2)</f>
        <v>4.644266487990234E-2</v>
      </c>
    </row>
    <row r="22" spans="1:13" ht="17" thickBot="1">
      <c r="B22" s="48" t="s">
        <v>65</v>
      </c>
    </row>
    <row r="23" spans="1:13" ht="18">
      <c r="A23" s="13" t="s">
        <v>6</v>
      </c>
      <c r="B23" s="14" t="s">
        <v>10</v>
      </c>
      <c r="C23" s="14" t="s">
        <v>19</v>
      </c>
      <c r="D23" s="14" t="s">
        <v>52</v>
      </c>
      <c r="E23" s="51" t="s">
        <v>62</v>
      </c>
      <c r="F23" s="25" t="s">
        <v>59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5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6">ABS(E25-$E$2)</f>
        <v>4.6468666046292073E-3</v>
      </c>
    </row>
    <row r="26" spans="1:13">
      <c r="A26" s="36">
        <v>3</v>
      </c>
      <c r="B26" s="31">
        <f t="shared" ref="B26:B29" si="17">E25</f>
        <v>0.97374686660462917</v>
      </c>
      <c r="C26" s="31">
        <f t="shared" si="15"/>
        <v>2.3822601182444103</v>
      </c>
      <c r="D26" s="31">
        <f t="shared" ref="D26:D29" si="18">(SIN(3 * B26) - 6 * B26 * COS(3 * B26)) / SIN(3 * B26)^3</f>
        <v>566.91172670531239</v>
      </c>
      <c r="E26" s="31">
        <f t="shared" ref="E26:E29" si="19">B26 - (C26 / D26)</f>
        <v>0.96954469542695876</v>
      </c>
      <c r="F26" s="32">
        <f t="shared" si="16"/>
        <v>4.446954269587966E-4</v>
      </c>
    </row>
    <row r="27" spans="1:13">
      <c r="A27" s="36">
        <v>4</v>
      </c>
      <c r="B27" s="31">
        <f t="shared" si="17"/>
        <v>0.96954469542695876</v>
      </c>
      <c r="C27" s="31">
        <f t="shared" si="15"/>
        <v>0.19202588206331583</v>
      </c>
      <c r="D27" s="31">
        <f t="shared" si="18"/>
        <v>478.80417551764475</v>
      </c>
      <c r="E27" s="31">
        <f t="shared" si="19"/>
        <v>0.96914364236208994</v>
      </c>
      <c r="F27" s="32">
        <f t="shared" si="16"/>
        <v>4.3642362089979514E-5</v>
      </c>
    </row>
    <row r="28" spans="1:13">
      <c r="A28" s="36">
        <v>5</v>
      </c>
      <c r="B28" s="31">
        <f t="shared" si="17"/>
        <v>0.96914364236208994</v>
      </c>
      <c r="C28" s="31">
        <f t="shared" si="15"/>
        <v>1.4956682158100421E-3</v>
      </c>
      <c r="D28" s="31">
        <f t="shared" si="18"/>
        <v>471.37115832991515</v>
      </c>
      <c r="E28" s="31">
        <f t="shared" si="19"/>
        <v>0.96914046934611431</v>
      </c>
      <c r="F28" s="32">
        <f t="shared" si="16"/>
        <v>4.0469346114346827E-5</v>
      </c>
    </row>
    <row r="29" spans="1:13" ht="17" thickBot="1">
      <c r="A29" s="37">
        <v>6</v>
      </c>
      <c r="B29" s="34">
        <f t="shared" si="17"/>
        <v>0.96914046934611431</v>
      </c>
      <c r="C29" s="34">
        <f t="shared" si="15"/>
        <v>9.2330999734713259E-8</v>
      </c>
      <c r="D29" s="34">
        <f t="shared" si="18"/>
        <v>471.31296228744225</v>
      </c>
      <c r="E29" s="60">
        <f t="shared" si="19"/>
        <v>0.96914046915021268</v>
      </c>
      <c r="F29" s="63">
        <f t="shared" si="16"/>
        <v>4.0469150212718574E-5</v>
      </c>
    </row>
    <row r="30" spans="1:13">
      <c r="M30" s="31"/>
    </row>
    <row r="31" spans="1:13" ht="17" thickBot="1">
      <c r="B31" s="61" t="s">
        <v>66</v>
      </c>
    </row>
    <row r="32" spans="1:13">
      <c r="A32" s="13" t="s">
        <v>6</v>
      </c>
      <c r="B32" s="14" t="s">
        <v>10</v>
      </c>
      <c r="C32" s="14" t="s">
        <v>68</v>
      </c>
      <c r="D32" s="14" t="s">
        <v>69</v>
      </c>
      <c r="E32" s="25" t="s">
        <v>59</v>
      </c>
      <c r="F32" s="62" t="s">
        <v>70</v>
      </c>
    </row>
    <row r="33" spans="1:6" ht="17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65" si="20">$F$33 * ((B34 / SIN(3 * B34)^2) - 18) + B34</f>
        <v>0.97018587949973012</v>
      </c>
      <c r="D34" s="31">
        <f t="shared" ref="D34:D38" si="21">ABS($F$33 * ((SIN(3 * B34) - 6 * B34 * COS(3 * B34)) / SIN(3 * B34)^3) + 1)</f>
        <v>0.54345506599947502</v>
      </c>
      <c r="E34" s="32">
        <f t="shared" ref="E34:E38" si="22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0"/>
        <v>0.96973325147722211</v>
      </c>
      <c r="D35" s="31">
        <f t="shared" si="21"/>
        <v>0.55808759430699606</v>
      </c>
      <c r="E35" s="32">
        <f t="shared" si="22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0"/>
        <v>0.9694788743130982</v>
      </c>
      <c r="D36" s="31">
        <f t="shared" si="21"/>
        <v>0.56588271374373034</v>
      </c>
      <c r="E36" s="32">
        <f t="shared" si="22"/>
        <v>3.7887431309824304E-4</v>
      </c>
    </row>
    <row r="37" spans="1:6">
      <c r="A37" s="36">
        <v>5</v>
      </c>
      <c r="B37" s="31">
        <f t="shared" ref="B35:B38" si="23">C36</f>
        <v>0.9694788743130982</v>
      </c>
      <c r="C37" s="31">
        <f t="shared" si="20"/>
        <v>0.96933437843303438</v>
      </c>
      <c r="D37" s="31">
        <f t="shared" si="21"/>
        <v>0.57018370516677319</v>
      </c>
      <c r="E37" s="32">
        <f t="shared" si="22"/>
        <v>2.3437843303442119E-4</v>
      </c>
    </row>
    <row r="38" spans="1:6" ht="17" thickBot="1">
      <c r="A38" s="37">
        <v>6</v>
      </c>
      <c r="B38" s="34">
        <f>C37</f>
        <v>0.96933437843303438</v>
      </c>
      <c r="C38" s="60">
        <f t="shared" si="20"/>
        <v>0.96925181432374308</v>
      </c>
      <c r="D38" s="34">
        <f t="shared" si="21"/>
        <v>0.57260170246590514</v>
      </c>
      <c r="E38" s="63">
        <f t="shared" si="22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Microsoft Office User</cp:lastModifiedBy>
  <dcterms:created xsi:type="dcterms:W3CDTF">2018-12-04T09:10:15Z</dcterms:created>
  <dcterms:modified xsi:type="dcterms:W3CDTF">2018-12-26T00:21:23Z</dcterms:modified>
  <cp:category/>
</cp:coreProperties>
</file>