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x/Documents/Sourcetree/tti-computer-science/IV. Fourth Year/cs-numerical/"/>
    </mc:Choice>
  </mc:AlternateContent>
  <xr:revisionPtr revIDLastSave="0" documentId="13_ncr:1_{5D05D9AA-E8D5-0942-AC62-B1C0DAE2EEAF}" xr6:coauthVersionLast="36" xr6:coauthVersionMax="36" xr10:uidLastSave="{00000000-0000-0000-0000-000000000000}"/>
  <bookViews>
    <workbookView xWindow="16800" yWindow="460" windowWidth="16800" windowHeight="20540" tabRatio="747" firstSheet="2" activeTab="2" xr2:uid="{00000000-000D-0000-FFFF-FFFF00000000}"/>
  </bookViews>
  <sheets>
    <sheet name="n" sheetId="1" r:id="rId1"/>
    <sheet name="1. Метод Гаусса" sheetId="3" r:id="rId2"/>
    <sheet name="2. Интерполяция и аппроксимация" sheetId="4" r:id="rId3"/>
    <sheet name="3. Инт. и диф. функции" sheetId="5" r:id="rId4"/>
    <sheet name="4. Нелинейное уравнение" sheetId="6" r:id="rId5"/>
    <sheet name="5. Диф. уравнение" sheetId="7" r:id="rId6"/>
    <sheet name="IV-3. Мин. Функции при огр." sheetId="8" r:id="rId7"/>
    <sheet name="II-3. Решение ОДУ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5" l="1"/>
  <c r="N8" i="5"/>
  <c r="N9" i="5"/>
  <c r="N10" i="5"/>
  <c r="N6" i="5"/>
  <c r="M8" i="5"/>
  <c r="M9" i="5"/>
  <c r="M7" i="5"/>
  <c r="M6" i="5"/>
  <c r="H2" i="5"/>
  <c r="J12" i="4" l="1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12" i="4"/>
  <c r="E1" i="7" l="1"/>
  <c r="L6" i="4" l="1"/>
  <c r="L5" i="4"/>
  <c r="L4" i="4"/>
  <c r="D33" i="6"/>
  <c r="C33" i="6"/>
  <c r="B34" i="6" s="1"/>
  <c r="D34" i="6" s="1"/>
  <c r="C24" i="6"/>
  <c r="D24" i="6"/>
  <c r="E15" i="6"/>
  <c r="D15" i="6"/>
  <c r="G6" i="6"/>
  <c r="H6" i="6" s="1"/>
  <c r="D6" i="6"/>
  <c r="E6" i="6"/>
  <c r="J6" i="6" l="1"/>
  <c r="E33" i="6"/>
  <c r="C34" i="6"/>
  <c r="E34" i="6" s="1"/>
  <c r="E24" i="6"/>
  <c r="G15" i="6"/>
  <c r="F15" i="6"/>
  <c r="I6" i="6"/>
  <c r="B7" i="6" s="1"/>
  <c r="F6" i="6"/>
  <c r="L5" i="5"/>
  <c r="G36" i="5"/>
  <c r="I33" i="5"/>
  <c r="H33" i="5"/>
  <c r="G33" i="5"/>
  <c r="I30" i="5"/>
  <c r="I36" i="5" s="1"/>
  <c r="H30" i="5"/>
  <c r="H36" i="5" s="1"/>
  <c r="C5" i="4"/>
  <c r="T4" i="4" s="1"/>
  <c r="C5" i="5"/>
  <c r="G2" i="5"/>
  <c r="K6" i="5" l="1"/>
  <c r="G11" i="5"/>
  <c r="G12" i="5" s="1"/>
  <c r="H15" i="6"/>
  <c r="I15" i="6" s="1"/>
  <c r="C16" i="6" s="1"/>
  <c r="J15" i="6"/>
  <c r="B25" i="6"/>
  <c r="C25" i="6" s="1"/>
  <c r="F24" i="6"/>
  <c r="B35" i="6"/>
  <c r="C7" i="6"/>
  <c r="E7" i="6" s="1"/>
  <c r="D7" i="6"/>
  <c r="G7" i="6"/>
  <c r="B16" i="6"/>
  <c r="D6" i="5"/>
  <c r="B6" i="5"/>
  <c r="B7" i="5" s="1"/>
  <c r="Q14" i="4"/>
  <c r="K7" i="5" l="1"/>
  <c r="L6" i="5"/>
  <c r="H7" i="6"/>
  <c r="J7" i="6"/>
  <c r="D25" i="6"/>
  <c r="E25" i="6" s="1"/>
  <c r="B26" i="6" s="1"/>
  <c r="C26" i="6" s="1"/>
  <c r="C35" i="6"/>
  <c r="D35" i="6"/>
  <c r="F7" i="6"/>
  <c r="E16" i="6"/>
  <c r="G16" i="6" s="1"/>
  <c r="J16" i="6" s="1"/>
  <c r="D16" i="6"/>
  <c r="I7" i="6"/>
  <c r="B8" i="5"/>
  <c r="C7" i="5"/>
  <c r="C6" i="5"/>
  <c r="M4" i="4"/>
  <c r="M5" i="4"/>
  <c r="E1" i="3"/>
  <c r="E6" i="5" l="1"/>
  <c r="E7" i="5"/>
  <c r="K8" i="5"/>
  <c r="L7" i="5"/>
  <c r="B36" i="6"/>
  <c r="E35" i="6"/>
  <c r="F25" i="6"/>
  <c r="D26" i="6"/>
  <c r="E26" i="6" s="1"/>
  <c r="C36" i="6"/>
  <c r="D36" i="6"/>
  <c r="H16" i="6"/>
  <c r="I16" i="6" s="1"/>
  <c r="F16" i="6"/>
  <c r="B8" i="6"/>
  <c r="C8" i="6"/>
  <c r="E8" i="6" s="1"/>
  <c r="F6" i="5"/>
  <c r="D6" i="3"/>
  <c r="C6" i="3"/>
  <c r="D7" i="5"/>
  <c r="D8" i="5"/>
  <c r="B9" i="5"/>
  <c r="C8" i="5"/>
  <c r="E8" i="5" s="1"/>
  <c r="N4" i="4"/>
  <c r="B14" i="3"/>
  <c r="D12" i="3"/>
  <c r="D20" i="3" s="1"/>
  <c r="C12" i="3"/>
  <c r="C20" i="3" s="1"/>
  <c r="E3" i="1"/>
  <c r="C1" i="7" s="1"/>
  <c r="K9" i="5" l="1"/>
  <c r="L8" i="5"/>
  <c r="F7" i="5"/>
  <c r="B37" i="6"/>
  <c r="E36" i="6"/>
  <c r="B27" i="6"/>
  <c r="C27" i="6" s="1"/>
  <c r="F26" i="6"/>
  <c r="C37" i="6"/>
  <c r="E37" i="6" s="1"/>
  <c r="D37" i="6"/>
  <c r="D8" i="6"/>
  <c r="G8" i="6"/>
  <c r="C17" i="6"/>
  <c r="B17" i="6"/>
  <c r="C1" i="3"/>
  <c r="B4" i="3" s="1"/>
  <c r="C1" i="4"/>
  <c r="B5" i="4" s="1"/>
  <c r="E20" i="4" s="1"/>
  <c r="D9" i="5"/>
  <c r="C9" i="5"/>
  <c r="B10" i="5"/>
  <c r="C10" i="5" s="1"/>
  <c r="F15" i="4"/>
  <c r="T14" i="4"/>
  <c r="E14" i="4"/>
  <c r="F26" i="4"/>
  <c r="D24" i="4"/>
  <c r="E19" i="4"/>
  <c r="E21" i="4"/>
  <c r="E14" i="3"/>
  <c r="D14" i="3"/>
  <c r="E12" i="3"/>
  <c r="E20" i="3" s="1"/>
  <c r="C14" i="3"/>
  <c r="E10" i="5" l="1"/>
  <c r="D10" i="5"/>
  <c r="D11" i="5" s="1"/>
  <c r="D12" i="5" s="1"/>
  <c r="K10" i="5"/>
  <c r="L10" i="5" s="1"/>
  <c r="L9" i="5"/>
  <c r="H8" i="6"/>
  <c r="J8" i="6"/>
  <c r="E16" i="4"/>
  <c r="G21" i="4"/>
  <c r="D19" i="4"/>
  <c r="D17" i="4"/>
  <c r="G19" i="4"/>
  <c r="D27" i="6"/>
  <c r="E27" i="6" s="1"/>
  <c r="T6" i="4"/>
  <c r="R6" i="4"/>
  <c r="R12" i="4" s="1"/>
  <c r="R17" i="4" s="1"/>
  <c r="R22" i="4" s="1"/>
  <c r="D18" i="4"/>
  <c r="D12" i="4"/>
  <c r="F17" i="4"/>
  <c r="E29" i="4"/>
  <c r="D27" i="4"/>
  <c r="D31" i="4"/>
  <c r="F22" i="4"/>
  <c r="G14" i="4"/>
  <c r="F29" i="4"/>
  <c r="E30" i="4"/>
  <c r="D30" i="4"/>
  <c r="F20" i="4"/>
  <c r="G12" i="4"/>
  <c r="E27" i="4"/>
  <c r="E13" i="4"/>
  <c r="D20" i="4"/>
  <c r="F27" i="4"/>
  <c r="E22" i="4"/>
  <c r="E25" i="4"/>
  <c r="G26" i="4"/>
  <c r="E24" i="4"/>
  <c r="F23" i="4"/>
  <c r="G18" i="4"/>
  <c r="D14" i="4"/>
  <c r="G13" i="4"/>
  <c r="E15" i="4"/>
  <c r="F21" i="4"/>
  <c r="D16" i="4"/>
  <c r="F12" i="4"/>
  <c r="G23" i="4"/>
  <c r="F13" i="4"/>
  <c r="E12" i="4"/>
  <c r="E17" i="4"/>
  <c r="D29" i="4"/>
  <c r="F24" i="4"/>
  <c r="G15" i="4"/>
  <c r="G17" i="4"/>
  <c r="D26" i="4"/>
  <c r="D28" i="4"/>
  <c r="G27" i="4"/>
  <c r="F25" i="4"/>
  <c r="E31" i="4"/>
  <c r="F30" i="4"/>
  <c r="F16" i="4"/>
  <c r="D25" i="4"/>
  <c r="G24" i="4"/>
  <c r="F18" i="4"/>
  <c r="F19" i="4"/>
  <c r="G16" i="4"/>
  <c r="D15" i="4"/>
  <c r="G25" i="4"/>
  <c r="E26" i="4"/>
  <c r="D22" i="4"/>
  <c r="D23" i="4"/>
  <c r="G22" i="4"/>
  <c r="F28" i="4"/>
  <c r="G29" i="4"/>
  <c r="G28" i="4"/>
  <c r="E23" i="4"/>
  <c r="F31" i="4"/>
  <c r="E28" i="4"/>
  <c r="D21" i="4"/>
  <c r="G20" i="4"/>
  <c r="E18" i="4"/>
  <c r="G30" i="4"/>
  <c r="G31" i="4"/>
  <c r="F14" i="4"/>
  <c r="B28" i="6"/>
  <c r="D28" i="6" s="1"/>
  <c r="F27" i="6"/>
  <c r="B38" i="6"/>
  <c r="E17" i="6"/>
  <c r="D17" i="6"/>
  <c r="F8" i="6"/>
  <c r="I8" i="6"/>
  <c r="D13" i="4"/>
  <c r="Q5" i="4"/>
  <c r="T5" i="4"/>
  <c r="Q6" i="4"/>
  <c r="Q12" i="4" s="1"/>
  <c r="Q19" i="4" s="1"/>
  <c r="T12" i="4"/>
  <c r="T17" i="4" s="1"/>
  <c r="T22" i="4" s="1"/>
  <c r="S5" i="4"/>
  <c r="S4" i="4"/>
  <c r="S14" i="4" s="1"/>
  <c r="S6" i="4"/>
  <c r="S12" i="4" s="1"/>
  <c r="S17" i="4" s="1"/>
  <c r="S22" i="4" s="1"/>
  <c r="R4" i="4"/>
  <c r="R14" i="4" s="1"/>
  <c r="R5" i="4"/>
  <c r="B13" i="3"/>
  <c r="B21" i="3" s="1"/>
  <c r="D13" i="3"/>
  <c r="C13" i="3"/>
  <c r="C22" i="3" s="1"/>
  <c r="E13" i="3"/>
  <c r="E22" i="3" s="1"/>
  <c r="F9" i="5"/>
  <c r="F8" i="5"/>
  <c r="F11" i="5" s="1"/>
  <c r="F12" i="5" s="1"/>
  <c r="E9" i="5"/>
  <c r="B12" i="3"/>
  <c r="B20" i="3" s="1"/>
  <c r="E11" i="5" l="1"/>
  <c r="E12" i="5" s="1"/>
  <c r="T13" i="4"/>
  <c r="T18" i="4" s="1"/>
  <c r="T23" i="4" s="1"/>
  <c r="C28" i="6"/>
  <c r="E28" i="6" s="1"/>
  <c r="S13" i="4"/>
  <c r="S18" i="4" s="1"/>
  <c r="S23" i="4" s="1"/>
  <c r="D22" i="3"/>
  <c r="Q13" i="4"/>
  <c r="Q18" i="4" s="1"/>
  <c r="Q23" i="4" s="1"/>
  <c r="Q17" i="4"/>
  <c r="Q22" i="4" s="1"/>
  <c r="C38" i="6"/>
  <c r="E38" i="6" s="1"/>
  <c r="D38" i="6"/>
  <c r="G17" i="6"/>
  <c r="F17" i="6"/>
  <c r="C9" i="6"/>
  <c r="E9" i="6" s="1"/>
  <c r="B9" i="6"/>
  <c r="R19" i="4"/>
  <c r="D27" i="3"/>
  <c r="R13" i="4"/>
  <c r="R18" i="4" s="1"/>
  <c r="R23" i="4" s="1"/>
  <c r="B22" i="3"/>
  <c r="T19" i="4"/>
  <c r="S19" i="4"/>
  <c r="D21" i="3"/>
  <c r="R24" i="4" l="1"/>
  <c r="H17" i="6"/>
  <c r="J17" i="6"/>
  <c r="S24" i="4"/>
  <c r="T24" i="4"/>
  <c r="B29" i="6"/>
  <c r="C29" i="6" s="1"/>
  <c r="F28" i="6"/>
  <c r="D9" i="6"/>
  <c r="G9" i="6"/>
  <c r="I17" i="6"/>
  <c r="C18" i="6" s="1"/>
  <c r="Q24" i="4"/>
  <c r="E21" i="3"/>
  <c r="C21" i="3"/>
  <c r="H9" i="6" l="1"/>
  <c r="J9" i="6"/>
  <c r="T27" i="4"/>
  <c r="D29" i="6"/>
  <c r="E29" i="6" s="1"/>
  <c r="F29" i="6" s="1"/>
  <c r="E18" i="6"/>
  <c r="B18" i="6"/>
  <c r="I9" i="6"/>
  <c r="F9" i="6"/>
  <c r="C27" i="3"/>
  <c r="B27" i="3" s="1"/>
  <c r="S27" i="4" l="1"/>
  <c r="T29" i="4"/>
  <c r="C10" i="6"/>
  <c r="E10" i="6" s="1"/>
  <c r="B10" i="6"/>
  <c r="D18" i="6"/>
  <c r="G18" i="6" s="1"/>
  <c r="J18" i="6" s="1"/>
  <c r="F5" i="3"/>
  <c r="G5" i="3" s="1"/>
  <c r="H5" i="3" s="1"/>
  <c r="F6" i="3"/>
  <c r="H6" i="3" s="1"/>
  <c r="F4" i="3"/>
  <c r="G4" i="3" s="1"/>
  <c r="H4" i="3" s="1"/>
  <c r="R27" i="4" l="1"/>
  <c r="S29" i="4"/>
  <c r="D10" i="6"/>
  <c r="G10" i="6"/>
  <c r="J10" i="6" s="1"/>
  <c r="F18" i="6"/>
  <c r="H18" i="6"/>
  <c r="I18" i="6" s="1"/>
  <c r="G6" i="3"/>
  <c r="H10" i="6" l="1"/>
  <c r="V12" i="4"/>
  <c r="R29" i="4"/>
  <c r="V31" i="4"/>
  <c r="V27" i="4"/>
  <c r="V29" i="4"/>
  <c r="V30" i="4"/>
  <c r="V19" i="4"/>
  <c r="V25" i="4"/>
  <c r="V22" i="4"/>
  <c r="V26" i="4"/>
  <c r="V14" i="4"/>
  <c r="V18" i="4"/>
  <c r="V21" i="4"/>
  <c r="V13" i="4"/>
  <c r="V23" i="4"/>
  <c r="V20" i="4"/>
  <c r="V16" i="4"/>
  <c r="V17" i="4"/>
  <c r="V24" i="4"/>
  <c r="V28" i="4"/>
  <c r="V15" i="4"/>
  <c r="C19" i="6"/>
  <c r="B19" i="6"/>
  <c r="F10" i="6"/>
  <c r="I10" i="6"/>
  <c r="C11" i="6" s="1"/>
  <c r="E11" i="6" s="1"/>
  <c r="E19" i="6" l="1"/>
  <c r="D19" i="6"/>
  <c r="B11" i="6"/>
  <c r="D11" i="6" l="1"/>
  <c r="F11" i="6" s="1"/>
  <c r="G11" i="6"/>
  <c r="G19" i="6"/>
  <c r="F19" i="6"/>
  <c r="H11" i="6" l="1"/>
  <c r="J11" i="6"/>
  <c r="H19" i="6"/>
  <c r="I19" i="6" s="1"/>
  <c r="J19" i="6"/>
  <c r="I11" i="6"/>
  <c r="B20" i="6"/>
  <c r="C20" i="6"/>
  <c r="E20" i="6" l="1"/>
  <c r="D20" i="6"/>
  <c r="G20" i="6" l="1"/>
  <c r="F20" i="6"/>
  <c r="H20" i="6" l="1"/>
  <c r="I20" i="6" s="1"/>
  <c r="J20" i="6"/>
</calcChain>
</file>

<file path=xl/sharedStrings.xml><?xml version="1.0" encoding="utf-8"?>
<sst xmlns="http://schemas.openxmlformats.org/spreadsheetml/2006/main" count="158" uniqueCount="89">
  <si>
    <t>Ng</t>
  </si>
  <si>
    <t>Ns</t>
  </si>
  <si>
    <t>Ndept</t>
  </si>
  <si>
    <t>Ftime</t>
  </si>
  <si>
    <t>Nyear</t>
  </si>
  <si>
    <t>Ngroup</t>
  </si>
  <si>
    <t>i</t>
  </si>
  <si>
    <t>3'</t>
  </si>
  <si>
    <t>2'</t>
  </si>
  <si>
    <t>y(x)</t>
  </si>
  <si>
    <t>x</t>
  </si>
  <si>
    <t>Прямой ход - Этап 1</t>
  </si>
  <si>
    <t>Прямой ход - Этап 2</t>
  </si>
  <si>
    <t>1. Полином Лагранжа 3-го порядка</t>
  </si>
  <si>
    <t>2. Полином Ньютона 3-го порядка</t>
  </si>
  <si>
    <t>ROUND</t>
  </si>
  <si>
    <t>∆y</t>
  </si>
  <si>
    <t>3''</t>
  </si>
  <si>
    <t>f(x)</t>
  </si>
  <si>
    <t>a</t>
  </si>
  <si>
    <t>b</t>
  </si>
  <si>
    <t>h</t>
  </si>
  <si>
    <t>n</t>
  </si>
  <si>
    <t>Интеграл</t>
  </si>
  <si>
    <r>
      <t>a</t>
    </r>
    <r>
      <rPr>
        <b/>
        <vertAlign val="subscript"/>
        <sz val="12"/>
        <color theme="1"/>
        <rFont val="Calibri (Body)"/>
      </rPr>
      <t>i1</t>
    </r>
  </si>
  <si>
    <r>
      <t>a</t>
    </r>
    <r>
      <rPr>
        <b/>
        <vertAlign val="subscript"/>
        <sz val="12"/>
        <color theme="1"/>
        <rFont val="Calibri (Body)"/>
      </rPr>
      <t>i2</t>
    </r>
  </si>
  <si>
    <r>
      <t>a</t>
    </r>
    <r>
      <rPr>
        <b/>
        <vertAlign val="subscript"/>
        <sz val="12"/>
        <color theme="1"/>
        <rFont val="Calibri (Body)"/>
      </rPr>
      <t>i3</t>
    </r>
  </si>
  <si>
    <r>
      <rPr>
        <b/>
        <sz val="12"/>
        <color theme="1"/>
        <rFont val="Calibri (Body)"/>
      </rPr>
      <t>b</t>
    </r>
    <r>
      <rPr>
        <b/>
        <vertAlign val="subscript"/>
        <sz val="12"/>
        <color theme="1"/>
        <rFont val="Calibri (Body)"/>
      </rPr>
      <t>i</t>
    </r>
  </si>
  <si>
    <r>
      <t>x</t>
    </r>
    <r>
      <rPr>
        <b/>
        <vertAlign val="subscript"/>
        <sz val="12"/>
        <color theme="1"/>
        <rFont val="Calibri (Body)"/>
      </rPr>
      <t>1</t>
    </r>
  </si>
  <si>
    <r>
      <t>x</t>
    </r>
    <r>
      <rPr>
        <b/>
        <vertAlign val="subscript"/>
        <sz val="12"/>
        <color theme="1"/>
        <rFont val="Calibri (Body)"/>
      </rPr>
      <t>2</t>
    </r>
  </si>
  <si>
    <r>
      <t>x</t>
    </r>
    <r>
      <rPr>
        <b/>
        <vertAlign val="subscript"/>
        <sz val="12"/>
        <color theme="1"/>
        <rFont val="Calibri (Body)"/>
      </rPr>
      <t>3</t>
    </r>
  </si>
  <si>
    <r>
      <t>L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</si>
  <si>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∆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y</t>
    </r>
  </si>
  <si>
    <r>
      <t>∆</t>
    </r>
    <r>
      <rPr>
        <b/>
        <vertAlign val="super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y</t>
    </r>
  </si>
  <si>
    <r>
      <t>x</t>
    </r>
    <r>
      <rPr>
        <b/>
        <vertAlign val="subscript"/>
        <sz val="12"/>
        <color theme="1"/>
        <rFont val="Calibri (Body)"/>
      </rPr>
      <t>i1</t>
    </r>
  </si>
  <si>
    <r>
      <t>x</t>
    </r>
    <r>
      <rPr>
        <b/>
        <vertAlign val="subscript"/>
        <sz val="12"/>
        <color theme="1"/>
        <rFont val="Calibri (Body)"/>
      </rPr>
      <t>i2</t>
    </r>
  </si>
  <si>
    <r>
      <t>x</t>
    </r>
    <r>
      <rPr>
        <b/>
        <vertAlign val="subscript"/>
        <sz val="12"/>
        <color theme="1"/>
        <rFont val="Calibri (Body)"/>
      </rPr>
      <t>i3</t>
    </r>
  </si>
  <si>
    <r>
      <t>a</t>
    </r>
    <r>
      <rPr>
        <b/>
        <vertAlign val="subscript"/>
        <sz val="12"/>
        <color theme="1"/>
        <rFont val="Calibri (Body)"/>
      </rPr>
      <t>1</t>
    </r>
  </si>
  <si>
    <r>
      <t>a</t>
    </r>
    <r>
      <rPr>
        <b/>
        <vertAlign val="subscript"/>
        <sz val="12"/>
        <color theme="1"/>
        <rFont val="Calibri (Body)"/>
      </rPr>
      <t>2</t>
    </r>
  </si>
  <si>
    <r>
      <t>a</t>
    </r>
    <r>
      <rPr>
        <b/>
        <vertAlign val="subscript"/>
        <sz val="12"/>
        <color theme="1"/>
        <rFont val="Calibri (Body)"/>
      </rPr>
      <t>3</t>
    </r>
  </si>
  <si>
    <t>К.Ф. Гаусса</t>
  </si>
  <si>
    <t>Квадратурная форма Гаусса 3-го порядка</t>
  </si>
  <si>
    <r>
      <t>B</t>
    </r>
    <r>
      <rPr>
        <b/>
        <vertAlign val="subscript"/>
        <sz val="12"/>
        <color theme="1"/>
        <rFont val="Calibri (Body)"/>
      </rPr>
      <t>i</t>
    </r>
  </si>
  <si>
    <r>
      <t>∆b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 xml:space="preserve"> Невязка</t>
    </r>
  </si>
  <si>
    <r>
      <t>𝜎(b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) Относительная ошибка</t>
    </r>
  </si>
  <si>
    <r>
      <t>t</t>
    </r>
    <r>
      <rPr>
        <b/>
        <vertAlign val="subscript"/>
        <sz val="12"/>
        <color theme="1"/>
        <rFont val="Calibri (Body)"/>
      </rPr>
      <t>1</t>
    </r>
  </si>
  <si>
    <r>
      <t>t</t>
    </r>
    <r>
      <rPr>
        <b/>
        <vertAlign val="subscript"/>
        <sz val="12"/>
        <color theme="1"/>
        <rFont val="Calibri (Body)"/>
      </rPr>
      <t>2</t>
    </r>
  </si>
  <si>
    <r>
      <t>t</t>
    </r>
    <r>
      <rPr>
        <b/>
        <vertAlign val="subscript"/>
        <sz val="12"/>
        <color theme="1"/>
        <rFont val="Calibri (Body)"/>
      </rPr>
      <t>3</t>
    </r>
  </si>
  <si>
    <r>
      <t>A</t>
    </r>
    <r>
      <rPr>
        <b/>
        <vertAlign val="subscript"/>
        <sz val="12"/>
        <color theme="1"/>
        <rFont val="Calibri (Body)"/>
      </rPr>
      <t>1</t>
    </r>
  </si>
  <si>
    <r>
      <t>A</t>
    </r>
    <r>
      <rPr>
        <b/>
        <vertAlign val="subscript"/>
        <sz val="12"/>
        <color theme="1"/>
        <rFont val="Calibri (Body)"/>
      </rPr>
      <t>2</t>
    </r>
  </si>
  <si>
    <r>
      <t>A</t>
    </r>
    <r>
      <rPr>
        <b/>
        <vertAlign val="subscript"/>
        <sz val="12"/>
        <color theme="1"/>
        <rFont val="Calibri (Body)"/>
      </rPr>
      <t>3</t>
    </r>
  </si>
  <si>
    <t>f'(x)</t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</si>
  <si>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трап.</t>
    </r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</si>
  <si>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симп.</t>
    </r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</si>
  <si>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прям. (л.)</t>
    </r>
  </si>
  <si>
    <t>f(a) * f(b)</t>
  </si>
  <si>
    <t>f(a) * f(x)</t>
  </si>
  <si>
    <t>∆</t>
  </si>
  <si>
    <t>f(a)</t>
  </si>
  <si>
    <t>f(b)</t>
  </si>
  <si>
    <r>
      <t>x</t>
    </r>
    <r>
      <rPr>
        <b/>
        <vertAlign val="subscript"/>
        <sz val="12"/>
        <color theme="1"/>
        <rFont val="Calibri (Body)"/>
      </rPr>
      <t>i+1</t>
    </r>
  </si>
  <si>
    <t>1. Метод бисекции</t>
  </si>
  <si>
    <t>2. Метод хорд</t>
  </si>
  <si>
    <t>3. Метод Ньютона</t>
  </si>
  <si>
    <t>4. Метод простых итераций</t>
  </si>
  <si>
    <t>Обратный ход</t>
  </si>
  <si>
    <t>φ(x)</t>
  </si>
  <si>
    <t>|φ'(x)|</t>
  </si>
  <si>
    <t>k</t>
  </si>
  <si>
    <t>fzero</t>
  </si>
  <si>
    <r>
      <t>l</t>
    </r>
    <r>
      <rPr>
        <b/>
        <vertAlign val="subscript"/>
        <sz val="12"/>
        <color theme="1"/>
        <rFont val="Calibri (Body)"/>
      </rPr>
      <t>0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</si>
  <si>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1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</si>
  <si>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</si>
  <si>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</si>
  <si>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N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</si>
  <si>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φ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(x)</t>
    </r>
  </si>
  <si>
    <t>polyfit</t>
  </si>
  <si>
    <t>y(0)</t>
  </si>
  <si>
    <t>y'(0)</t>
  </si>
  <si>
    <t>y''(t) + 5 * y'(t) + Ns * y(t) = Ng</t>
  </si>
  <si>
    <t>Метод Рунге-Кутты 4-го порядка</t>
  </si>
  <si>
    <t>3. Метод наименьших квадратов (Полином 2-го порядка)</t>
  </si>
  <si>
    <t>Решение системы ОДУ (стабилизация цены в денежном выражении)</t>
  </si>
  <si>
    <t>Построить графики x(t) - деньги, y(t) - товар и фазовый потрет системы на временном интервале [0 ; 75].</t>
  </si>
  <si>
    <t>x = [0.4469  -0.2051]</t>
  </si>
  <si>
    <t>Ошибка</t>
  </si>
  <si>
    <t>I</t>
  </si>
  <si>
    <t>F'(x) [трап]</t>
  </si>
  <si>
    <t>f'(x) [ц. р.]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</si>
</sst>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0000"/>
    <numFmt numFmtId="165" formatCode="0.00000000000000"/>
    <numFmt numFmtId="166" formatCode="0.00000000000000000"/>
    <numFmt numFmtId="167" formatCode="0.0000000000000000000000000000000000000000"/>
    <numFmt numFmtId="168" formatCode="0.00000000%"/>
  </numFmts>
  <fonts count="15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Calibri (Body)"/>
    </font>
    <font>
      <b/>
      <vertAlign val="superscript"/>
      <sz val="12"/>
      <color theme="1"/>
      <name val="Calibri (Body)"/>
    </font>
    <font>
      <b/>
      <i/>
      <u/>
      <sz val="12"/>
      <color theme="1"/>
      <name val="Calibri"/>
      <family val="2"/>
      <scheme val="minor"/>
    </font>
    <font>
      <b/>
      <i/>
      <sz val="12"/>
      <color rgb="FF00B0F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167" fontId="0" fillId="0" borderId="0" xfId="1" applyNumberFormat="1" applyFont="1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5" fillId="0" borderId="0" xfId="0" applyFont="1"/>
    <xf numFmtId="0" fontId="0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6" fillId="0" borderId="6" xfId="0" applyFont="1" applyBorder="1"/>
    <xf numFmtId="0" fontId="4" fillId="0" borderId="7" xfId="0" applyFont="1" applyBorder="1" applyAlignment="1">
      <alignment horizontal="left"/>
    </xf>
    <xf numFmtId="0" fontId="0" fillId="0" borderId="0" xfId="0" applyFont="1" applyBorder="1"/>
    <xf numFmtId="0" fontId="0" fillId="0" borderId="8" xfId="0" applyFont="1" applyBorder="1"/>
    <xf numFmtId="0" fontId="4" fillId="0" borderId="9" xfId="0" applyFont="1" applyBorder="1" applyAlignment="1">
      <alignment horizontal="left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4" xfId="0" applyFont="1" applyBorder="1"/>
    <xf numFmtId="0" fontId="4" fillId="0" borderId="15" xfId="0" applyFont="1" applyBorder="1"/>
    <xf numFmtId="0" fontId="0" fillId="0" borderId="16" xfId="0" applyBorder="1"/>
    <xf numFmtId="0" fontId="0" fillId="0" borderId="17" xfId="0" applyBorder="1"/>
    <xf numFmtId="0" fontId="4" fillId="0" borderId="7" xfId="0" applyFont="1" applyBorder="1"/>
    <xf numFmtId="0" fontId="0" fillId="0" borderId="0" xfId="0" applyBorder="1"/>
    <xf numFmtId="0" fontId="0" fillId="0" borderId="8" xfId="0" applyBorder="1"/>
    <xf numFmtId="0" fontId="4" fillId="0" borderId="9" xfId="0" applyFont="1" applyBorder="1"/>
    <xf numFmtId="0" fontId="0" fillId="0" borderId="10" xfId="0" applyBorder="1"/>
    <xf numFmtId="0" fontId="0" fillId="0" borderId="12" xfId="0" applyBorder="1"/>
    <xf numFmtId="0" fontId="0" fillId="0" borderId="7" xfId="0" applyBorder="1"/>
    <xf numFmtId="0" fontId="0" fillId="0" borderId="9" xfId="0" applyBorder="1"/>
    <xf numFmtId="0" fontId="6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164" fontId="0" fillId="0" borderId="0" xfId="0" applyNumberFormat="1" applyFont="1" applyBorder="1"/>
    <xf numFmtId="168" fontId="0" fillId="0" borderId="8" xfId="2" applyNumberFormat="1" applyFont="1" applyBorder="1"/>
    <xf numFmtId="164" fontId="0" fillId="0" borderId="10" xfId="0" applyNumberFormat="1" applyFont="1" applyBorder="1"/>
    <xf numFmtId="11" fontId="0" fillId="0" borderId="12" xfId="0" applyNumberFormat="1" applyFont="1" applyBorder="1"/>
    <xf numFmtId="0" fontId="4" fillId="0" borderId="0" xfId="0" applyFont="1" applyFill="1" applyBorder="1"/>
    <xf numFmtId="0" fontId="0" fillId="0" borderId="14" xfId="0" applyBorder="1"/>
    <xf numFmtId="0" fontId="9" fillId="0" borderId="0" xfId="0" applyFont="1"/>
    <xf numFmtId="0" fontId="10" fillId="0" borderId="0" xfId="0" applyFont="1"/>
    <xf numFmtId="0" fontId="0" fillId="0" borderId="3" xfId="0" applyBorder="1"/>
    <xf numFmtId="0" fontId="4" fillId="0" borderId="4" xfId="0" applyFont="1" applyFill="1" applyBorder="1"/>
    <xf numFmtId="0" fontId="4" fillId="0" borderId="6" xfId="0" applyFont="1" applyFill="1" applyBorder="1"/>
    <xf numFmtId="0" fontId="0" fillId="0" borderId="22" xfId="0" applyBorder="1"/>
    <xf numFmtId="0" fontId="4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11" xfId="0" applyBorder="1"/>
    <xf numFmtId="0" fontId="4" fillId="0" borderId="0" xfId="0" applyFont="1" applyBorder="1"/>
    <xf numFmtId="0" fontId="12" fillId="0" borderId="10" xfId="0" applyFont="1" applyBorder="1"/>
    <xf numFmtId="0" fontId="11" fillId="0" borderId="0" xfId="0" applyFont="1"/>
    <xf numFmtId="0" fontId="4" fillId="0" borderId="15" xfId="0" applyFont="1" applyFill="1" applyBorder="1"/>
    <xf numFmtId="0" fontId="13" fillId="0" borderId="12" xfId="0" applyFont="1" applyBorder="1"/>
    <xf numFmtId="0" fontId="14" fillId="0" borderId="0" xfId="0" applyFont="1" applyBorder="1"/>
    <xf numFmtId="0" fontId="14" fillId="0" borderId="8" xfId="0" applyFont="1" applyBorder="1"/>
    <xf numFmtId="0" fontId="14" fillId="0" borderId="10" xfId="0" applyFont="1" applyBorder="1"/>
    <xf numFmtId="0" fontId="4" fillId="0" borderId="3" xfId="0" applyNumberFormat="1" applyFont="1" applyBorder="1"/>
    <xf numFmtId="0" fontId="4" fillId="0" borderId="4" xfId="0" applyNumberFormat="1" applyFont="1" applyBorder="1"/>
    <xf numFmtId="0" fontId="4" fillId="0" borderId="6" xfId="0" applyNumberFormat="1" applyFont="1" applyBorder="1"/>
    <xf numFmtId="0" fontId="0" fillId="0" borderId="7" xfId="0" applyNumberFormat="1" applyBorder="1"/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12" fillId="0" borderId="10" xfId="0" applyNumberFormat="1" applyFont="1" applyBorder="1"/>
    <xf numFmtId="0" fontId="13" fillId="0" borderId="12" xfId="0" applyNumberFormat="1" applyFont="1" applyBorder="1"/>
    <xf numFmtId="0" fontId="0" fillId="0" borderId="0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'2. Интерполяция и аппроксимация'!$C$3</c:f>
              <c:strCache>
                <c:ptCount val="1"/>
                <c:pt idx="0">
                  <c:v>y(x)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 Интерполяция и аппроксимация'!$B$4:$B$7</c:f>
              <c:numCache>
                <c:formatCode>General</c:formatCode>
                <c:ptCount val="4"/>
                <c:pt idx="0">
                  <c:v>-1</c:v>
                </c:pt>
                <c:pt idx="1">
                  <c:v>18</c:v>
                </c:pt>
                <c:pt idx="2">
                  <c:v>6</c:v>
                </c:pt>
                <c:pt idx="3">
                  <c:v>10</c:v>
                </c:pt>
              </c:numCache>
            </c:numRef>
          </c:xVal>
          <c:yVal>
            <c:numRef>
              <c:f>'2. Интерполяция и аппроксимация'!$C$4:$C$7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8</c:v>
                </c:pt>
                <c:pt idx="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F0-E349-B161-E816A9C725D9}"/>
            </c:ext>
          </c:extLst>
        </c:ser>
        <c:ser>
          <c:idx val="0"/>
          <c:order val="1"/>
          <c:tx>
            <c:strRef>
              <c:f>'2. Интерполяция и аппроксимация'!$C$11</c:f>
              <c:strCache>
                <c:ptCount val="1"/>
                <c:pt idx="0">
                  <c:v>L3(x)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аппроксимация'!$C$12:$C$31</c:f>
              <c:numCache>
                <c:formatCode>General</c:formatCode>
                <c:ptCount val="20"/>
                <c:pt idx="0">
                  <c:v>1</c:v>
                </c:pt>
                <c:pt idx="1">
                  <c:v>5.9994019138755981</c:v>
                </c:pt>
                <c:pt idx="2">
                  <c:v>9.3172846889952154</c:v>
                </c:pt>
                <c:pt idx="3">
                  <c:v>11.162679425837322</c:v>
                </c:pt>
                <c:pt idx="4">
                  <c:v>11.744617224880383</c:v>
                </c:pt>
                <c:pt idx="5">
                  <c:v>11.27212918660287</c:v>
                </c:pt>
                <c:pt idx="6">
                  <c:v>9.9542464114832541</c:v>
                </c:pt>
                <c:pt idx="7">
                  <c:v>8</c:v>
                </c:pt>
                <c:pt idx="8">
                  <c:v>5.6184210526315788</c:v>
                </c:pt>
                <c:pt idx="9">
                  <c:v>3.0185406698564599</c:v>
                </c:pt>
                <c:pt idx="10">
                  <c:v>0.40938995215310992</c:v>
                </c:pt>
                <c:pt idx="11">
                  <c:v>-2</c:v>
                </c:pt>
                <c:pt idx="12">
                  <c:v>-4.0005980861244019</c:v>
                </c:pt>
                <c:pt idx="13">
                  <c:v>-5.383373205741627</c:v>
                </c:pt>
                <c:pt idx="14">
                  <c:v>-5.9392942583732058</c:v>
                </c:pt>
                <c:pt idx="15">
                  <c:v>-5.4593301435406705</c:v>
                </c:pt>
                <c:pt idx="16">
                  <c:v>-3.7344497607655502</c:v>
                </c:pt>
                <c:pt idx="17">
                  <c:v>-0.55562200956937802</c:v>
                </c:pt>
                <c:pt idx="18">
                  <c:v>4.286184210526315</c:v>
                </c:pt>
                <c:pt idx="1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0-E349-B161-E816A9C725D9}"/>
            </c:ext>
          </c:extLst>
        </c:ser>
        <c:ser>
          <c:idx val="2"/>
          <c:order val="2"/>
          <c:tx>
            <c:strRef>
              <c:f>'2. Интерполяция и аппроксимация'!$V$11</c:f>
              <c:strCache>
                <c:ptCount val="1"/>
                <c:pt idx="0">
                  <c:v>φ2(x)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аппроксимация'!$V$12:$V$31</c:f>
              <c:numCache>
                <c:formatCode>General</c:formatCode>
                <c:ptCount val="20"/>
                <c:pt idx="0">
                  <c:v>2.3456555991634924</c:v>
                </c:pt>
                <c:pt idx="1">
                  <c:v>2.1024135560202835</c:v>
                </c:pt>
                <c:pt idx="2">
                  <c:v>1.9304967485031665</c:v>
                </c:pt>
                <c:pt idx="3">
                  <c:v>1.8299051766121419</c:v>
                </c:pt>
                <c:pt idx="4">
                  <c:v>1.8006388403472093</c:v>
                </c:pt>
                <c:pt idx="5">
                  <c:v>1.842697739708369</c:v>
                </c:pt>
                <c:pt idx="6">
                  <c:v>1.956081874695621</c:v>
                </c:pt>
                <c:pt idx="7">
                  <c:v>2.1407912453089648</c:v>
                </c:pt>
                <c:pt idx="8">
                  <c:v>2.3968258515484013</c:v>
                </c:pt>
                <c:pt idx="9">
                  <c:v>2.7241856934139292</c:v>
                </c:pt>
                <c:pt idx="10">
                  <c:v>3.1228707709055499</c:v>
                </c:pt>
                <c:pt idx="11">
                  <c:v>3.5928810840232628</c:v>
                </c:pt>
                <c:pt idx="12">
                  <c:v>4.1342166327670675</c:v>
                </c:pt>
                <c:pt idx="13">
                  <c:v>4.7468774171369645</c:v>
                </c:pt>
                <c:pt idx="14">
                  <c:v>5.4308634371329543</c:v>
                </c:pt>
                <c:pt idx="15">
                  <c:v>6.186174692755035</c:v>
                </c:pt>
                <c:pt idx="16">
                  <c:v>7.0128111840032084</c:v>
                </c:pt>
                <c:pt idx="17">
                  <c:v>7.9107729108774745</c:v>
                </c:pt>
                <c:pt idx="18">
                  <c:v>8.8800598733778315</c:v>
                </c:pt>
                <c:pt idx="19">
                  <c:v>9.9206720715042831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F0-E349-B161-E816A9C72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896"/>
        <c:axId val="160730208"/>
      </c:scatterChart>
      <c:valAx>
        <c:axId val="1623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0208"/>
        <c:crosses val="autoZero"/>
        <c:crossBetween val="midCat"/>
      </c:valAx>
      <c:valAx>
        <c:axId val="1607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'3. Инт. и диф. функции'!$L$4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Инт. и диф. функции'!$K$5:$K$10</c:f>
              <c:numCache>
                <c:formatCode>General</c:formatCode>
                <c:ptCount val="6"/>
                <c:pt idx="0">
                  <c:v>0.1</c:v>
                </c:pt>
                <c:pt idx="1">
                  <c:v>0.28000000000000003</c:v>
                </c:pt>
                <c:pt idx="2">
                  <c:v>0.46</c:v>
                </c:pt>
                <c:pt idx="3">
                  <c:v>0.64</c:v>
                </c:pt>
                <c:pt idx="4">
                  <c:v>0.82000000000000006</c:v>
                </c:pt>
                <c:pt idx="5">
                  <c:v>1</c:v>
                </c:pt>
              </c:numCache>
            </c:numRef>
          </c:xVal>
          <c:yVal>
            <c:numRef>
              <c:f>'3. Инт. и диф. функции'!$L$5:$L$10</c:f>
              <c:numCache>
                <c:formatCode>General</c:formatCode>
                <c:ptCount val="6"/>
                <c:pt idx="0">
                  <c:v>1.1450531251495653</c:v>
                </c:pt>
                <c:pt idx="1">
                  <c:v>0.50496545505971313</c:v>
                </c:pt>
                <c:pt idx="2">
                  <c:v>0.4771604281978114</c:v>
                </c:pt>
                <c:pt idx="3">
                  <c:v>0.72485630657251499</c:v>
                </c:pt>
                <c:pt idx="4">
                  <c:v>2.0658107094663558</c:v>
                </c:pt>
                <c:pt idx="5">
                  <c:v>50.213768360408736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3-EE4A-A830-EB9BCE57974C}"/>
            </c:ext>
          </c:extLst>
        </c:ser>
        <c:ser>
          <c:idx val="1"/>
          <c:order val="1"/>
          <c:tx>
            <c:strRef>
              <c:f>'3. Инт. и диф. функции'!$M$4</c:f>
              <c:strCache>
                <c:ptCount val="1"/>
                <c:pt idx="0">
                  <c:v>f'(x) [ц. р.]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Инт. и диф. функции'!$K$5:$K$10</c:f>
              <c:numCache>
                <c:formatCode>General</c:formatCode>
                <c:ptCount val="6"/>
                <c:pt idx="0">
                  <c:v>0.1</c:v>
                </c:pt>
                <c:pt idx="1">
                  <c:v>0.28000000000000003</c:v>
                </c:pt>
                <c:pt idx="2">
                  <c:v>0.46</c:v>
                </c:pt>
                <c:pt idx="3">
                  <c:v>0.64</c:v>
                </c:pt>
                <c:pt idx="4">
                  <c:v>0.82000000000000006</c:v>
                </c:pt>
                <c:pt idx="5">
                  <c:v>1</c:v>
                </c:pt>
              </c:numCache>
            </c:numRef>
          </c:xVal>
          <c:yVal>
            <c:numRef>
              <c:f>'3. Инт. и диф. функции'!$M$5:$M$10</c:f>
              <c:numCache>
                <c:formatCode>General</c:formatCode>
                <c:ptCount val="6"/>
                <c:pt idx="1">
                  <c:v>-1.8552574915326494</c:v>
                </c:pt>
                <c:pt idx="2">
                  <c:v>0.61080792086889402</c:v>
                </c:pt>
                <c:pt idx="3">
                  <c:v>4.4129174479681792</c:v>
                </c:pt>
                <c:pt idx="4">
                  <c:v>137.46920014954506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3-EE4A-A830-EB9BCE57974C}"/>
            </c:ext>
          </c:extLst>
        </c:ser>
        <c:ser>
          <c:idx val="2"/>
          <c:order val="2"/>
          <c:tx>
            <c:strRef>
              <c:f>'3. Инт. и диф. функции'!$N$4</c:f>
              <c:strCache>
                <c:ptCount val="1"/>
                <c:pt idx="0">
                  <c:v>F'(x) [трап]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Инт. и диф. функции'!$K$5:$K$10</c:f>
              <c:numCache>
                <c:formatCode>General</c:formatCode>
                <c:ptCount val="6"/>
                <c:pt idx="0">
                  <c:v>0.1</c:v>
                </c:pt>
                <c:pt idx="1">
                  <c:v>0.28000000000000003</c:v>
                </c:pt>
                <c:pt idx="2">
                  <c:v>0.46</c:v>
                </c:pt>
                <c:pt idx="3">
                  <c:v>0.64</c:v>
                </c:pt>
                <c:pt idx="4">
                  <c:v>0.82000000000000006</c:v>
                </c:pt>
                <c:pt idx="5">
                  <c:v>1</c:v>
                </c:pt>
              </c:numCache>
            </c:numRef>
          </c:xVal>
          <c:yVal>
            <c:numRef>
              <c:f>'3. Инт. и диф. функции'!$N$5:$N$10</c:f>
              <c:numCache>
                <c:formatCode>General</c:formatCode>
                <c:ptCount val="6"/>
                <c:pt idx="1">
                  <c:v>0.14850167221883506</c:v>
                </c:pt>
                <c:pt idx="2">
                  <c:v>8.8391329493177212E-2</c:v>
                </c:pt>
                <c:pt idx="3">
                  <c:v>0.10818150612932936</c:v>
                </c:pt>
                <c:pt idx="4">
                  <c:v>0.25116003144349835</c:v>
                </c:pt>
                <c:pt idx="5">
                  <c:v>4.7051621162887578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43-EE4A-A830-EB9BCE57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8831"/>
        <c:axId val="298342671"/>
      </c:scatterChart>
      <c:valAx>
        <c:axId val="302488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42671"/>
        <c:crosses val="autoZero"/>
        <c:crossBetween val="midCat"/>
      </c:valAx>
      <c:valAx>
        <c:axId val="2983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6350</xdr:colOff>
      <xdr:row>0</xdr:row>
      <xdr:rowOff>25400</xdr:rowOff>
    </xdr:from>
    <xdr:ext cx="46573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495550" y="25400"/>
              <a:ext cx="46573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𝑁𝑑𝑒𝑝𝑡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𝐹𝑡𝑖𝑚𝑒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𝑁𝑦𝑒𝑎𝑟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𝑁𝑔𝑟𝑜𝑢𝑝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4+1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+5−2=18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302B88-7374-A14E-87AD-100F2115C1BA}"/>
                </a:ext>
              </a:extLst>
            </xdr:cNvPr>
            <xdr:cNvSpPr txBox="1"/>
          </xdr:nvSpPr>
          <xdr:spPr>
            <a:xfrm>
              <a:off x="2495550" y="25400"/>
              <a:ext cx="46573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𝑁𝑔=|3∗(𝑁𝑑𝑒𝑝𝑡+𝐹𝑡𝑖𝑚𝑒)+𝑁𝑦𝑒𝑎𝑟−𝑁𝑔𝑟𝑜𝑢𝑝|=3∗(4+1)+5−2=18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14816</xdr:colOff>
      <xdr:row>1</xdr:row>
      <xdr:rowOff>25401</xdr:rowOff>
    </xdr:from>
    <xdr:ext cx="5430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504016" y="228601"/>
              <a:ext cx="543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834BB37-F7D1-1E42-805D-4D2ECDBF7E57}"/>
                </a:ext>
              </a:extLst>
            </xdr:cNvPr>
            <xdr:cNvSpPr txBox="1"/>
          </xdr:nvSpPr>
          <xdr:spPr>
            <a:xfrm>
              <a:off x="2504016" y="228601"/>
              <a:ext cx="543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𝑁𝑠=16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26377</xdr:colOff>
      <xdr:row>8</xdr:row>
      <xdr:rowOff>21492</xdr:rowOff>
    </xdr:from>
    <xdr:ext cx="173246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31531" y="1604107"/>
              <a:ext cx="17324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(2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A75F33-EA7E-104E-A8D2-92CA4987A520}"/>
                </a:ext>
              </a:extLst>
            </xdr:cNvPr>
            <xdr:cNvSpPr txBox="1"/>
          </xdr:nvSpPr>
          <xdr:spPr>
            <a:xfrm>
              <a:off x="231531" y="1604107"/>
              <a:ext cx="17324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(2〗^′)=(2)−(1)∗(𝑎_21/𝑎_11)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22469</xdr:colOff>
      <xdr:row>16</xdr:row>
      <xdr:rowOff>27353</xdr:rowOff>
    </xdr:from>
    <xdr:ext cx="1732461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227623" y="3290276"/>
              <a:ext cx="173246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D72648-753F-5847-B029-9390EE601197}"/>
                </a:ext>
              </a:extLst>
            </xdr:cNvPr>
            <xdr:cNvSpPr txBox="1"/>
          </xdr:nvSpPr>
          <xdr:spPr>
            <a:xfrm>
              <a:off x="227623" y="3290276"/>
              <a:ext cx="173246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(3〗^′)=(3)−(2)∗(𝑎_32/𝑎_22)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51777</xdr:colOff>
      <xdr:row>8</xdr:row>
      <xdr:rowOff>125046</xdr:rowOff>
    </xdr:from>
    <xdr:ext cx="1743875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3578469" y="1707661"/>
              <a:ext cx="1743875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=−3−22∗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424778D-7493-A34E-86B8-416953E7A374}"/>
                </a:ext>
              </a:extLst>
            </xdr:cNvPr>
            <xdr:cNvSpPr txBox="1"/>
          </xdr:nvSpPr>
          <xdr:spPr>
            <a:xfrm>
              <a:off x="3578469" y="1707661"/>
              <a:ext cx="1743875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𝑎_21=−3−22∗(−3/22)=0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47869</xdr:colOff>
      <xdr:row>10</xdr:row>
      <xdr:rowOff>52755</xdr:rowOff>
    </xdr:from>
    <xdr:ext cx="1901739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3624189" y="2044115"/>
              <a:ext cx="1901739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=8+3∗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=7,5909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3624189" y="2044115"/>
              <a:ext cx="1901739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𝑎_22=8+3∗(−3/22)=7,5909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43961</xdr:colOff>
      <xdr:row>11</xdr:row>
      <xdr:rowOff>185615</xdr:rowOff>
    </xdr:from>
    <xdr:ext cx="1901739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3620281" y="2410655"/>
              <a:ext cx="1901739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=1−4∗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=1,5455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3620281" y="2410655"/>
              <a:ext cx="1901739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𝑎_23=1−4∗(−3/22)=1,5455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38100</xdr:colOff>
      <xdr:row>16</xdr:row>
      <xdr:rowOff>121138</xdr:rowOff>
    </xdr:from>
    <xdr:ext cx="1538563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3564792" y="3384061"/>
              <a:ext cx="1538563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=0−0∗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868E39-B40E-5345-8CF5-F3CE7E7374E2}"/>
                </a:ext>
              </a:extLst>
            </xdr:cNvPr>
            <xdr:cNvSpPr txBox="1"/>
          </xdr:nvSpPr>
          <xdr:spPr>
            <a:xfrm>
              <a:off x="3564792" y="3384061"/>
              <a:ext cx="1538563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𝑎_31=0−0∗(6/7,59)=0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34192</xdr:colOff>
      <xdr:row>18</xdr:row>
      <xdr:rowOff>48847</xdr:rowOff>
    </xdr:from>
    <xdr:ext cx="1723677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3560884" y="3731847"/>
              <a:ext cx="172367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=6−7,59∗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8831A1-00D4-CF4D-818D-D2E82DECB3C1}"/>
                </a:ext>
              </a:extLst>
            </xdr:cNvPr>
            <xdr:cNvSpPr txBox="1"/>
          </xdr:nvSpPr>
          <xdr:spPr>
            <a:xfrm>
              <a:off x="3560884" y="3731847"/>
              <a:ext cx="172367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𝑎_32=6−7,59∗(6/7,59)=0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30284</xdr:colOff>
      <xdr:row>19</xdr:row>
      <xdr:rowOff>181708</xdr:rowOff>
    </xdr:from>
    <xdr:ext cx="2221185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3606604" y="4083148"/>
              <a:ext cx="2221185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=16−1,55∗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=14,7784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3606604" y="4083148"/>
              <a:ext cx="2221185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𝑎_33=16−1,55∗(6/7,59)=14,7784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85784</xdr:colOff>
      <xdr:row>24</xdr:row>
      <xdr:rowOff>137531</xdr:rowOff>
    </xdr:from>
    <xdr:ext cx="1818896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3662104" y="5065131"/>
              <a:ext cx="1818896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33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−1,11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14,78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=−0,0754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3662104" y="5065131"/>
              <a:ext cx="1818896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𝑥_3=𝑏_3/𝑎_33 =(−1,11)/14,78=−0,0754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82316</xdr:colOff>
      <xdr:row>26</xdr:row>
      <xdr:rowOff>141369</xdr:rowOff>
    </xdr:from>
    <xdr:ext cx="3086422" cy="3491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3658636" y="5516009"/>
              <a:ext cx="3086422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1,41+0,08∗1,55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7,59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=0,20097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3658636" y="5516009"/>
              <a:ext cx="3086422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𝑥_2=(𝑏_2−𝑥_3∗𝑎_23)/𝑎_22 =(1,41+0,08∗1,55)/7,59=0,20097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86208</xdr:colOff>
      <xdr:row>28</xdr:row>
      <xdr:rowOff>132521</xdr:rowOff>
    </xdr:from>
    <xdr:ext cx="4011996" cy="349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3662528" y="5923721"/>
              <a:ext cx="4011996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3−0,20∗−3+0,08∗4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=0,1775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3662528" y="5923721"/>
              <a:ext cx="4011996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𝑥_1=(𝑏_1−𝑥_2∗𝑎_12−𝑥_3∗𝑎_13)/𝑎_11 =(3−0,20∗−3+0,08∗4)/22=0,1775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87084</xdr:colOff>
      <xdr:row>3</xdr:row>
      <xdr:rowOff>23586</xdr:rowOff>
    </xdr:from>
    <xdr:ext cx="766427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7543798" y="567872"/>
              <a:ext cx="76642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∆=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90AE358-C599-1248-B425-20D63235FD52}"/>
                </a:ext>
              </a:extLst>
            </xdr:cNvPr>
            <xdr:cNvSpPr txBox="1"/>
          </xdr:nvSpPr>
          <xdr:spPr>
            <a:xfrm>
              <a:off x="7543798" y="567872"/>
              <a:ext cx="76642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∆=</a:t>
              </a:r>
              <a:r>
                <a:rPr lang="en-US" sz="1100" b="0" i="0">
                  <a:latin typeface="Cambria Math" panose="02040503050406030204" pitchFamily="18" charset="0"/>
                </a:rPr>
                <a:t>|𝑏_𝑖−𝐵_𝑖 |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85270</xdr:colOff>
      <xdr:row>4</xdr:row>
      <xdr:rowOff>76200</xdr:rowOff>
    </xdr:from>
    <xdr:ext cx="591700" cy="3500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7541984" y="820057"/>
              <a:ext cx="59170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6E096DC-5259-F84C-8A38-575FF54B3FCD}"/>
                </a:ext>
              </a:extLst>
            </xdr:cNvPr>
            <xdr:cNvSpPr txBox="1"/>
          </xdr:nvSpPr>
          <xdr:spPr>
            <a:xfrm>
              <a:off x="7541984" y="820057"/>
              <a:ext cx="59170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𝜎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(|〖∆𝑏〗_𝑖 |)/𝑏_𝑖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49822</xdr:colOff>
      <xdr:row>13</xdr:row>
      <xdr:rowOff>171938</xdr:rowOff>
    </xdr:from>
    <xdr:ext cx="1835118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3626142" y="2803378"/>
              <a:ext cx="1835118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=1,4091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3626142" y="2803378"/>
              <a:ext cx="1835118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𝑏_2=1−3∗(−3/22)=1,4091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45913</xdr:colOff>
      <xdr:row>21</xdr:row>
      <xdr:rowOff>158261</xdr:rowOff>
    </xdr:from>
    <xdr:ext cx="2103717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3622233" y="4466101"/>
              <a:ext cx="210371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=0−1,41∗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=−1,1138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3622233" y="4466101"/>
              <a:ext cx="210371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𝑏_3=0−1,41∗(6/7,59)=−1,1138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37546</xdr:colOff>
      <xdr:row>32</xdr:row>
      <xdr:rowOff>21281</xdr:rowOff>
    </xdr:from>
    <xdr:to>
      <xdr:col>21</xdr:col>
      <xdr:colOff>773854</xdr:colOff>
      <xdr:row>49</xdr:row>
      <xdr:rowOff>178646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586</xdr:colOff>
      <xdr:row>31</xdr:row>
      <xdr:rowOff>133837</xdr:rowOff>
    </xdr:from>
    <xdr:ext cx="6000617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67392" y="6643061"/>
              <a:ext cx="6000617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(−1−18)(−1−6)(−1−10)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−1463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67392" y="6643061"/>
              <a:ext cx="6000617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𝑙_0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𝑥)=((𝑥−𝑥_1)(𝑥−𝑥_2)(𝑥−𝑥_3))/((𝑥_0−𝑥_1 )(𝑥_0−𝑥_2 )(𝑥_0−𝑥_3))=((𝑥−18)(𝑥−6)(𝑥−10))/((−1−18)(−1−6)(−1−10))=((𝑥−18)(𝑥−6)(𝑥−10))/(−1463)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154679</xdr:colOff>
      <xdr:row>33</xdr:row>
      <xdr:rowOff>133837</xdr:rowOff>
    </xdr:from>
    <xdr:ext cx="5641994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54679" y="7076504"/>
              <a:ext cx="564199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(18+1)(18−6)(18−10)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1824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BBDFCC-BB1B-9847-9FAE-75EECBE5DA34}"/>
                </a:ext>
              </a:extLst>
            </xdr:cNvPr>
            <xdr:cNvSpPr txBox="1"/>
          </xdr:nvSpPr>
          <xdr:spPr>
            <a:xfrm>
              <a:off x="154679" y="7076504"/>
              <a:ext cx="564199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𝑙_1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=((𝑥−𝑥_0)(𝑥−𝑥_2)(𝑥−𝑥_3))/((𝑥_1−𝑥_0 )(𝑥_1−𝑥_2 )(𝑥_1−𝑥_3))=((𝑥+1)(𝑥−6)(𝑥−10))/((18+1)(18−6)(18−10))=((𝑥+1)(𝑥−6)(𝑥−10))/1824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95412</xdr:colOff>
      <xdr:row>35</xdr:row>
      <xdr:rowOff>125370</xdr:rowOff>
    </xdr:from>
    <xdr:ext cx="5720091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95412" y="7474437"/>
              <a:ext cx="572009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(6+1)(6−18)(6−10)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336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DE05A7-4DED-1340-A25D-9EF64254D4A5}"/>
                </a:ext>
              </a:extLst>
            </xdr:cNvPr>
            <xdr:cNvSpPr txBox="1"/>
          </xdr:nvSpPr>
          <xdr:spPr>
            <a:xfrm>
              <a:off x="95412" y="7474437"/>
              <a:ext cx="572009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𝑙_2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=((𝑥−𝑥_0)(𝑥−𝑥_1)(𝑥−𝑥_3))/((𝑥_2−𝑥_0 )(𝑥_2−𝑥_1 )(𝑥_2−𝑥_3))=((𝑥+1)(𝑥−18)(𝑥−10))/((6+1)(6−18)(6−10))=((𝑥+1)(𝑥−18)(𝑥−10))/336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10746</xdr:colOff>
      <xdr:row>37</xdr:row>
      <xdr:rowOff>116904</xdr:rowOff>
    </xdr:from>
    <xdr:ext cx="5648534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180079" y="7872371"/>
              <a:ext cx="564853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(10+1)(10−18)(10−6)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−352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A1D442C-B729-A64A-9761-B593EF160F05}"/>
                </a:ext>
              </a:extLst>
            </xdr:cNvPr>
            <xdr:cNvSpPr txBox="1"/>
          </xdr:nvSpPr>
          <xdr:spPr>
            <a:xfrm>
              <a:off x="180079" y="7872371"/>
              <a:ext cx="564853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𝑙_3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=((𝑥−𝑥_0)(𝑥−𝑥_1)(𝑥−𝑥_2))/((𝑥_3−𝑥_0 )(𝑥_3−𝑥_1 )(𝑥_3−𝑥_2))=((𝑥+1)(𝑥−18)(𝑥−6))/((10+1)(10−18)(10−6))=((𝑥+1)(𝑥−18)(𝑥−6))/(−352)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160866</xdr:colOff>
      <xdr:row>40</xdr:row>
      <xdr:rowOff>21166</xdr:rowOff>
    </xdr:from>
    <xdr:ext cx="7338818" cy="11734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60866" y="8339666"/>
              <a:ext cx="7338818" cy="11734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−10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−1463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+11∗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−10</m:t>
                            </m:r>
                          </m:e>
                        </m:d>
                      </m:num>
                      <m:den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1824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+8∗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−10</m:t>
                            </m:r>
                          </m:e>
                        </m:d>
                      </m:num>
                      <m:den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336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−2∗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</m:num>
                      <m:den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−352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−34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+348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−1080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−1463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−165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+484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+660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1824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8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−216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+1216</m:t>
                        </m:r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+1440</m:t>
                        </m:r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336</m:t>
                        </m:r>
                      </m:den>
                    </m:f>
                    <m:r>
                      <a:rPr lang="lv-LV" sz="1100" b="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2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−46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+168</m:t>
                        </m:r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+216</m:t>
                        </m:r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−352</m:t>
                        </m:r>
                      </m:den>
                    </m:f>
                    <m:r>
                      <a:rPr lang="lv-LV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233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6688</m:t>
                        </m:r>
                      </m:den>
                    </m:f>
                    <m:r>
                      <a:rPr lang="lv-LV" sz="1100" b="0" i="1">
                        <a:latin typeface="Cambria Math" panose="02040503050406030204" pitchFamily="18" charset="0"/>
                      </a:rPr>
                      <m:t>-</m:t>
                    </m:r>
                    <m:f>
                      <m:f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5623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6688</m:t>
                        </m:r>
                      </m:den>
                    </m:f>
                    <m:r>
                      <a:rPr lang="lv-LV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6895</m:t>
                        </m:r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1672</m:t>
                        </m:r>
                      </m:den>
                    </m:f>
                    <m:r>
                      <a:rPr lang="lv-LV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10031</m:t>
                        </m:r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1672</m:t>
                        </m:r>
                      </m:den>
                    </m:f>
                    <m:r>
                      <a:rPr lang="lv-LV" sz="1100" b="0" i="1">
                        <a:latin typeface="Cambria Math" panose="02040503050406030204" pitchFamily="18" charset="0"/>
                      </a:rPr>
                      <m:t>=0,034839</m:t>
                    </m:r>
                    <m:sSup>
                      <m:sSup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lv-LV" sz="1100" b="0" i="1">
                        <a:latin typeface="Cambria Math" panose="02040503050406030204" pitchFamily="18" charset="0"/>
                      </a:rPr>
                      <m:t>-0,84076</m:t>
                    </m:r>
                    <m:sSup>
                      <m:sSup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lv-LV" sz="1100" b="0" i="1">
                        <a:latin typeface="Cambria Math" panose="02040503050406030204" pitchFamily="18" charset="0"/>
                      </a:rPr>
                      <m:t>+4,12380</m:t>
                    </m:r>
                    <m:r>
                      <a:rPr lang="lv-LV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lv-LV" sz="1100" b="0" i="1">
                        <a:latin typeface="Cambria Math" panose="02040503050406030204" pitchFamily="18" charset="0"/>
                      </a:rPr>
                      <m:t>+5,9994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60866" y="8339666"/>
              <a:ext cx="7338818" cy="11734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𝐿_3 (𝑥)=𝑦_0 𝐿_0 (𝑥)+𝑦_1 𝐿_1 (𝑥)+𝑦_2 𝐿_2 (𝑥)+𝑦_3 𝐿_3 (𝑥)=1∗(𝑥−18)(𝑥−6)(𝑥−10)/(−1463)+11∗(x+1)(x−6)(x−10)/1824+8∗(x+1)(x−18)(x−10)/336−2∗(x+1)(x−18)(x−6)/(−352)=(𝑥^3−34𝑥^2+348𝑥−1080)/(−1463)+(11𝑥^3−165𝑥^2+484𝑥+660)/1824+(</a:t>
              </a:r>
              <a:r>
                <a:rPr lang="lv-LV" sz="1100" b="0" i="0">
                  <a:latin typeface="Cambria Math" panose="02040503050406030204" pitchFamily="18" charset="0"/>
                </a:rPr>
                <a:t>8𝑥^3−216𝑥^2+1216𝑥+1440</a:t>
              </a:r>
              <a:r>
                <a:rPr lang="en-US" sz="1100" b="0" i="0">
                  <a:latin typeface="Cambria Math" panose="02040503050406030204" pitchFamily="18" charset="0"/>
                </a:rPr>
                <a:t>)/</a:t>
              </a:r>
              <a:r>
                <a:rPr lang="lv-LV" sz="1100" b="0" i="0">
                  <a:latin typeface="Cambria Math" panose="02040503050406030204" pitchFamily="18" charset="0"/>
                </a:rPr>
                <a:t>336−(2𝑥^3−46𝑥^2+168𝑥+216)/(−352)=(233𝑥^3)/6688-(5623𝑥^2)/6688+6895𝑥/1672+10031/1672=0,034839𝑥^3-0,84076𝑥^2+4,12380𝑥+5,9994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167640</xdr:colOff>
      <xdr:row>9</xdr:row>
      <xdr:rowOff>152400</xdr:rowOff>
    </xdr:from>
    <xdr:ext cx="1615058" cy="3466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6761480" y="1950720"/>
              <a:ext cx="1615058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B14CA3D-A47B-9D4F-B7E3-82E90240564A}"/>
                </a:ext>
              </a:extLst>
            </xdr:cNvPr>
            <xdr:cNvSpPr txBox="1"/>
          </xdr:nvSpPr>
          <xdr:spPr>
            <a:xfrm>
              <a:off x="6761480" y="1950720"/>
              <a:ext cx="1615058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0=(𝑦_1−𝑦_0)/(𝑥_1−𝑥_0 )=(8−1)/(6+1)=1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11</xdr:row>
      <xdr:rowOff>121920</xdr:rowOff>
    </xdr:from>
    <xdr:ext cx="1929503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6751320" y="2367280"/>
              <a:ext cx="192950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−2−8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10−6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=−2,5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7E0847E-08D3-E443-8260-0FB88098C4E6}"/>
                </a:ext>
              </a:extLst>
            </xdr:cNvPr>
            <xdr:cNvSpPr txBox="1"/>
          </xdr:nvSpPr>
          <xdr:spPr>
            <a:xfrm>
              <a:off x="6751320" y="2367280"/>
              <a:ext cx="192950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1=(𝑦_2−𝑦_1)/(𝑥_2−𝑥_1 )=(−2−8)/(10−6)=−2,5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13</xdr:row>
      <xdr:rowOff>121920</xdr:rowOff>
    </xdr:from>
    <xdr:ext cx="2037737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6751320" y="2773680"/>
              <a:ext cx="2037737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11+2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18−10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=1,625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D364AAE-FE87-B44D-9578-4D6F3B01D906}"/>
                </a:ext>
              </a:extLst>
            </xdr:cNvPr>
            <xdr:cNvSpPr txBox="1"/>
          </xdr:nvSpPr>
          <xdr:spPr>
            <a:xfrm>
              <a:off x="6751320" y="2773680"/>
              <a:ext cx="2037737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2=(𝑦_3−𝑦_2)/(𝑥_3−𝑥_2 )=(11+2)/(18−10)=1,625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167640</xdr:colOff>
      <xdr:row>15</xdr:row>
      <xdr:rowOff>142240</xdr:rowOff>
    </xdr:from>
    <xdr:ext cx="2468561" cy="3501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/>
          </xdr:nvSpPr>
          <xdr:spPr>
            <a:xfrm>
              <a:off x="6761480" y="3220720"/>
              <a:ext cx="2468561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−2,5−1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=−0,318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523D12B-0C95-F54C-BF3A-4B73D26C49BC}"/>
                </a:ext>
              </a:extLst>
            </xdr:cNvPr>
            <xdr:cNvSpPr txBox="1"/>
          </xdr:nvSpPr>
          <xdr:spPr>
            <a:xfrm>
              <a:off x="6761480" y="3220720"/>
              <a:ext cx="2468561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∆^2 𝑦_0=(〖∆𝑦〗_1−〖∆𝑦〗_0)/(𝑥_2−𝑥_0 )=(−2,5−1)/(10+1)=−0,318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17</xdr:row>
      <xdr:rowOff>132080</xdr:rowOff>
    </xdr:from>
    <xdr:ext cx="2517805" cy="349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/>
          </xdr:nvSpPr>
          <xdr:spPr>
            <a:xfrm>
              <a:off x="6751320" y="3647440"/>
              <a:ext cx="251780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1,625+2,5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18−6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=0,344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71CA5EB-6419-4B4A-B76B-E044795B1276}"/>
                </a:ext>
              </a:extLst>
            </xdr:cNvPr>
            <xdr:cNvSpPr txBox="1"/>
          </xdr:nvSpPr>
          <xdr:spPr>
            <a:xfrm>
              <a:off x="6751320" y="3647440"/>
              <a:ext cx="251780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∆^2 𝑦_1=(〖∆𝑦〗_2−〖∆𝑦〗_1)/(𝑥_3−𝑥_1 )=(1,625+2,5)/(18−6)=0,344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147320</xdr:colOff>
      <xdr:row>19</xdr:row>
      <xdr:rowOff>152400</xdr:rowOff>
    </xdr:from>
    <xdr:ext cx="2892074" cy="368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 txBox="1"/>
          </xdr:nvSpPr>
          <xdr:spPr>
            <a:xfrm>
              <a:off x="6741160" y="4084320"/>
              <a:ext cx="2892074" cy="368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0,344+0,318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=0,035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AFF04AE-CDDC-054B-8584-9282505771E2}"/>
                </a:ext>
              </a:extLst>
            </xdr:cNvPr>
            <xdr:cNvSpPr txBox="1"/>
          </xdr:nvSpPr>
          <xdr:spPr>
            <a:xfrm>
              <a:off x="6741160" y="4084320"/>
              <a:ext cx="2892074" cy="368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∆^3 𝑦_0=(∆^2 𝑦_1−∆^2 〖∆𝑦〗_0)/(𝑥_3−𝑥_0 )=(0,344+0,318)/(18+1)=0,035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5080</xdr:colOff>
      <xdr:row>30</xdr:row>
      <xdr:rowOff>10160</xdr:rowOff>
    </xdr:from>
    <xdr:ext cx="357059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10827992" y="6283402"/>
              <a:ext cx="35705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=0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,0357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−0,2076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+2,1024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10827992" y="6283402"/>
              <a:ext cx="35705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𝜑</a:t>
              </a:r>
              <a:r>
                <a:rPr lang="en-US" sz="110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 (𝑥)=𝑎_3 𝑥^2+𝑎_2 𝑥+𝑎_1</a:t>
              </a:r>
              <a:r>
                <a:rPr lang="ru-RU" sz="1100" b="0" i="0">
                  <a:latin typeface="Cambria Math" panose="02040503050406030204" pitchFamily="18" charset="0"/>
                </a:rPr>
                <a:t>=0</a:t>
              </a:r>
              <a:r>
                <a:rPr lang="en-US" sz="1100" b="0" i="0">
                  <a:latin typeface="Cambria Math" panose="02040503050406030204" pitchFamily="18" charset="0"/>
                </a:rPr>
                <a:t>,0357𝑥^2−0,2076𝑥+2,1024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137102</xdr:colOff>
      <xdr:row>22</xdr:row>
      <xdr:rowOff>28864</xdr:rowOff>
    </xdr:from>
    <xdr:ext cx="3361516" cy="18217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01C14DA-BDD6-E644-AD79-31A4D7E31B8B}"/>
                </a:ext>
              </a:extLst>
            </xdr:cNvPr>
            <xdr:cNvSpPr txBox="1"/>
          </xdr:nvSpPr>
          <xdr:spPr>
            <a:xfrm>
              <a:off x="6842702" y="4613564"/>
              <a:ext cx="3361516" cy="182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*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-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*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-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-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*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-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-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-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1*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-0,318182*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-6</m:t>
                            </m:r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0,034839*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-6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-10</m:t>
                            </m:r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-0,318182*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-5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-6</m:t>
                            </m:r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0,034839*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-15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+44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+60</m:t>
                            </m:r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-0,318182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+1,59091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+1,909092+0,034839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-0,522585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+1,532916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+2,09034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0,034839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-0,840767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+4,123826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+5,999432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01C14DA-BDD6-E644-AD79-31A4D7E31B8B}"/>
                </a:ext>
              </a:extLst>
            </xdr:cNvPr>
            <xdr:cNvSpPr txBox="1"/>
          </xdr:nvSpPr>
          <xdr:spPr>
            <a:xfrm>
              <a:off x="6842702" y="4613564"/>
              <a:ext cx="3361516" cy="182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𝑁_𝑛 (𝑥)=𝑦(𝑥)+(〖∆𝑦〗_0*(𝑥-𝑥_0 ))+(∆^2 𝑦_0*(𝑥-𝑥_0 )(𝑥-𝑥_1 ))+(∆^3 𝑦_0*(𝑥-𝑥_0 )(𝑥-𝑥_1 )(𝑥-𝑥_2 ))=1+(1*(𝑥+1))+(-0,318182*(𝑥+1)(𝑥-6))+(0,034839*(𝑥+1)(𝑥-6)(𝑥-10))=2+𝑥+(-0,318182*(𝑥^2-5𝑥-6))+(0,034839*(𝑥^3-15𝑥^2+44𝑥+60))=2+𝑥-0,318182𝑥^2+1,59091𝑥+1,909092+0,034839𝑥^3-0,522585𝑥^2+1,532916𝑥+2,09034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0,034839𝑥^3-0,840767𝑥^2+4,123826𝑥+5,999432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62684</xdr:colOff>
      <xdr:row>17</xdr:row>
      <xdr:rowOff>128416</xdr:rowOff>
    </xdr:from>
    <xdr:ext cx="2831095" cy="331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62684" y="3358979"/>
              <a:ext cx="283109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62684" y="3358979"/>
              <a:ext cx="283109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𝑃_(𝑚+1)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=((2𝑚+1)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𝑃_𝑚 (𝑡)−𝑚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𝑃_(𝑚−1) (𝑡))/(𝑚+1)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66628</xdr:colOff>
      <xdr:row>16</xdr:row>
      <xdr:rowOff>18927</xdr:rowOff>
    </xdr:from>
    <xdr:ext cx="607539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66628" y="3043115"/>
              <a:ext cx="6075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66628" y="3043115"/>
              <a:ext cx="6075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𝑃_0 (𝑡)=1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21823</xdr:colOff>
      <xdr:row>16</xdr:row>
      <xdr:rowOff>13564</xdr:rowOff>
    </xdr:from>
    <xdr:ext cx="58522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950511" y="3037752"/>
              <a:ext cx="5852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950511" y="3037752"/>
              <a:ext cx="5852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𝑃_1 (𝑡)=𝑡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38</xdr:row>
      <xdr:rowOff>149511</xdr:rowOff>
    </xdr:from>
    <xdr:ext cx="4222750" cy="968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0" y="7833011"/>
              <a:ext cx="4222750" cy="968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=(0,8889∗0,5535+0,5556∗4,8314+0,5556∗0,62395)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1−0,1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3,5229∗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0,9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=1,5853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0" y="7833011"/>
              <a:ext cx="4222750" cy="968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en-US" sz="1100" b="0" i="0">
                  <a:latin typeface="Cambria Math" panose="02040503050406030204" pitchFamily="18" charset="0"/>
                </a:rPr>
                <a:t>〖(𝐴〗_1 𝑓(𝑥_1 )+𝐴_2 𝑓(𝑥_2 )+𝐴_3 𝑓(𝑥_3 ))</a:t>
              </a:r>
              <a:r>
                <a:rPr lang="ru-RU" sz="1100" b="0" i="0">
                  <a:latin typeface="Cambria Math" panose="02040503050406030204" pitchFamily="18" charset="0"/>
                </a:rPr>
                <a:t>∗(</a:t>
              </a:r>
              <a:r>
                <a:rPr lang="en-US" sz="1100" b="0" i="0">
                  <a:latin typeface="Cambria Math" panose="02040503050406030204" pitchFamily="18" charset="0"/>
                </a:rPr>
                <a:t>𝑏−𝑎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</a:rPr>
                <a:t>2=(0,8889∗0,5535+0,5556∗4,8314+0,5556∗0,62395)(1−0,1)/2=3,5229∗0,9/2=1,5853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65209</xdr:colOff>
      <xdr:row>20</xdr:row>
      <xdr:rowOff>114007</xdr:rowOff>
    </xdr:from>
    <xdr:ext cx="2682401" cy="342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65209" y="3963695"/>
              <a:ext cx="2682401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 ∗1+1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−1∗1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65209" y="3963695"/>
              <a:ext cx="2682401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∗1+1)∗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𝑡−1∗1)/(1+1)=(3𝑡^2−1)/2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16666</xdr:rowOff>
    </xdr:from>
    <xdr:ext cx="5330370" cy="5756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0" y="4485479"/>
              <a:ext cx="5330370" cy="575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 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−2∗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ra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0" y="4485479"/>
              <a:ext cx="5330370" cy="575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𝑃_3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+1)∗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3𝑡^2−1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2−2∗𝑡)/(2+1)=〖2,5𝑡〗^3−1,5𝑡=2,5𝑡∗(𝑡−√(3/5))∗(𝑡+√(3/5))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59268</xdr:colOff>
      <xdr:row>27</xdr:row>
      <xdr:rowOff>50001</xdr:rowOff>
    </xdr:from>
    <xdr:ext cx="3153940" cy="175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59268" y="5344314"/>
              <a:ext cx="3153940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(2,5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)′=3∗2,5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−1,5=7,5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59268" y="5344314"/>
              <a:ext cx="3153940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𝑃_3′(𝑡)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=〖(2,5𝑡〗^3−1,5𝑡)′=3∗2,5𝑡−1,5=7,5𝑡−1,5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29</xdr:row>
      <xdr:rowOff>151602</xdr:rowOff>
    </xdr:from>
    <xdr:ext cx="3558345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 txBox="1"/>
          </xdr:nvSpPr>
          <xdr:spPr>
            <a:xfrm>
              <a:off x="76359" y="5890415"/>
              <a:ext cx="355834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1−0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,5∗0−1,5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2,25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 txBox="1"/>
          </xdr:nvSpPr>
          <xdr:spPr>
            <a:xfrm>
              <a:off x="76359" y="5890415"/>
              <a:ext cx="355834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𝐴_1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=2/((1−𝑡_1^2 )∗𝑃_3^′ (𝑡_1 )^2 )=2/((1−0)∗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,5∗0−1,5)^2 )=2/2,25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32</xdr:row>
      <xdr:rowOff>151603</xdr:rowOff>
    </xdr:from>
    <xdr:ext cx="3529364" cy="492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76359" y="6549228"/>
              <a:ext cx="3529364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3,6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76359" y="6549228"/>
              <a:ext cx="3529364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𝐴_2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=2/((1−𝑡_2^2 )∗𝑃_3^′ (𝑡_2 )^2 )=2/((1−3/5)∗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,5∗3/5−1,5)^2 )=2/3,6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35</xdr:row>
      <xdr:rowOff>151602</xdr:rowOff>
    </xdr:from>
    <xdr:ext cx="3658246" cy="492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76359" y="7208040"/>
              <a:ext cx="3658246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,5∗−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3,6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76359" y="7208040"/>
              <a:ext cx="3658246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𝐴_3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=2/((1−𝑡_3^2 )∗𝑃_3^′ (𝑡_3 )^2 )=2/((1+3/5)∗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,5∗−3/5−1,5)^2 )=2/3,6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25400</xdr:colOff>
      <xdr:row>36</xdr:row>
      <xdr:rowOff>126999</xdr:rowOff>
    </xdr:from>
    <xdr:ext cx="1390829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4682067" y="7484532"/>
              <a:ext cx="139082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3BAB468-255A-E748-86E0-3C1C062C4841}"/>
                </a:ext>
              </a:extLst>
            </xdr:cNvPr>
            <xdr:cNvSpPr txBox="1"/>
          </xdr:nvSpPr>
          <xdr:spPr>
            <a:xfrm>
              <a:off x="4682067" y="7484532"/>
              <a:ext cx="139082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𝑥_𝑖=(𝑏+𝑎)/2+(𝑏−𝑎)/2∗𝑡_𝑖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15</xdr:col>
      <xdr:colOff>24063</xdr:colOff>
      <xdr:row>3</xdr:row>
      <xdr:rowOff>24507</xdr:rowOff>
    </xdr:from>
    <xdr:to>
      <xdr:col>25</xdr:col>
      <xdr:colOff>787400</xdr:colOff>
      <xdr:row>25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31750</xdr:colOff>
      <xdr:row>14</xdr:row>
      <xdr:rowOff>11591</xdr:rowOff>
    </xdr:from>
    <xdr:ext cx="145001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 txBox="1"/>
          </xdr:nvSpPr>
          <xdr:spPr>
            <a:xfrm>
              <a:off x="3841750" y="2726300"/>
              <a:ext cx="145001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прям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л.</m:t>
                        </m:r>
                      </m:e>
                    </m:d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9BFDAB9-D0A2-6D46-94EC-B6C42DA007DA}"/>
                </a:ext>
              </a:extLst>
            </xdr:cNvPr>
            <xdr:cNvSpPr txBox="1"/>
          </xdr:nvSpPr>
          <xdr:spPr>
            <a:xfrm>
              <a:off x="3841750" y="2726300"/>
              <a:ext cx="145001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прям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(л.)=</a:t>
              </a:r>
              <a:r>
                <a:rPr lang="en-US" sz="1100" b="0" i="0">
                  <a:latin typeface="Cambria Math" panose="02040503050406030204" pitchFamily="18" charset="0"/>
                </a:rPr>
                <a:t>ℎ∗𝑦_(𝑘−1)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30224</xdr:colOff>
      <xdr:row>15</xdr:row>
      <xdr:rowOff>129800</xdr:rowOff>
    </xdr:from>
    <xdr:ext cx="1457450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 txBox="1"/>
          </xdr:nvSpPr>
          <xdr:spPr>
            <a:xfrm>
              <a:off x="3840224" y="3065177"/>
              <a:ext cx="1457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трап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977ED39-6517-BD45-810A-951065ECCDE0}"/>
                </a:ext>
              </a:extLst>
            </xdr:cNvPr>
            <xdr:cNvSpPr txBox="1"/>
          </xdr:nvSpPr>
          <xdr:spPr>
            <a:xfrm>
              <a:off x="3840224" y="3065177"/>
              <a:ext cx="1457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трап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2(𝑦_(𝑘−1)+𝑦_𝑘)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30224</xdr:colOff>
      <xdr:row>17</xdr:row>
      <xdr:rowOff>134681</xdr:rowOff>
    </xdr:from>
    <xdr:ext cx="2004588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 txBox="1"/>
          </xdr:nvSpPr>
          <xdr:spPr>
            <a:xfrm>
              <a:off x="3840224" y="3477417"/>
              <a:ext cx="200458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симп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B8FFF73-929F-8444-892E-A0C0FF129F26}"/>
                </a:ext>
              </a:extLst>
            </xdr:cNvPr>
            <xdr:cNvSpPr txBox="1"/>
          </xdr:nvSpPr>
          <xdr:spPr>
            <a:xfrm>
              <a:off x="3840224" y="3477417"/>
              <a:ext cx="200458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симп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/6</a:t>
              </a:r>
              <a:r>
                <a:rPr lang="en-US" sz="1100" b="0" i="0">
                  <a:latin typeface="Cambria Math" panose="02040503050406030204" pitchFamily="18" charset="0"/>
                </a:rPr>
                <a:t>(𝑦_(𝑘−1)+〖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𝑦〗_𝑘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𝑘+1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0</xdr:row>
      <xdr:rowOff>81280</xdr:rowOff>
    </xdr:from>
    <xdr:ext cx="1026691" cy="319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 txBox="1"/>
          </xdr:nvSpPr>
          <xdr:spPr>
            <a:xfrm>
              <a:off x="1076960" y="81280"/>
              <a:ext cx="1026691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1628CFBE-690D-624C-ABC0-284522C376E8}"/>
                </a:ext>
              </a:extLst>
            </xdr:cNvPr>
            <xdr:cNvSpPr txBox="1"/>
          </xdr:nvSpPr>
          <xdr:spPr>
            <a:xfrm>
              <a:off x="1076960" y="81280"/>
              <a:ext cx="1026691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𝑓(𝑥)=𝑥/(〖𝑠𝑖𝑛〗^2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46691</xdr:colOff>
      <xdr:row>19</xdr:row>
      <xdr:rowOff>183170</xdr:rowOff>
    </xdr:from>
    <xdr:ext cx="4771837" cy="4456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2C034D-7DAE-BF4D-A1E7-12E7D94B81ED}"/>
                </a:ext>
              </a:extLst>
            </xdr:cNvPr>
            <xdr:cNvSpPr txBox="1"/>
          </xdr:nvSpPr>
          <xdr:spPr>
            <a:xfrm>
              <a:off x="3062941" y="4011846"/>
              <a:ext cx="4771837" cy="4456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d>
                              <m:dPr>
                                <m:begChr m:val=""/>
                                <m:endChr m:val="|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num>
                                      <m:den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3</m:t>
                                        </m:r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𝑡𝑔</m:t>
                                        </m:r>
                                        <m:d>
                                          <m:dPr>
                                            <m:ctrlP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dPr>
                                          <m:e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3</m:t>
                                            </m:r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</m:d>
                                      </m:den>
                                    </m:f>
                                  </m:e>
                                </m:d>
                              </m:e>
                            </m:d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0,1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=1,0077576−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𝑡𝑔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e>
                            </m:d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=3,346217517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2C034D-7DAE-BF4D-A1E7-12E7D94B81ED}"/>
                </a:ext>
              </a:extLst>
            </xdr:cNvPr>
            <xdr:cNvSpPr txBox="1"/>
          </xdr:nvSpPr>
          <xdr:spPr>
            <a:xfrm>
              <a:off x="3062941" y="4011846"/>
              <a:ext cx="4771837" cy="4456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∫24_</a:t>
              </a:r>
              <a:r>
                <a:rPr lang="en-US" sz="1100" b="0" i="0">
                  <a:latin typeface="Cambria Math" panose="02040503050406030204" pitchFamily="18" charset="0"/>
                </a:rPr>
                <a:t>0,1^1▒〖𝑥/(〖𝑠𝑖𝑛〗^2 (3𝑥)) 𝑑𝑥=├ (𝑥−𝑥/3𝑡𝑔(3𝑥) )┤|_0,1^1=1,0077576−1/3𝑡𝑔(3) =3,346217517〗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47064</xdr:colOff>
      <xdr:row>10</xdr:row>
      <xdr:rowOff>159123</xdr:rowOff>
    </xdr:from>
    <xdr:ext cx="1200008" cy="2898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B056430-CCC7-AA4D-9E10-B2C503702709}"/>
                </a:ext>
              </a:extLst>
            </xdr:cNvPr>
            <xdr:cNvSpPr txBox="1"/>
          </xdr:nvSpPr>
          <xdr:spPr>
            <a:xfrm>
              <a:off x="8105961" y="2129491"/>
              <a:ext cx="1200008" cy="289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B056430-CCC7-AA4D-9E10-B2C503702709}"/>
                </a:ext>
              </a:extLst>
            </xdr:cNvPr>
            <xdr:cNvSpPr txBox="1"/>
          </xdr:nvSpPr>
          <xdr:spPr>
            <a:xfrm>
              <a:off x="8105961" y="2129491"/>
              <a:ext cx="1200008" cy="289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𝑓'(𝑥)</a:t>
              </a:r>
              <a:r>
                <a:rPr lang="en-US" sz="1100" b="0" i="0">
                  <a:latin typeface="Cambria Math" panose="02040503050406030204" pitchFamily="18" charset="0"/>
                </a:rPr>
                <a:t>=(𝑦_(𝑖+1)−𝑦_(𝑖−1))/2ℎ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20885</xdr:colOff>
      <xdr:row>12</xdr:row>
      <xdr:rowOff>142309</xdr:rowOff>
    </xdr:from>
    <xdr:ext cx="1349793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D51D53F-EB00-AB45-9B0B-66BE104DC9FE}"/>
                </a:ext>
              </a:extLst>
            </xdr:cNvPr>
            <xdr:cNvSpPr txBox="1"/>
          </xdr:nvSpPr>
          <xdr:spPr>
            <a:xfrm>
              <a:off x="8079782" y="2542235"/>
              <a:ext cx="134979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′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D51D53F-EB00-AB45-9B0B-66BE104DC9FE}"/>
                </a:ext>
              </a:extLst>
            </xdr:cNvPr>
            <xdr:cNvSpPr txBox="1"/>
          </xdr:nvSpPr>
          <xdr:spPr>
            <a:xfrm>
              <a:off x="8079782" y="2542235"/>
              <a:ext cx="134979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𝐹′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2(𝑦_(𝑘−1)+𝑦_𝑘)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14264</xdr:colOff>
      <xdr:row>0</xdr:row>
      <xdr:rowOff>157088</xdr:rowOff>
    </xdr:from>
    <xdr:ext cx="1350947" cy="319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176824" y="157088"/>
              <a:ext cx="1350947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D6DB24-1129-AB45-8D55-AAE8DCFFDEB1}"/>
                </a:ext>
              </a:extLst>
            </xdr:cNvPr>
            <xdr:cNvSpPr txBox="1"/>
          </xdr:nvSpPr>
          <xdr:spPr>
            <a:xfrm>
              <a:off x="176824" y="157088"/>
              <a:ext cx="1350947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𝑓(𝑥)=𝑥/(〖𝑠𝑖𝑛〗^2 (3𝑥))−18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24033</xdr:colOff>
      <xdr:row>21</xdr:row>
      <xdr:rowOff>167249</xdr:rowOff>
    </xdr:from>
    <xdr:ext cx="1733359" cy="341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5124353" y="4475089"/>
              <a:ext cx="1733359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𝑠𝑖𝑛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−(18)′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21BB658-F89C-9945-89B0-103224F41497}"/>
                </a:ext>
              </a:extLst>
            </xdr:cNvPr>
            <xdr:cNvSpPr txBox="1"/>
          </xdr:nvSpPr>
          <xdr:spPr>
            <a:xfrm>
              <a:off x="5124353" y="4475089"/>
              <a:ext cx="1733359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(𝑥)=(𝑥/(〖𝑠𝑖𝑛〗^2 (3𝑥) ))^′−(18)′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196</xdr:colOff>
      <xdr:row>23</xdr:row>
      <xdr:rowOff>112541</xdr:rowOff>
    </xdr:from>
    <xdr:ext cx="2567113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5100516" y="4867421"/>
              <a:ext cx="2567113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)′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E543E89-C6EA-DC4B-94FB-ABD4203D29C7}"/>
                </a:ext>
              </a:extLst>
            </xdr:cNvPr>
            <xdr:cNvSpPr txBox="1"/>
          </xdr:nvSpPr>
          <xdr:spPr>
            <a:xfrm>
              <a:off x="5100516" y="4867421"/>
              <a:ext cx="2567113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(𝑥)=(𝑥^′∗〖𝑠𝑖𝑛〗^2 (3𝑥)−𝑥∗〖𝑠𝑖𝑛〗^2 (3𝑥)′)/(〖𝑠𝑖𝑛〗^4 (3𝑥))−0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811432</xdr:colOff>
      <xdr:row>25</xdr:row>
      <xdr:rowOff>110197</xdr:rowOff>
    </xdr:from>
    <xdr:ext cx="3000052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5088792" y="5271477"/>
              <a:ext cx="3000052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6 ∗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4B8152-63C2-5344-9166-D873A81FF452}"/>
                </a:ext>
              </a:extLst>
            </xdr:cNvPr>
            <xdr:cNvSpPr txBox="1"/>
          </xdr:nvSpPr>
          <xdr:spPr>
            <a:xfrm>
              <a:off x="5088792" y="5271477"/>
              <a:ext cx="3000052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(𝑥)=(〖1∗𝑠𝑖𝑛〗^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(3𝑥)−𝑥∗6 ∗sin⁡(3𝑥)∗cos⁡(3𝑥))/(〖𝑠𝑖𝑛〗^4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818075</xdr:colOff>
      <xdr:row>27</xdr:row>
      <xdr:rowOff>133643</xdr:rowOff>
    </xdr:from>
    <xdr:ext cx="196541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5095435" y="5701323"/>
              <a:ext cx="196541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)−6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B711C06-660F-1648-A50F-D6F01C012DC5}"/>
                </a:ext>
              </a:extLst>
            </xdr:cNvPr>
            <xdr:cNvSpPr txBox="1"/>
          </xdr:nvSpPr>
          <xdr:spPr>
            <a:xfrm>
              <a:off x="5095435" y="5701323"/>
              <a:ext cx="196541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(𝑥)=(sin⁡(3𝑥)−6𝑥∗cos⁡(3𝑥))/(〖𝑠𝑖𝑛〗^3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34584</xdr:colOff>
      <xdr:row>31</xdr:row>
      <xdr:rowOff>157088</xdr:rowOff>
    </xdr:from>
    <xdr:ext cx="1967270" cy="319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5399064" y="6557888"/>
              <a:ext cx="196727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latin typeface="Cambria Math" panose="02040503050406030204" pitchFamily="18" charset="0"/>
                      </a:rPr>
                      <m:t>𝜑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B4D1C48-B77A-914D-B284-E22575008049}"/>
                </a:ext>
              </a:extLst>
            </xdr:cNvPr>
            <xdr:cNvSpPr txBox="1"/>
          </xdr:nvSpPr>
          <xdr:spPr>
            <a:xfrm>
              <a:off x="5399064" y="6557888"/>
              <a:ext cx="196727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(𝑥)=𝑘∗(𝑥/(〖𝑠𝑖𝑛〗^2 (3𝑥) )−18)+𝑥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24424</xdr:colOff>
      <xdr:row>34</xdr:row>
      <xdr:rowOff>126608</xdr:rowOff>
    </xdr:from>
    <xdr:ext cx="2556341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 txBox="1"/>
          </xdr:nvSpPr>
          <xdr:spPr>
            <a:xfrm>
              <a:off x="5388904" y="7147168"/>
              <a:ext cx="255634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0829DAF-048F-D94C-BEC1-12514F70CFF0}"/>
                </a:ext>
              </a:extLst>
            </xdr:cNvPr>
            <xdr:cNvSpPr txBox="1"/>
          </xdr:nvSpPr>
          <xdr:spPr>
            <a:xfrm>
              <a:off x="5388904" y="7147168"/>
              <a:ext cx="255634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^′ (𝑥)=𝑘∗((sin⁡(3𝑥)−6𝑥∗cos⁡(3𝑥))/(〖𝑠𝑖𝑛〗^3 (3𝑥) )+1)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86360</xdr:colOff>
      <xdr:row>6</xdr:row>
      <xdr:rowOff>132080</xdr:rowOff>
    </xdr:from>
    <xdr:ext cx="624017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400-00000B000000}"/>
                </a:ext>
              </a:extLst>
            </xdr:cNvPr>
            <xdr:cNvSpPr txBox="1"/>
          </xdr:nvSpPr>
          <xdr:spPr>
            <a:xfrm>
              <a:off x="7919720" y="1361440"/>
              <a:ext cx="62401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24B28BA-BD70-9E42-A8FD-398EF4D5F2A3}"/>
                </a:ext>
              </a:extLst>
            </xdr:cNvPr>
            <xdr:cNvSpPr txBox="1"/>
          </xdr:nvSpPr>
          <xdr:spPr>
            <a:xfrm>
              <a:off x="7919720" y="1361440"/>
              <a:ext cx="62401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𝑥=(𝑎+𝑏)/2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86360</xdr:colOff>
      <xdr:row>15</xdr:row>
      <xdr:rowOff>121920</xdr:rowOff>
    </xdr:from>
    <xdr:ext cx="1569853" cy="351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 txBox="1"/>
          </xdr:nvSpPr>
          <xdr:spPr>
            <a:xfrm>
              <a:off x="7919720" y="3200400"/>
              <a:ext cx="1569853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05C7449-C5F9-1744-BAF8-5813093DE883}"/>
                </a:ext>
              </a:extLst>
            </xdr:cNvPr>
            <xdr:cNvSpPr txBox="1"/>
          </xdr:nvSpPr>
          <xdr:spPr>
            <a:xfrm>
              <a:off x="7919720" y="3200400"/>
              <a:ext cx="1569853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𝑥=𝑏</a:t>
              </a:r>
              <a:r>
                <a:rPr lang="ru-RU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(𝑏−𝑎)/(𝑓(𝑏)−𝑓(𝑎) ) 𝑓(𝑏)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5442</xdr:colOff>
      <xdr:row>3</xdr:row>
      <xdr:rowOff>9980</xdr:rowOff>
    </xdr:from>
    <xdr:ext cx="21069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168728" y="608694"/>
              <a:ext cx="2106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+5∗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+16∗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B10CB39-ED19-8F4A-959D-DAE5BE7C3259}"/>
                </a:ext>
              </a:extLst>
            </xdr:cNvPr>
            <xdr:cNvSpPr txBox="1"/>
          </xdr:nvSpPr>
          <xdr:spPr>
            <a:xfrm>
              <a:off x="168728" y="608694"/>
              <a:ext cx="2106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𝑦^′′ (𝑡)+5∗𝑦^′ (𝑡)+16∗𝑦(𝑡)=18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2449</xdr:colOff>
      <xdr:row>7</xdr:row>
      <xdr:rowOff>14000</xdr:rowOff>
    </xdr:from>
    <xdr:ext cx="317965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66109" y="1434567"/>
              <a:ext cx="31796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Характеристическое уравнение: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+16=0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5158252-76AE-464F-AC04-5E6356926F24}"/>
                </a:ext>
              </a:extLst>
            </xdr:cNvPr>
            <xdr:cNvSpPr txBox="1"/>
          </xdr:nvSpPr>
          <xdr:spPr>
            <a:xfrm>
              <a:off x="166109" y="1434567"/>
              <a:ext cx="31796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Характеристическое уравнение:</a:t>
              </a:r>
              <a:r>
                <a:rPr lang="en-US" sz="1100" b="0" i="0">
                  <a:latin typeface="Cambria Math" panose="02040503050406030204" pitchFamily="18" charset="0"/>
                </a:rPr>
                <a:t>𝑝^2+5𝑝+16=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23584</xdr:colOff>
      <xdr:row>10</xdr:row>
      <xdr:rowOff>64406</xdr:rowOff>
    </xdr:from>
    <xdr:ext cx="2192843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186870" y="2259692"/>
              <a:ext cx="2192843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−5±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39</m:t>
                            </m:r>
                          </m:e>
                        </m:ra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2∗1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=−2,5±3,1225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A4F49F2-D7DB-C74F-A568-FE956E38DD20}"/>
                </a:ext>
              </a:extLst>
            </xdr:cNvPr>
            <xdr:cNvSpPr txBox="1"/>
          </xdr:nvSpPr>
          <xdr:spPr>
            <a:xfrm>
              <a:off x="186870" y="2259692"/>
              <a:ext cx="2192843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𝑝_1,2=(−5±𝑖√39)/(2∗1)=−2,5±3,1225𝑖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9</xdr:row>
      <xdr:rowOff>28122</xdr:rowOff>
    </xdr:from>
    <xdr:ext cx="164814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186871" y="2023836"/>
              <a:ext cx="164814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−4∗1∗16=−39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A50BCBD-B4DD-7D44-8571-4D2A99FAC689}"/>
                </a:ext>
              </a:extLst>
            </xdr:cNvPr>
            <xdr:cNvSpPr txBox="1"/>
          </xdr:nvSpPr>
          <xdr:spPr>
            <a:xfrm>
              <a:off x="186871" y="2023836"/>
              <a:ext cx="164814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𝐷=5^2−4∗1∗16=−39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12</xdr:row>
      <xdr:rowOff>191406</xdr:rowOff>
    </xdr:from>
    <xdr:ext cx="7868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186871" y="2785835"/>
              <a:ext cx="786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=−2,5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BCB389E-C885-9B45-9DD2-20521EF95905}"/>
                </a:ext>
              </a:extLst>
            </xdr:cNvPr>
            <xdr:cNvSpPr txBox="1"/>
          </xdr:nvSpPr>
          <xdr:spPr>
            <a:xfrm>
              <a:off x="186871" y="2785835"/>
              <a:ext cx="786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𝑝_𝑚𝑖𝑛=−2,5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23584</xdr:colOff>
      <xdr:row>14</xdr:row>
      <xdr:rowOff>118836</xdr:rowOff>
    </xdr:from>
    <xdr:ext cx="2931700" cy="346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 txBox="1"/>
          </xdr:nvSpPr>
          <xdr:spPr>
            <a:xfrm>
              <a:off x="187244" y="2959970"/>
              <a:ext cx="2931700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Постоянная затухания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2,5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3AACD1-378E-804F-83E7-BC41CA16F07A}"/>
                </a:ext>
              </a:extLst>
            </xdr:cNvPr>
            <xdr:cNvSpPr txBox="1"/>
          </xdr:nvSpPr>
          <xdr:spPr>
            <a:xfrm>
              <a:off x="187244" y="2959970"/>
              <a:ext cx="2931700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Постоянная затухания</a:t>
              </a:r>
              <a:r>
                <a:rPr lang="en-US" sz="1100" b="0" i="0">
                  <a:latin typeface="Cambria Math" panose="02040503050406030204" pitchFamily="18" charset="0"/>
                </a:rPr>
                <a:t>: </a:t>
              </a:r>
              <a:r>
                <a:rPr lang="en-US" sz="1100" i="0">
                  <a:latin typeface="Cambria Math" panose="02040503050406030204" pitchFamily="18" charset="0"/>
                </a:rPr>
                <a:t>𝜏</a:t>
              </a:r>
              <a:r>
                <a:rPr lang="en-US" sz="1100" b="0" i="0">
                  <a:latin typeface="Cambria Math" panose="02040503050406030204" pitchFamily="18" charset="0"/>
                </a:rPr>
                <a:t>=1/(|𝑝_𝑚𝑖𝑛 |)=1/2,5=0,4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17</xdr:row>
      <xdr:rowOff>19050</xdr:rowOff>
    </xdr:from>
    <xdr:ext cx="39013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187245" y="3671937"/>
              <a:ext cx="39013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Время переходного процесса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3∗0,4;4∗0,4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=[1,2;1,6]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B4C18E8-9BC3-FE49-A9A3-256A31EDB1FB}"/>
                </a:ext>
              </a:extLst>
            </xdr:cNvPr>
            <xdr:cNvSpPr txBox="1"/>
          </xdr:nvSpPr>
          <xdr:spPr>
            <a:xfrm>
              <a:off x="187245" y="3671937"/>
              <a:ext cx="39013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Время переходного процесса</a:t>
              </a:r>
              <a:r>
                <a:rPr lang="en-US" sz="1100" b="0" i="0">
                  <a:latin typeface="Cambria Math" panose="02040503050406030204" pitchFamily="18" charset="0"/>
                </a:rPr>
                <a:t>: 𝑇=[3∗0,4;4∗0,4]=[1,2;1,6]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35088</xdr:colOff>
      <xdr:row>19</xdr:row>
      <xdr:rowOff>20172</xdr:rowOff>
    </xdr:from>
    <xdr:ext cx="4616264" cy="542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 txBox="1"/>
          </xdr:nvSpPr>
          <xdr:spPr>
            <a:xfrm>
              <a:off x="198748" y="3875997"/>
              <a:ext cx="4616264" cy="542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1">
                  <a:latin typeface="Cambria Math" panose="02040503050406030204" pitchFamily="18" charset="0"/>
                </a:rPr>
                <a:t>Преобразование в систему дифференциальных уравнений 1-го порядка</a:t>
              </a:r>
              <a:endParaRPr lang="en-US" sz="110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=5</m:t>
                            </m:r>
                          </m:e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=−5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−16 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+18,  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13D2F9B-911F-7841-9F3A-B849B6921239}"/>
                </a:ext>
              </a:extLst>
            </xdr:cNvPr>
            <xdr:cNvSpPr txBox="1"/>
          </xdr:nvSpPr>
          <xdr:spPr>
            <a:xfrm>
              <a:off x="198748" y="3875997"/>
              <a:ext cx="4616264" cy="542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1">
                  <a:latin typeface="Cambria Math" panose="02040503050406030204" pitchFamily="18" charset="0"/>
                </a:rPr>
                <a:t>Преобразование в систему дифференциальных уравнений 1-го порядка</a:t>
              </a:r>
              <a:endParaRPr lang="en-US" sz="1100" i="1">
                <a:latin typeface="Cambria Math" panose="02040503050406030204" pitchFamily="18" charset="0"/>
              </a:endParaRPr>
            </a:p>
            <a:p>
              <a:pPr/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𝑦^′ (𝑡)=𝑧,  𝑦(0)=5@𝑧^′ (𝑡)=−5𝑧(𝑡)−16 ∗𝑦(𝑡)+18,  𝑧(0)=𝑦^′ (0)=10)┤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30506</xdr:colOff>
      <xdr:row>22</xdr:row>
      <xdr:rowOff>135249</xdr:rowOff>
    </xdr:from>
    <xdr:ext cx="147354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94166" y="4599888"/>
              <a:ext cx="147354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1,6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=0,008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6FDAD4-7341-1D44-9B46-5FB70DBFA8C8}"/>
                </a:ext>
              </a:extLst>
            </xdr:cNvPr>
            <xdr:cNvSpPr txBox="1"/>
          </xdr:nvSpPr>
          <xdr:spPr>
            <a:xfrm>
              <a:off x="194166" y="4599888"/>
              <a:ext cx="147354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ℎ=𝑇/200=1,6/200=0,008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800656</xdr:colOff>
      <xdr:row>5</xdr:row>
      <xdr:rowOff>164250</xdr:rowOff>
    </xdr:from>
    <xdr:ext cx="2646237" cy="95346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5149026" y="1158163"/>
          <a:ext cx="2646237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 = 0.008;</a:t>
          </a:r>
        </a:p>
        <a:p>
          <a:r>
            <a:rPr lang="en-US" sz="1100"/>
            <a:t>xMin = 1.4;</a:t>
          </a:r>
          <a:r>
            <a:rPr lang="en-US" sz="1100" baseline="0"/>
            <a:t> </a:t>
          </a:r>
          <a:r>
            <a:rPr lang="en-US" sz="1100"/>
            <a:t>xMax </a:t>
          </a:r>
          <a:r>
            <a:rPr lang="en-US" sz="1100" baseline="0"/>
            <a:t>= 1.6;</a:t>
          </a:r>
        </a:p>
        <a:p>
          <a:r>
            <a:rPr lang="en-US" sz="1100" baseline="0"/>
            <a:t>y0 = 5; dy0 = 10;</a:t>
          </a:r>
        </a:p>
        <a:p>
          <a:r>
            <a:rPr lang="en-US" sz="1100" baseline="0"/>
            <a:t>[x, y] = ode45('func', [0:h:xMax], [y0, dy0]);</a:t>
          </a:r>
        </a:p>
        <a:p>
          <a:r>
            <a:rPr lang="en-US" sz="1100" baseline="0"/>
            <a:t>plot(x, y), grid on</a:t>
          </a:r>
          <a:endParaRPr lang="en-US" sz="1100"/>
        </a:p>
      </xdr:txBody>
    </xdr:sp>
    <xdr:clientData/>
  </xdr:oneCellAnchor>
  <xdr:oneCellAnchor>
    <xdr:from>
      <xdr:col>6</xdr:col>
      <xdr:colOff>803635</xdr:colOff>
      <xdr:row>0</xdr:row>
      <xdr:rowOff>177342</xdr:rowOff>
    </xdr:from>
    <xdr:ext cx="2268057" cy="60901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156560" y="177342"/>
          <a:ext cx="2268057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func.m</a:t>
          </a:r>
        </a:p>
        <a:p>
          <a:r>
            <a:rPr lang="en-US" sz="1100"/>
            <a:t>function</a:t>
          </a:r>
          <a:r>
            <a:rPr lang="en-US" sz="1100" baseline="0"/>
            <a:t> y = func(t, x)</a:t>
          </a:r>
        </a:p>
        <a:p>
          <a:r>
            <a:rPr lang="en-US" sz="1100" baseline="0"/>
            <a:t>    y = [x(2); -5 * x(2) - 16 * x(1) + 18];</a:t>
          </a:r>
        </a:p>
      </xdr:txBody>
    </xdr:sp>
    <xdr:clientData/>
  </xdr:oneCellAnchor>
  <xdr:twoCellAnchor editAs="oneCell">
    <xdr:from>
      <xdr:col>7</xdr:col>
      <xdr:colOff>27988</xdr:colOff>
      <xdr:row>13</xdr:row>
      <xdr:rowOff>27989</xdr:rowOff>
    </xdr:from>
    <xdr:to>
      <xdr:col>12</xdr:col>
      <xdr:colOff>442898</xdr:colOff>
      <xdr:row>32</xdr:row>
      <xdr:rowOff>36060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2901" y="2612163"/>
          <a:ext cx="4597627" cy="37849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30956</xdr:colOff>
      <xdr:row>1</xdr:row>
      <xdr:rowOff>15082</xdr:rowOff>
    </xdr:from>
    <xdr:ext cx="19945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856456" y="221457"/>
              <a:ext cx="1994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Начальные условия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=[1 1]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86E540-A7C5-7044-98F5-B4C8473CF5C2}"/>
                </a:ext>
              </a:extLst>
            </xdr:cNvPr>
            <xdr:cNvSpPr txBox="1"/>
          </xdr:nvSpPr>
          <xdr:spPr>
            <a:xfrm>
              <a:off x="856456" y="221457"/>
              <a:ext cx="1994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Начальные условия</a:t>
              </a:r>
              <a:r>
                <a:rPr lang="en-US" sz="1100" b="0" i="0">
                  <a:latin typeface="Cambria Math" panose="02040503050406030204" pitchFamily="18" charset="0"/>
                </a:rPr>
                <a:t>: 𝑥_0=[1 1]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16668</xdr:colOff>
      <xdr:row>2</xdr:row>
      <xdr:rowOff>180182</xdr:rowOff>
    </xdr:from>
    <xdr:ext cx="2026580" cy="2037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169068" y="465932"/>
              <a:ext cx="2026580" cy="2037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+5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−80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F336777-1E1B-3D47-A04B-54F5CC225DA3}"/>
                </a:ext>
              </a:extLst>
            </xdr:cNvPr>
            <xdr:cNvSpPr txBox="1"/>
          </xdr:nvSpPr>
          <xdr:spPr>
            <a:xfrm>
              <a:off x="169068" y="465932"/>
              <a:ext cx="2026580" cy="2037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𝑓(𝑥_1,𝑥_2 )=𝑒^(𝑥_1^2+5𝑥_2^2 )+𝑥_1^2−80𝑥_2^2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40481</xdr:colOff>
      <xdr:row>4</xdr:row>
      <xdr:rowOff>196057</xdr:rowOff>
    </xdr:from>
    <xdr:ext cx="824328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192881" y="881857"/>
              <a:ext cx="824328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12436E4-C481-2848-AEAC-738D1C109659}"/>
                </a:ext>
              </a:extLst>
            </xdr:cNvPr>
            <xdr:cNvSpPr txBox="1"/>
          </xdr:nvSpPr>
          <xdr:spPr>
            <a:xfrm>
              <a:off x="192881" y="881857"/>
              <a:ext cx="824328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𝑥_1+2𝑥_2^2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29368</xdr:colOff>
      <xdr:row>7</xdr:row>
      <xdr:rowOff>3968</xdr:rowOff>
    </xdr:from>
    <xdr:ext cx="1140312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181768" y="1289843"/>
              <a:ext cx="1140312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−4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BA5DF46-3B0D-3646-81BC-277034516704}"/>
                </a:ext>
              </a:extLst>
            </xdr:cNvPr>
            <xdr:cNvSpPr txBox="1"/>
          </xdr:nvSpPr>
          <xdr:spPr>
            <a:xfrm>
              <a:off x="181768" y="1289843"/>
              <a:ext cx="1140312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𝑥_1^2+𝑥_2^2−4𝑥_1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21431</xdr:colOff>
      <xdr:row>8</xdr:row>
      <xdr:rowOff>192881</xdr:rowOff>
    </xdr:from>
    <xdr:ext cx="1369349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 txBox="1"/>
          </xdr:nvSpPr>
          <xdr:spPr>
            <a:xfrm>
              <a:off x="173831" y="1678781"/>
              <a:ext cx="1369349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64CA87C-2396-4A42-941F-6949BCA61034}"/>
                </a:ext>
              </a:extLst>
            </xdr:cNvPr>
            <xdr:cNvSpPr txBox="1"/>
          </xdr:nvSpPr>
          <xdr:spPr>
            <a:xfrm>
              <a:off x="173831" y="1678781"/>
              <a:ext cx="1369349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𝑥_1^2+𝑥_2^2−𝑥_1−𝑥_2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788670</xdr:colOff>
      <xdr:row>0</xdr:row>
      <xdr:rowOff>68580</xdr:rowOff>
    </xdr:from>
    <xdr:ext cx="3478003" cy="60901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2617470" y="68580"/>
          <a:ext cx="347800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func.m</a:t>
          </a:r>
        </a:p>
        <a:p>
          <a:r>
            <a:rPr lang="en-US" sz="1100"/>
            <a:t>function y = func(x)</a:t>
          </a:r>
        </a:p>
        <a:p>
          <a:r>
            <a:rPr lang="en-US" sz="1100"/>
            <a:t>    y = exp((x(1)^2) + 5 * (x(2)^2)) + (x(1)^2) - 80 * (x(2)^2);</a:t>
          </a:r>
        </a:p>
      </xdr:txBody>
    </xdr:sp>
    <xdr:clientData/>
  </xdr:oneCellAnchor>
  <xdr:oneCellAnchor>
    <xdr:from>
      <xdr:col>3</xdr:col>
      <xdr:colOff>788670</xdr:colOff>
      <xdr:row>4</xdr:row>
      <xdr:rowOff>179070</xdr:rowOff>
    </xdr:from>
    <xdr:ext cx="2382447" cy="112569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2617470" y="872490"/>
          <a:ext cx="2382447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mycon.m</a:t>
          </a:r>
        </a:p>
        <a:p>
          <a:r>
            <a:rPr lang="en-US" sz="1100"/>
            <a:t>function [g, ce] = mycon(x)</a:t>
          </a:r>
        </a:p>
        <a:p>
          <a:r>
            <a:rPr lang="en-US" sz="1100"/>
            <a:t>    g(1) = x(1) + 2 * (x(2)^2) - 1;</a:t>
          </a:r>
        </a:p>
        <a:p>
          <a:r>
            <a:rPr lang="en-US" sz="1100"/>
            <a:t>    g(2) = (x(1)^2) + (x(2)^2) - 4 * x(1);</a:t>
          </a:r>
        </a:p>
        <a:p>
          <a:r>
            <a:rPr lang="en-US" sz="1100"/>
            <a:t>    g(3) = (x(1)^2) + (x(2)^2) - x(1) - x(2);</a:t>
          </a:r>
        </a:p>
        <a:p>
          <a:r>
            <a:rPr lang="en-US" sz="1100"/>
            <a:t>    ce=[];</a:t>
          </a:r>
        </a:p>
      </xdr:txBody>
    </xdr:sp>
    <xdr:clientData/>
  </xdr:oneCellAnchor>
  <xdr:oneCellAnchor>
    <xdr:from>
      <xdr:col>3</xdr:col>
      <xdr:colOff>826770</xdr:colOff>
      <xdr:row>11</xdr:row>
      <xdr:rowOff>171450</xdr:rowOff>
    </xdr:from>
    <xdr:ext cx="2884379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2655570" y="2278380"/>
          <a:ext cx="288437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x0 = [1 1];</a:t>
          </a:r>
        </a:p>
        <a:p>
          <a:r>
            <a:rPr lang="en-US" sz="1100"/>
            <a:t>x = fmincon('func', x0, [], [], [], [], [], [], 'mycon')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34596</xdr:colOff>
      <xdr:row>2</xdr:row>
      <xdr:rowOff>12897</xdr:rowOff>
    </xdr:from>
    <xdr:ext cx="1792221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SpPr txBox="1"/>
          </xdr:nvSpPr>
          <xdr:spPr>
            <a:xfrm>
              <a:off x="860096" y="425647"/>
              <a:ext cx="1792221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D7E605F-EE9B-194A-8346-B516D67899D5}"/>
                </a:ext>
              </a:extLst>
            </xdr:cNvPr>
            <xdr:cNvSpPr txBox="1"/>
          </xdr:nvSpPr>
          <xdr:spPr>
            <a:xfrm>
              <a:off x="860096" y="425647"/>
              <a:ext cx="1792221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𝑥^′=𝑎_1−𝑎_2∗𝑥∗𝑦@𝑦^′=𝑏_1−𝑏_2∗𝑦−𝑏_3∗𝑥∗𝑦)┤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87200</xdr:colOff>
      <xdr:row>5</xdr:row>
      <xdr:rowOff>20412</xdr:rowOff>
    </xdr:from>
    <xdr:ext cx="33207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SpPr txBox="1"/>
          </xdr:nvSpPr>
          <xdr:spPr>
            <a:xfrm>
              <a:off x="912700" y="1052287"/>
              <a:ext cx="3320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=0,3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=0,1;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=0,52;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=0,18;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=0,1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SpPr txBox="1"/>
          </xdr:nvSpPr>
          <xdr:spPr>
            <a:xfrm>
              <a:off x="912700" y="1052287"/>
              <a:ext cx="3320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𝑎_1=0,3;  𝑎_2=0,1;  𝑏_1=0,52;  𝑏_2=0,18;  𝑏_3=0,1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</xdr:col>
      <xdr:colOff>94714</xdr:colOff>
      <xdr:row>6</xdr:row>
      <xdr:rowOff>35442</xdr:rowOff>
    </xdr:from>
    <xdr:ext cx="20956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SpPr txBox="1"/>
          </xdr:nvSpPr>
          <xdr:spPr>
            <a:xfrm>
              <a:off x="920214" y="1273692"/>
              <a:ext cx="2095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=1; 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=0,5; 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=[0;75]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4CF26A-E217-9744-AEF6-446D8F4B8E89}"/>
                </a:ext>
              </a:extLst>
            </xdr:cNvPr>
            <xdr:cNvSpPr txBox="1"/>
          </xdr:nvSpPr>
          <xdr:spPr>
            <a:xfrm>
              <a:off x="920214" y="1273692"/>
              <a:ext cx="2095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𝑥(0)=1;  𝑦(0)=0,5;  𝑡=[0;75]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103109</xdr:colOff>
      <xdr:row>9</xdr:row>
      <xdr:rowOff>104804</xdr:rowOff>
    </xdr:from>
    <xdr:ext cx="2096600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SpPr txBox="1"/>
          </xdr:nvSpPr>
          <xdr:spPr>
            <a:xfrm>
              <a:off x="253504" y="1804265"/>
              <a:ext cx="2096600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0,3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0,1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0,52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0,18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−0,1∗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SpPr txBox="1"/>
          </xdr:nvSpPr>
          <xdr:spPr>
            <a:xfrm>
              <a:off x="253504" y="1804265"/>
              <a:ext cx="2096600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𝑥^′=</a:t>
              </a:r>
              <a:r>
                <a:rPr lang="ru-RU" sz="1100" b="0" i="0">
                  <a:latin typeface="Cambria Math" panose="02040503050406030204" pitchFamily="18" charset="0"/>
                </a:rPr>
                <a:t>0,3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ru-RU" sz="1100" b="0" i="0">
                  <a:latin typeface="Cambria Math" panose="02040503050406030204" pitchFamily="18" charset="0"/>
                </a:rPr>
                <a:t>0,1</a:t>
              </a:r>
              <a:r>
                <a:rPr lang="en-US" sz="1100" b="0" i="0">
                  <a:latin typeface="Cambria Math" panose="02040503050406030204" pitchFamily="18" charset="0"/>
                </a:rPr>
                <a:t>∗𝑥∗𝑦@𝑦^′=</a:t>
              </a:r>
              <a:r>
                <a:rPr lang="ru-RU" sz="1100" b="0" i="0">
                  <a:latin typeface="Cambria Math" panose="02040503050406030204" pitchFamily="18" charset="0"/>
                </a:rPr>
                <a:t>0,52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ru-RU" sz="1100" b="0" i="0">
                  <a:latin typeface="Cambria Math" panose="02040503050406030204" pitchFamily="18" charset="0"/>
                </a:rPr>
                <a:t>0,18</a:t>
              </a:r>
              <a:r>
                <a:rPr lang="en-US" sz="1100" b="0" i="0">
                  <a:latin typeface="Cambria Math" panose="02040503050406030204" pitchFamily="18" charset="0"/>
                </a:rPr>
                <a:t>∗𝑦−0,1∗𝑥∗𝑦)┤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145381</xdr:colOff>
      <xdr:row>12</xdr:row>
      <xdr:rowOff>170448</xdr:rowOff>
    </xdr:from>
    <xdr:ext cx="3864648" cy="60901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145381" y="2471487"/>
          <a:ext cx="386464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price.m</a:t>
          </a:r>
        </a:p>
        <a:p>
          <a:r>
            <a:rPr lang="en-US" sz="1100"/>
            <a:t>function y = price(t, x)</a:t>
          </a:r>
        </a:p>
        <a:p>
          <a:r>
            <a:rPr lang="en-US" sz="1100"/>
            <a:t>    y = [0.3 - 0.1 * x(1) * x(2); 0.52 - 0.18 * x(2) - 0.1 * x(1) * x(2)];</a:t>
          </a:r>
        </a:p>
      </xdr:txBody>
    </xdr:sp>
    <xdr:clientData/>
  </xdr:oneCellAnchor>
  <xdr:oneCellAnchor>
    <xdr:from>
      <xdr:col>1</xdr:col>
      <xdr:colOff>17546</xdr:colOff>
      <xdr:row>18</xdr:row>
      <xdr:rowOff>6517</xdr:rowOff>
    </xdr:from>
    <xdr:ext cx="1812869" cy="112569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167284" y="3594683"/>
          <a:ext cx="1812869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 = [0 75];</a:t>
          </a:r>
        </a:p>
        <a:p>
          <a:r>
            <a:rPr lang="en-US" sz="1100"/>
            <a:t>xy0 = [1 0.5];</a:t>
          </a:r>
        </a:p>
        <a:p>
          <a:r>
            <a:rPr lang="en-US" sz="1100"/>
            <a:t>[t, x] = ode23('price', T, xy0);</a:t>
          </a:r>
        </a:p>
        <a:p>
          <a:r>
            <a:rPr lang="en-US" sz="1100"/>
            <a:t>plot(t,x), grid on;</a:t>
          </a:r>
        </a:p>
        <a:p>
          <a:r>
            <a:rPr lang="en-US" sz="1100"/>
            <a:t>figure(2);</a:t>
          </a:r>
        </a:p>
        <a:p>
          <a:r>
            <a:rPr lang="en-US" sz="1100"/>
            <a:t>comet(x(:,1),x(:,2));</a:t>
          </a:r>
        </a:p>
      </xdr:txBody>
    </xdr:sp>
    <xdr:clientData/>
  </xdr:oneCellAnchor>
  <xdr:twoCellAnchor editAs="oneCell">
    <xdr:from>
      <xdr:col>6</xdr:col>
      <xdr:colOff>30603</xdr:colOff>
      <xdr:row>10</xdr:row>
      <xdr:rowOff>30603</xdr:rowOff>
    </xdr:from>
    <xdr:to>
      <xdr:col>10</xdr:col>
      <xdr:colOff>826265</xdr:colOff>
      <xdr:row>26</xdr:row>
      <xdr:rowOff>129292</xdr:rowOff>
    </xdr:to>
    <xdr:pic>
      <xdr:nvPicPr>
        <xdr:cNvPr id="10" name="Picture 9" descr="https://media.discordapp.net/attachments/410000613972246531/528210324017512459/unknown.png">
          <a:extLst>
            <a:ext uri="{FF2B5EF4-FFF2-40B4-BE49-F238E27FC236}">
              <a16:creationId xmlns:a16="http://schemas.microsoft.com/office/drawing/2014/main" id="{C7134287-9358-B248-9C0C-0FE56B132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1446" y="1927952"/>
          <a:ext cx="4161927" cy="3281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45903</xdr:colOff>
      <xdr:row>10</xdr:row>
      <xdr:rowOff>30604</xdr:rowOff>
    </xdr:from>
    <xdr:to>
      <xdr:col>16</xdr:col>
      <xdr:colOff>96402</xdr:colOff>
      <xdr:row>26</xdr:row>
      <xdr:rowOff>122411</xdr:rowOff>
    </xdr:to>
    <xdr:pic>
      <xdr:nvPicPr>
        <xdr:cNvPr id="11" name="Picture 10" descr="https://cdn.discordapp.com/attachments/410000613972246531/528210358603743235/unknown.png">
          <a:extLst>
            <a:ext uri="{FF2B5EF4-FFF2-40B4-BE49-F238E27FC236}">
              <a16:creationId xmlns:a16="http://schemas.microsoft.com/office/drawing/2014/main" id="{3DBC26B2-7A9B-9445-B5DD-67BE6330E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4578" y="1927953"/>
          <a:ext cx="4258330" cy="3274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Normal="100" workbookViewId="0">
      <selection activeCell="E4" sqref="E4"/>
    </sheetView>
  </sheetViews>
  <sheetFormatPr baseColWidth="10" defaultColWidth="11" defaultRowHeight="16"/>
  <sheetData>
    <row r="1" spans="1:5">
      <c r="A1" t="s">
        <v>3</v>
      </c>
      <c r="B1">
        <v>1</v>
      </c>
    </row>
    <row r="2" spans="1:5">
      <c r="A2" t="s">
        <v>2</v>
      </c>
      <c r="B2">
        <v>4</v>
      </c>
    </row>
    <row r="3" spans="1:5">
      <c r="A3" t="s">
        <v>4</v>
      </c>
      <c r="B3">
        <v>5</v>
      </c>
      <c r="D3" t="s">
        <v>0</v>
      </c>
      <c r="E3">
        <f>ABS(3*(B2+B1)+B3-B4)</f>
        <v>18</v>
      </c>
    </row>
    <row r="4" spans="1:5">
      <c r="A4" t="s">
        <v>5</v>
      </c>
      <c r="B4">
        <v>2</v>
      </c>
      <c r="D4" t="s">
        <v>1</v>
      </c>
      <c r="E4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zoomScaleNormal="100" workbookViewId="0">
      <selection activeCell="G8" sqref="G8"/>
    </sheetView>
  </sheetViews>
  <sheetFormatPr baseColWidth="10" defaultColWidth="11" defaultRowHeight="16"/>
  <cols>
    <col min="1" max="1" width="2.6640625" bestFit="1" customWidth="1"/>
    <col min="6" max="6" width="10.83203125" customWidth="1"/>
    <col min="7" max="7" width="14.83203125" customWidth="1"/>
    <col min="8" max="8" width="26.1640625" bestFit="1" customWidth="1"/>
    <col min="9" max="9" width="12.1640625" bestFit="1" customWidth="1"/>
    <col min="13" max="13" width="24.6640625" bestFit="1" customWidth="1"/>
    <col min="14" max="14" width="43.6640625" bestFit="1" customWidth="1"/>
  </cols>
  <sheetData>
    <row r="1" spans="1:9">
      <c r="A1" s="6"/>
      <c r="B1" s="6" t="s">
        <v>0</v>
      </c>
      <c r="C1" s="6">
        <f>n!$E$3</f>
        <v>18</v>
      </c>
      <c r="D1" s="6" t="s">
        <v>1</v>
      </c>
      <c r="E1" s="6">
        <f>n!$E$4</f>
        <v>16</v>
      </c>
      <c r="F1" s="6"/>
      <c r="G1" s="6"/>
      <c r="H1" s="6"/>
      <c r="I1" s="6"/>
    </row>
    <row r="2" spans="1:9" ht="8" customHeight="1" thickBot="1">
      <c r="A2" s="6"/>
      <c r="B2" s="6"/>
      <c r="C2" s="6"/>
      <c r="D2" s="6"/>
      <c r="E2" s="6"/>
      <c r="F2" s="6"/>
      <c r="G2" s="6"/>
      <c r="H2" s="6"/>
      <c r="I2" s="6"/>
    </row>
    <row r="3" spans="1:9" s="1" customFormat="1" ht="19">
      <c r="A3" s="13" t="s">
        <v>6</v>
      </c>
      <c r="B3" s="14" t="s">
        <v>24</v>
      </c>
      <c r="C3" s="14" t="s">
        <v>25</v>
      </c>
      <c r="D3" s="15" t="s">
        <v>26</v>
      </c>
      <c r="E3" s="38" t="s">
        <v>27</v>
      </c>
      <c r="F3" s="24" t="s">
        <v>42</v>
      </c>
      <c r="G3" s="14" t="s">
        <v>43</v>
      </c>
      <c r="H3" s="25" t="s">
        <v>44</v>
      </c>
      <c r="I3" s="6"/>
    </row>
    <row r="4" spans="1:9">
      <c r="A4" s="17">
        <v>1</v>
      </c>
      <c r="B4" s="18">
        <f>C1+4</f>
        <v>22</v>
      </c>
      <c r="C4" s="18">
        <v>-3</v>
      </c>
      <c r="D4" s="12">
        <v>4</v>
      </c>
      <c r="E4" s="39">
        <v>3</v>
      </c>
      <c r="F4" s="41">
        <f>B4*ROUND($B$27,$G$8) + C4*ROUND($C$27,$G$8) + D4*ROUND($D$27,$G$8)</f>
        <v>2.9999899999999999</v>
      </c>
      <c r="G4" s="42">
        <f>ABS(E4-F4)</f>
        <v>1.0000000000065512E-5</v>
      </c>
      <c r="H4" s="43">
        <f>G4/E4</f>
        <v>3.3333333333551707E-6</v>
      </c>
      <c r="I4" s="6"/>
    </row>
    <row r="5" spans="1:9">
      <c r="A5" s="17">
        <v>2</v>
      </c>
      <c r="B5" s="18">
        <v>-3</v>
      </c>
      <c r="C5" s="18">
        <v>8</v>
      </c>
      <c r="D5" s="12">
        <v>1</v>
      </c>
      <c r="E5" s="39">
        <v>1</v>
      </c>
      <c r="F5" s="41">
        <f>B5*ROUND($B$27,$G$8) + C5*ROUND($C$27,$G$8) + D5*ROUND($D$27,$G$8)</f>
        <v>0.99999000000000027</v>
      </c>
      <c r="G5" s="42">
        <f>ABS(E5-F5)</f>
        <v>9.9999999997324451E-6</v>
      </c>
      <c r="H5" s="43">
        <f>G5/E5</f>
        <v>9.9999999997324451E-6</v>
      </c>
      <c r="I5" s="6"/>
    </row>
    <row r="6" spans="1:9" ht="17" thickBot="1">
      <c r="A6" s="20">
        <v>3</v>
      </c>
      <c r="B6" s="21">
        <v>0</v>
      </c>
      <c r="C6" s="21">
        <f>E1-10</f>
        <v>6</v>
      </c>
      <c r="D6" s="22">
        <f>E1</f>
        <v>16</v>
      </c>
      <c r="E6" s="40">
        <v>0</v>
      </c>
      <c r="F6" s="26">
        <f>B6*ROUND($B$27,$G$8) + C6*ROUND($C$27,$G$8) + D6*ROUND($D$27,$G$8)</f>
        <v>6.0000000000171028E-5</v>
      </c>
      <c r="G6" s="44">
        <f>ABS(E6-F6)</f>
        <v>6.0000000000171028E-5</v>
      </c>
      <c r="H6" s="45">
        <f>ABS(E6-F6)</f>
        <v>6.0000000000171028E-5</v>
      </c>
      <c r="I6" s="6"/>
    </row>
    <row r="7" spans="1:9">
      <c r="A7" s="6"/>
      <c r="B7" s="6"/>
      <c r="C7" s="6"/>
      <c r="D7" s="6"/>
      <c r="E7" s="6"/>
      <c r="F7" s="6"/>
      <c r="G7" s="6"/>
      <c r="H7" s="6"/>
      <c r="I7" s="6"/>
    </row>
    <row r="8" spans="1:9">
      <c r="A8" s="6"/>
      <c r="B8" s="48" t="s">
        <v>11</v>
      </c>
      <c r="C8" s="6"/>
      <c r="D8" s="6"/>
      <c r="E8" s="6"/>
      <c r="F8" s="49" t="s">
        <v>15</v>
      </c>
      <c r="G8" s="11">
        <v>5</v>
      </c>
      <c r="H8" s="6"/>
      <c r="I8" s="6"/>
    </row>
    <row r="9" spans="1:9">
      <c r="A9" s="6"/>
      <c r="B9" s="6"/>
      <c r="C9" s="6"/>
      <c r="D9" s="6"/>
      <c r="E9" s="6"/>
      <c r="G9" s="6"/>
      <c r="H9" s="6"/>
      <c r="I9" s="6"/>
    </row>
    <row r="10" spans="1:9" ht="17" thickBot="1">
      <c r="A10" s="6"/>
      <c r="B10" s="6"/>
      <c r="C10" s="6"/>
      <c r="D10" s="6"/>
      <c r="E10" s="6"/>
      <c r="F10" s="6"/>
      <c r="G10" s="6"/>
      <c r="H10" s="6"/>
      <c r="I10" s="6"/>
    </row>
    <row r="11" spans="1:9" ht="18">
      <c r="A11" s="13" t="s">
        <v>6</v>
      </c>
      <c r="B11" s="14" t="s">
        <v>24</v>
      </c>
      <c r="C11" s="14" t="s">
        <v>25</v>
      </c>
      <c r="D11" s="15" t="s">
        <v>26</v>
      </c>
      <c r="E11" s="16" t="s">
        <v>27</v>
      </c>
      <c r="F11" s="6"/>
      <c r="G11" s="6"/>
      <c r="H11" s="6"/>
      <c r="I11" s="6"/>
    </row>
    <row r="12" spans="1:9">
      <c r="A12" s="17">
        <v>1</v>
      </c>
      <c r="B12" s="18">
        <f>B4</f>
        <v>22</v>
      </c>
      <c r="C12" s="18">
        <f>C4</f>
        <v>-3</v>
      </c>
      <c r="D12" s="12">
        <f>D4</f>
        <v>4</v>
      </c>
      <c r="E12" s="19">
        <f>E4</f>
        <v>3</v>
      </c>
      <c r="F12" s="6"/>
      <c r="G12" s="6"/>
      <c r="H12" s="6"/>
      <c r="I12" s="6"/>
    </row>
    <row r="13" spans="1:9">
      <c r="A13" s="17" t="s">
        <v>8</v>
      </c>
      <c r="B13" s="18">
        <f>B5-(B4*($B$5/$B$4))</f>
        <v>0</v>
      </c>
      <c r="C13" s="18">
        <f t="shared" ref="C13:E13" si="0">C5-(C4*($B$5/$B$4))</f>
        <v>7.5909090909090908</v>
      </c>
      <c r="D13" s="12">
        <f t="shared" si="0"/>
        <v>1.5454545454545454</v>
      </c>
      <c r="E13" s="19">
        <f t="shared" si="0"/>
        <v>1.4090909090909092</v>
      </c>
      <c r="F13" s="6"/>
      <c r="G13" s="6"/>
      <c r="H13" s="6"/>
      <c r="I13" s="6"/>
    </row>
    <row r="14" spans="1:9" ht="17" thickBot="1">
      <c r="A14" s="20">
        <v>3</v>
      </c>
      <c r="B14" s="21">
        <f>B6</f>
        <v>0</v>
      </c>
      <c r="C14" s="21">
        <f>C6</f>
        <v>6</v>
      </c>
      <c r="D14" s="22">
        <f>D6</f>
        <v>16</v>
      </c>
      <c r="E14" s="23">
        <f>E6</f>
        <v>0</v>
      </c>
      <c r="F14" s="6"/>
      <c r="G14" s="6"/>
      <c r="H14" s="6"/>
      <c r="I14" s="6"/>
    </row>
    <row r="15" spans="1:9">
      <c r="A15" s="7"/>
      <c r="B15" s="6"/>
      <c r="C15" s="6"/>
      <c r="D15" s="6"/>
      <c r="E15" s="6"/>
      <c r="F15" s="6"/>
      <c r="G15" s="6"/>
      <c r="H15" s="6"/>
      <c r="I15" s="6"/>
    </row>
    <row r="16" spans="1:9">
      <c r="A16" s="6"/>
      <c r="B16" s="48" t="s">
        <v>12</v>
      </c>
      <c r="C16" s="6"/>
      <c r="D16" s="6"/>
      <c r="E16" s="6"/>
      <c r="F16" s="6"/>
      <c r="G16" s="6"/>
      <c r="H16" s="6"/>
      <c r="I16" s="6"/>
    </row>
    <row r="17" spans="1:14">
      <c r="A17" s="6"/>
      <c r="B17" s="6"/>
      <c r="C17" s="6"/>
      <c r="D17" s="6"/>
      <c r="E17" s="6"/>
      <c r="F17" s="6"/>
      <c r="G17" s="6"/>
      <c r="H17" s="6"/>
      <c r="I17" s="6"/>
    </row>
    <row r="18" spans="1:14" ht="17" thickBot="1">
      <c r="A18" s="6"/>
      <c r="B18" s="6"/>
      <c r="C18" s="6"/>
      <c r="D18" s="6"/>
      <c r="E18" s="6"/>
      <c r="F18" s="6"/>
      <c r="G18" s="6"/>
      <c r="H18" s="6"/>
      <c r="I18" s="6"/>
    </row>
    <row r="19" spans="1:14" ht="18">
      <c r="A19" s="13" t="s">
        <v>6</v>
      </c>
      <c r="B19" s="14" t="s">
        <v>24</v>
      </c>
      <c r="C19" s="14" t="s">
        <v>25</v>
      </c>
      <c r="D19" s="15" t="s">
        <v>26</v>
      </c>
      <c r="E19" s="16" t="s">
        <v>27</v>
      </c>
      <c r="F19" s="6"/>
      <c r="G19" s="6"/>
      <c r="H19" s="6"/>
      <c r="I19" s="6"/>
    </row>
    <row r="20" spans="1:14">
      <c r="A20" s="17">
        <v>1</v>
      </c>
      <c r="B20" s="18">
        <f>B12</f>
        <v>22</v>
      </c>
      <c r="C20" s="18">
        <f t="shared" ref="C20:E20" si="1">C12</f>
        <v>-3</v>
      </c>
      <c r="D20" s="12">
        <f t="shared" si="1"/>
        <v>4</v>
      </c>
      <c r="E20" s="19">
        <f t="shared" si="1"/>
        <v>3</v>
      </c>
      <c r="F20" s="6"/>
      <c r="G20" s="6"/>
      <c r="H20" s="6"/>
      <c r="I20" s="6"/>
    </row>
    <row r="21" spans="1:14">
      <c r="A21" s="17">
        <v>2</v>
      </c>
      <c r="B21" s="18">
        <f>B13</f>
        <v>0</v>
      </c>
      <c r="C21" s="18">
        <f t="shared" ref="C21:E21" si="2">C13</f>
        <v>7.5909090909090908</v>
      </c>
      <c r="D21" s="12">
        <f t="shared" si="2"/>
        <v>1.5454545454545454</v>
      </c>
      <c r="E21" s="19">
        <f t="shared" si="2"/>
        <v>1.4090909090909092</v>
      </c>
      <c r="F21" s="6"/>
      <c r="G21" s="6"/>
      <c r="H21" s="6"/>
      <c r="I21" s="6"/>
    </row>
    <row r="22" spans="1:14" ht="17" thickBot="1">
      <c r="A22" s="20" t="s">
        <v>7</v>
      </c>
      <c r="B22" s="21">
        <f>B14-(B13*($C$14/$C$13))</f>
        <v>0</v>
      </c>
      <c r="C22" s="21">
        <f t="shared" ref="C22" si="3">C14-(C13*($C$14/$C$13))</f>
        <v>0</v>
      </c>
      <c r="D22" s="22">
        <f>D14-(D13*($C$14/$C$13))</f>
        <v>14.778443113772456</v>
      </c>
      <c r="E22" s="23">
        <f>E14-(E13*($C$14/$C$13))</f>
        <v>-1.1137724550898205</v>
      </c>
      <c r="F22" s="6"/>
      <c r="G22" s="6"/>
      <c r="H22" s="6"/>
      <c r="I22" s="6"/>
    </row>
    <row r="23" spans="1:14">
      <c r="A23" s="6"/>
      <c r="B23" s="6"/>
      <c r="C23" s="6"/>
      <c r="D23" s="6"/>
      <c r="E23" s="6"/>
      <c r="F23" s="6"/>
      <c r="G23" s="6"/>
      <c r="H23" s="6"/>
      <c r="I23" s="6"/>
    </row>
    <row r="24" spans="1:14">
      <c r="A24" s="6"/>
      <c r="B24" s="48" t="s">
        <v>65</v>
      </c>
      <c r="C24" s="6"/>
      <c r="D24" s="6"/>
      <c r="E24" s="6"/>
      <c r="F24" s="6"/>
      <c r="G24" s="6"/>
      <c r="H24" s="6"/>
      <c r="I24" s="6"/>
      <c r="M24" s="4"/>
      <c r="N24" s="4"/>
    </row>
    <row r="25" spans="1:14" ht="17" thickBot="1">
      <c r="A25" s="6"/>
      <c r="B25" s="6"/>
      <c r="C25" s="6"/>
      <c r="D25" s="6"/>
      <c r="E25" s="6"/>
      <c r="F25" s="6"/>
      <c r="G25" s="6"/>
      <c r="H25" s="6"/>
      <c r="I25" s="6"/>
      <c r="M25" s="4"/>
      <c r="N25" s="4"/>
    </row>
    <row r="26" spans="1:14" ht="18">
      <c r="A26" s="6"/>
      <c r="B26" s="24" t="s">
        <v>28</v>
      </c>
      <c r="C26" s="14" t="s">
        <v>29</v>
      </c>
      <c r="D26" s="25" t="s">
        <v>30</v>
      </c>
      <c r="E26" s="6"/>
      <c r="F26" s="6"/>
      <c r="G26" s="6"/>
      <c r="H26" s="6"/>
      <c r="I26" s="6"/>
      <c r="M26" s="2"/>
      <c r="N26" s="3"/>
    </row>
    <row r="27" spans="1:14" ht="17" thickBot="1">
      <c r="A27" s="6"/>
      <c r="B27" s="26">
        <f>(E20 -  (D20 * D27) - (C20 * C27)) / B20</f>
        <v>0.17747163695299839</v>
      </c>
      <c r="C27" s="21">
        <f>(E21 - (D21 * D27) ) / C21</f>
        <v>0.20097244732576988</v>
      </c>
      <c r="D27" s="23">
        <f>E22 / D22</f>
        <v>-7.5364667747163702E-2</v>
      </c>
      <c r="E27" s="6"/>
      <c r="F27" s="6"/>
      <c r="G27" s="6"/>
      <c r="H27" s="6"/>
      <c r="I27" s="6"/>
      <c r="N27" s="5"/>
    </row>
    <row r="28" spans="1:14">
      <c r="A28" s="6"/>
      <c r="B28" s="6"/>
      <c r="C28" s="6"/>
      <c r="D28" s="6"/>
      <c r="E28" s="6"/>
      <c r="F28" s="6"/>
      <c r="G28" s="6"/>
      <c r="H28" s="6"/>
      <c r="I28" s="6"/>
    </row>
    <row r="29" spans="1:14">
      <c r="A29" s="6"/>
      <c r="D29" s="6"/>
      <c r="E29" s="6"/>
      <c r="F29" s="6"/>
      <c r="G29" s="6"/>
      <c r="H29" s="6"/>
      <c r="I29" s="6"/>
    </row>
    <row r="30" spans="1:14">
      <c r="A30" s="6"/>
      <c r="B30" s="6"/>
      <c r="C30" s="6"/>
      <c r="D30" s="6"/>
      <c r="E30" s="6"/>
      <c r="F30" s="6"/>
      <c r="G30" s="6"/>
      <c r="H30" s="6"/>
      <c r="I30" s="6"/>
      <c r="M30" s="3"/>
    </row>
    <row r="31" spans="1:14">
      <c r="A31" s="6"/>
      <c r="B31" s="6"/>
      <c r="C31" s="6"/>
      <c r="D31" s="6"/>
      <c r="E31" s="6"/>
      <c r="F31" s="6"/>
      <c r="G31" s="6"/>
      <c r="H31" s="6"/>
      <c r="I31" s="6"/>
    </row>
    <row r="32" spans="1:14">
      <c r="A32" s="6"/>
      <c r="B32" s="6"/>
      <c r="C32" s="6"/>
      <c r="D32" s="6"/>
      <c r="E32" s="6"/>
      <c r="F32" s="6"/>
      <c r="G32" s="6"/>
      <c r="H32" s="6"/>
      <c r="I32" s="6"/>
    </row>
    <row r="33" spans="1:9">
      <c r="A33" s="6"/>
      <c r="B33" s="6"/>
      <c r="C33" s="6"/>
      <c r="D33" s="6"/>
      <c r="E33" s="6"/>
      <c r="F33" s="6"/>
      <c r="G33" s="6"/>
      <c r="H33" s="6"/>
      <c r="I33" s="6"/>
    </row>
  </sheetData>
  <conditionalFormatting sqref="F4:F6">
    <cfRule type="colorScale" priority="1">
      <colorScale>
        <cfvo type="formula" val="$F$4&lt;&gt;$E$4"/>
        <cfvo type="formula" val="$F$4=$E$4"/>
        <color rgb="FFFF7128"/>
        <color rgb="FFFFEF9C"/>
      </colorScale>
    </cfRule>
  </conditionalFormatting>
  <pageMargins left="0.7" right="0.7" top="0.75" bottom="0.75" header="0.3" footer="0.3"/>
  <ignoredErrors>
    <ignoredError sqref="B13:E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"/>
  <sheetViews>
    <sheetView tabSelected="1" zoomScaleNormal="100" workbookViewId="0">
      <selection activeCell="J12" sqref="J12"/>
    </sheetView>
  </sheetViews>
  <sheetFormatPr baseColWidth="10" defaultColWidth="11" defaultRowHeight="16"/>
  <cols>
    <col min="1" max="1" width="2.1640625" bestFit="1" customWidth="1"/>
    <col min="8" max="8" width="6.83203125" customWidth="1"/>
    <col min="9" max="9" width="2" customWidth="1"/>
    <col min="15" max="15" width="6.83203125" customWidth="1"/>
    <col min="16" max="16" width="3.1640625" bestFit="1" customWidth="1"/>
    <col min="18" max="18" width="11.1640625" bestFit="1" customWidth="1"/>
  </cols>
  <sheetData>
    <row r="1" spans="1:22">
      <c r="B1" s="6" t="s">
        <v>0</v>
      </c>
      <c r="C1" s="6">
        <f>n!$E$3</f>
        <v>18</v>
      </c>
      <c r="D1" s="6" t="s">
        <v>1</v>
      </c>
      <c r="E1" s="6">
        <v>16</v>
      </c>
    </row>
    <row r="2" spans="1:22" ht="8" customHeight="1" thickBot="1"/>
    <row r="3" spans="1:22" ht="20">
      <c r="A3" s="13" t="s">
        <v>6</v>
      </c>
      <c r="B3" s="14" t="s">
        <v>10</v>
      </c>
      <c r="C3" s="25" t="s">
        <v>9</v>
      </c>
      <c r="I3" s="13" t="s">
        <v>6</v>
      </c>
      <c r="J3" s="14" t="s">
        <v>10</v>
      </c>
      <c r="K3" s="14" t="s">
        <v>9</v>
      </c>
      <c r="L3" s="14" t="s">
        <v>16</v>
      </c>
      <c r="M3" s="14" t="s">
        <v>32</v>
      </c>
      <c r="N3" s="25" t="s">
        <v>33</v>
      </c>
      <c r="P3" s="13" t="s">
        <v>6</v>
      </c>
      <c r="Q3" s="14" t="s">
        <v>34</v>
      </c>
      <c r="R3" s="14" t="s">
        <v>35</v>
      </c>
      <c r="S3" s="15" t="s">
        <v>36</v>
      </c>
      <c r="T3" s="16" t="s">
        <v>27</v>
      </c>
    </row>
    <row r="4" spans="1:22">
      <c r="A4" s="30">
        <v>0</v>
      </c>
      <c r="B4" s="31">
        <v>-1</v>
      </c>
      <c r="C4" s="32">
        <v>1</v>
      </c>
      <c r="I4" s="30">
        <v>0</v>
      </c>
      <c r="J4" s="31">
        <v>-1</v>
      </c>
      <c r="K4" s="31">
        <v>1</v>
      </c>
      <c r="L4" s="31">
        <f>(K5-K4) / ($J5-$J4)</f>
        <v>1</v>
      </c>
      <c r="M4" s="31">
        <f>(L5-L4) / ($J6-$J4)</f>
        <v>-0.31818181818181818</v>
      </c>
      <c r="N4" s="32">
        <f>(M5-M4) / ($J7-$J4)</f>
        <v>3.4838516746411481E-2</v>
      </c>
      <c r="P4" s="17">
        <v>1</v>
      </c>
      <c r="Q4" s="18">
        <v>4</v>
      </c>
      <c r="R4" s="18">
        <f>B4 + B5 + B6 + B7</f>
        <v>33</v>
      </c>
      <c r="S4" s="12">
        <f>(B4^2) + (B5^2) + (B6^2) + (B7^2)</f>
        <v>461</v>
      </c>
      <c r="T4" s="19">
        <f>C4 + C5 + C6 + C7</f>
        <v>18</v>
      </c>
    </row>
    <row r="5" spans="1:22">
      <c r="A5" s="30">
        <v>1</v>
      </c>
      <c r="B5" s="31">
        <f>C1</f>
        <v>18</v>
      </c>
      <c r="C5" s="32">
        <f>E1-5</f>
        <v>11</v>
      </c>
      <c r="I5" s="30">
        <v>1</v>
      </c>
      <c r="J5" s="31">
        <v>6</v>
      </c>
      <c r="K5" s="31">
        <v>8</v>
      </c>
      <c r="L5" s="31">
        <f>(K6-K5) / ($J6-$J5)</f>
        <v>-2.5</v>
      </c>
      <c r="M5" s="31">
        <f>(L6-L5) / ($J7-$J5)</f>
        <v>0.34375</v>
      </c>
      <c r="N5" s="32"/>
      <c r="P5" s="17">
        <v>2</v>
      </c>
      <c r="Q5" s="18">
        <f>B4 + B5 + B6 + B7</f>
        <v>33</v>
      </c>
      <c r="R5" s="18">
        <f>(B4^2) + (B5^2) + (B6^2) + (B7^2)</f>
        <v>461</v>
      </c>
      <c r="S5" s="12">
        <f>(B4^3) + (B5^3) + (B6^3) + (B7^3)</f>
        <v>7047</v>
      </c>
      <c r="T5" s="19">
        <f>(B4*C4) + (B5*C5) + (B6*C6) + (B7*C7)</f>
        <v>225</v>
      </c>
    </row>
    <row r="6" spans="1:22" ht="17" thickBot="1">
      <c r="A6" s="30">
        <v>2</v>
      </c>
      <c r="B6" s="31">
        <v>6</v>
      </c>
      <c r="C6" s="32">
        <v>8</v>
      </c>
      <c r="I6" s="30">
        <v>2</v>
      </c>
      <c r="J6" s="31">
        <v>10</v>
      </c>
      <c r="K6" s="31">
        <v>-2</v>
      </c>
      <c r="L6" s="31">
        <f>(K7-K6) / ($J7-$J6)</f>
        <v>1.625</v>
      </c>
      <c r="M6" s="31"/>
      <c r="N6" s="32"/>
      <c r="P6" s="20">
        <v>3</v>
      </c>
      <c r="Q6" s="21">
        <f>(B4^2) + (B5^2) + (B6^2) + (B7^2)</f>
        <v>461</v>
      </c>
      <c r="R6" s="21">
        <f>(B4^3) + (B5^3) + (B6^3) + (B7^3)</f>
        <v>7047</v>
      </c>
      <c r="S6" s="22">
        <f>(B4^4) + (B5^4) + (B6^4) + (B7^4)</f>
        <v>116273</v>
      </c>
      <c r="T6" s="23">
        <f>((B4^2)*C4) + ((B5^2)*C5) + ((B6^2)*C6) + ((B7^2)*C7)</f>
        <v>3653</v>
      </c>
    </row>
    <row r="7" spans="1:22" ht="17" thickBot="1">
      <c r="A7" s="33">
        <v>3</v>
      </c>
      <c r="B7" s="34">
        <v>10</v>
      </c>
      <c r="C7" s="35">
        <v>-2</v>
      </c>
      <c r="I7" s="33">
        <v>3</v>
      </c>
      <c r="J7" s="34">
        <v>18</v>
      </c>
      <c r="K7" s="34">
        <v>11</v>
      </c>
      <c r="L7" s="34"/>
      <c r="M7" s="34"/>
      <c r="N7" s="35"/>
    </row>
    <row r="9" spans="1:22">
      <c r="B9" s="48" t="s">
        <v>13</v>
      </c>
      <c r="J9" s="48" t="s">
        <v>14</v>
      </c>
      <c r="M9" s="8"/>
      <c r="N9" s="8"/>
      <c r="Q9" s="48" t="s">
        <v>81</v>
      </c>
    </row>
    <row r="10" spans="1:22" ht="17" thickBot="1"/>
    <row r="11" spans="1:22" ht="18">
      <c r="B11" s="13" t="s">
        <v>10</v>
      </c>
      <c r="C11" s="14" t="s">
        <v>31</v>
      </c>
      <c r="D11" s="14" t="s">
        <v>70</v>
      </c>
      <c r="E11" s="14" t="s">
        <v>71</v>
      </c>
      <c r="F11" s="14" t="s">
        <v>72</v>
      </c>
      <c r="G11" s="25" t="s">
        <v>73</v>
      </c>
      <c r="J11" s="27" t="s">
        <v>74</v>
      </c>
      <c r="P11" s="13" t="s">
        <v>6</v>
      </c>
      <c r="Q11" s="14" t="s">
        <v>34</v>
      </c>
      <c r="R11" s="14" t="s">
        <v>35</v>
      </c>
      <c r="S11" s="15" t="s">
        <v>36</v>
      </c>
      <c r="T11" s="16" t="s">
        <v>27</v>
      </c>
      <c r="V11" s="27" t="s">
        <v>75</v>
      </c>
    </row>
    <row r="12" spans="1:22">
      <c r="B12" s="36">
        <v>-1</v>
      </c>
      <c r="C12" s="31">
        <f>((233*B12^3)/6688) - ((5623*B12^2)/6688) + ((6895*B12)/1672) + 10031/1672</f>
        <v>1</v>
      </c>
      <c r="D12" s="64">
        <f>(($B12-$B$5) * ($B12-$B$6) * ($B12-$B$7)) / (($B$4-$B$5) * ($B$4-$B$6) * ($B$4-$B$7))</f>
        <v>1</v>
      </c>
      <c r="E12" s="31">
        <f>(($B12-$B$4) * ($B12-$B$6) * ($B12-$B$7)) / (($B$5-$B$4) * ($B$5-$B$6) * ($B$5-$B$7))</f>
        <v>0</v>
      </c>
      <c r="F12" s="31">
        <f t="shared" ref="F12:F13" si="0">(($B12-$B$4) * ($B12-$B$5) * ($B12-$B$7)) / (($B$6-$B$4) * ($B$6-$B$5) * ($B$6-$B$7))</f>
        <v>0</v>
      </c>
      <c r="G12" s="32">
        <f>(($B12-$B$4) * ($B12-$B$5) * ($B12-$B$6)) / (($B$7-$B$4) * ($B$7-$B$5) * ($B$7-$B$6))</f>
        <v>0</v>
      </c>
      <c r="J12" s="28">
        <f>$K$4 + ($L$4 * ($B12 - $J$4)) + ($M$4 * ($B12 - $J$4) * ($B12 - $J$5)) + ($N$4 * ($B12 - $J$4) * ($B12 - $J$5) * ($B12 - $J$6))</f>
        <v>1</v>
      </c>
      <c r="P12" s="17">
        <v>1</v>
      </c>
      <c r="Q12" s="18">
        <f>Q6</f>
        <v>461</v>
      </c>
      <c r="R12" s="18">
        <f>R6</f>
        <v>7047</v>
      </c>
      <c r="S12" s="12">
        <f>S6</f>
        <v>116273</v>
      </c>
      <c r="T12" s="19">
        <f>T6</f>
        <v>3653</v>
      </c>
      <c r="V12" s="28">
        <f t="shared" ref="V12:V31" si="1">$R$27 + ($S$27 * B12) + ($T$27 * (B12^2))</f>
        <v>2.3456555991634924</v>
      </c>
    </row>
    <row r="13" spans="1:22">
      <c r="B13" s="36">
        <v>0</v>
      </c>
      <c r="C13" s="31">
        <f>($C$4*D13) + ($C$5*E13) + ($C$6*F13) + ($C$7*G13)</f>
        <v>5.9994019138755981</v>
      </c>
      <c r="D13" s="31">
        <f>(($B13-$B$5) * ($B13-$B$6) * ($B13-$B$7)) / (($B$4-$B$5) * ($B$4-$B$6) * ($B$4-$B$7))</f>
        <v>0.73820915926179087</v>
      </c>
      <c r="E13" s="31">
        <f t="shared" ref="E13:E28" si="2">(($B13-$B$4) * ($B13-$B$6) * ($B13-$B$7)) / (($B$5-$B$4) * ($B$5-$B$6) * ($B$5-$B$7))</f>
        <v>3.2894736842105261E-2</v>
      </c>
      <c r="F13" s="31">
        <f t="shared" si="0"/>
        <v>0.5357142857142857</v>
      </c>
      <c r="G13" s="32">
        <f t="shared" ref="G13:G31" si="3">(($B13-$B$4) * ($B13-$B$5) * ($B13-$B$6)) / (($B$7-$B$4) * ($B$7-$B$5) * ($B$7-$B$6))</f>
        <v>-0.30681818181818182</v>
      </c>
      <c r="J13" s="28">
        <f t="shared" ref="J13:J30" si="4">$K$4 + ($L$4 * ($B13 - $J$4)) + ($M$4 * ($B13 - $J$4) * ($B13 - $J$5)) + ($N$4 * ($B13 - $J$4) * ($B13 - $J$5) * ($B13 - $J$6))</f>
        <v>5.9994019138755981</v>
      </c>
      <c r="P13" s="17" t="s">
        <v>8</v>
      </c>
      <c r="Q13" s="18">
        <f>Q5 - (Q6 * ($Q$5 / $Q6))</f>
        <v>0</v>
      </c>
      <c r="R13" s="18">
        <f>R5 - (R6 * ($Q$5 / $Q6))</f>
        <v>-43.449023861171383</v>
      </c>
      <c r="S13" s="12">
        <f>S5 - (S6 * ($Q$5 / $Q6))</f>
        <v>-1276.2299349240784</v>
      </c>
      <c r="T13" s="19">
        <f>T5 - (T6 * ($Q$5 / $Q6))</f>
        <v>-36.494577006507598</v>
      </c>
      <c r="V13" s="28">
        <f t="shared" si="1"/>
        <v>2.1024135560202835</v>
      </c>
    </row>
    <row r="14" spans="1:22" ht="17" thickBot="1">
      <c r="B14" s="36">
        <v>1</v>
      </c>
      <c r="C14" s="31">
        <f t="shared" ref="C14" si="5">($C$4*D14) + ($C$5*E14) + ($C$6*F14) + ($C$7*G14)</f>
        <v>9.3172846889952154</v>
      </c>
      <c r="D14" s="31">
        <f t="shared" ref="D14:D31" si="6">(($B14-$B$5) * ($B14-$B$6) * ($B14-$B$7)) / (($B$4-$B$5) * ($B$4-$B$6) * ($B$4-$B$7))</f>
        <v>0.52289815447710186</v>
      </c>
      <c r="E14" s="31">
        <f>(($B14-$B$4) * ($B14-$B$6) * ($B14-$B$7)) / (($B$5-$B$4) * ($B$5-$B$6) * ($B$5-$B$7))</f>
        <v>4.9342105263157895E-2</v>
      </c>
      <c r="F14" s="31">
        <f>(($B14-$B$4) * ($B14-$B$5) * ($B14-$B$7)) / (($B$6-$B$4) * ($B$6-$B$5) * ($B$6-$B$7))</f>
        <v>0.9107142857142857</v>
      </c>
      <c r="G14" s="32">
        <f t="shared" si="3"/>
        <v>-0.48295454545454547</v>
      </c>
      <c r="J14" s="28">
        <f>$K$4 + ($L$4 * ($B14 - $J$4)) + ($M$4 * ($B14 - $J$4) * ($B14 - $J$5)) + ($N$4 * ($B14 - $J$4) * ($B14 - $J$5) * ($B14 - $J$6))</f>
        <v>9.3172846889952154</v>
      </c>
      <c r="P14" s="20">
        <v>3</v>
      </c>
      <c r="Q14" s="21">
        <f>Q4</f>
        <v>4</v>
      </c>
      <c r="R14" s="21">
        <f>R4</f>
        <v>33</v>
      </c>
      <c r="S14" s="22">
        <f>S4</f>
        <v>461</v>
      </c>
      <c r="T14" s="23">
        <f>T4</f>
        <v>18</v>
      </c>
      <c r="V14" s="28">
        <f t="shared" si="1"/>
        <v>1.9304967485031665</v>
      </c>
    </row>
    <row r="15" spans="1:22" ht="17" thickBot="1">
      <c r="B15" s="36">
        <v>2</v>
      </c>
      <c r="C15" s="31">
        <f>($C$4*D15) + ($C$5*E15) + ($C$6*F15) + ($C$7*G15)</f>
        <v>11.162679425837322</v>
      </c>
      <c r="D15" s="31">
        <f t="shared" si="6"/>
        <v>0.3499658236500342</v>
      </c>
      <c r="E15" s="31">
        <f t="shared" si="2"/>
        <v>5.2631578947368418E-2</v>
      </c>
      <c r="F15" s="31">
        <f>(($B15-$B$4) * ($B15-$B$5) * ($B15-$B$7)) / (($B$6-$B$4) * ($B$6-$B$5) * ($B$6-$B$7))</f>
        <v>1.1428571428571428</v>
      </c>
      <c r="G15" s="32">
        <f t="shared" si="3"/>
        <v>-0.54545454545454541</v>
      </c>
      <c r="J15" s="28">
        <f t="shared" si="4"/>
        <v>11.162679425837322</v>
      </c>
      <c r="V15" s="28">
        <f t="shared" si="1"/>
        <v>1.8299051766121419</v>
      </c>
    </row>
    <row r="16" spans="1:22" ht="18">
      <c r="B16" s="36">
        <v>3</v>
      </c>
      <c r="C16" s="31">
        <f t="shared" ref="C16:C26" si="7">($C$4*D16) + ($C$5*E16) + ($C$6*F16) + ($C$7*G16)</f>
        <v>11.744617224880383</v>
      </c>
      <c r="D16" s="31">
        <f t="shared" si="6"/>
        <v>0.21531100478468901</v>
      </c>
      <c r="E16" s="31">
        <f t="shared" si="2"/>
        <v>4.6052631578947366E-2</v>
      </c>
      <c r="F16" s="31">
        <f t="shared" ref="F16:F28" si="8">(($B16-$B$4) * ($B16-$B$5) * ($B16-$B$7)) / (($B$6-$B$4) * ($B$6-$B$5) * ($B$6-$B$7))</f>
        <v>1.25</v>
      </c>
      <c r="G16" s="32">
        <f t="shared" si="3"/>
        <v>-0.51136363636363635</v>
      </c>
      <c r="J16" s="28">
        <f>$K$4 + ($L$4 * ($B16 - $J$4)) + ($M$4 * ($B16 - $J$4) * ($B16 - $J$5)) + ($N$4 * ($B16 - $J$4) * ($B16 - $J$5) * ($B16 - $J$6))</f>
        <v>11.744617224880383</v>
      </c>
      <c r="P16" s="13" t="s">
        <v>6</v>
      </c>
      <c r="Q16" s="14" t="s">
        <v>34</v>
      </c>
      <c r="R16" s="14" t="s">
        <v>35</v>
      </c>
      <c r="S16" s="15" t="s">
        <v>36</v>
      </c>
      <c r="T16" s="16" t="s">
        <v>27</v>
      </c>
      <c r="V16" s="28">
        <f t="shared" si="1"/>
        <v>1.8006388403472093</v>
      </c>
    </row>
    <row r="17" spans="2:22">
      <c r="B17" s="36">
        <v>4</v>
      </c>
      <c r="C17" s="31">
        <f>($C$4*D17) + ($C$5*E17) + ($C$6*F17) + ($C$7*G17)</f>
        <v>11.27212918660287</v>
      </c>
      <c r="D17" s="31">
        <f t="shared" si="6"/>
        <v>0.11483253588516747</v>
      </c>
      <c r="E17" s="31">
        <f t="shared" si="2"/>
        <v>3.2894736842105261E-2</v>
      </c>
      <c r="F17" s="31">
        <f t="shared" si="8"/>
        <v>1.25</v>
      </c>
      <c r="G17" s="32">
        <f t="shared" si="3"/>
        <v>-0.39772727272727271</v>
      </c>
      <c r="J17" s="28">
        <f>$K$4 + ($L$4 * ($B17 - $J$4)) + ($M$4 * ($B17 - $J$4) * ($B17 - $J$5)) + ($N$4 * ($B17 - $J$4) * ($B17 - $J$5) * ($B17 - $J$6))</f>
        <v>11.272129186602871</v>
      </c>
      <c r="P17" s="17">
        <v>1</v>
      </c>
      <c r="Q17" s="18">
        <f t="shared" ref="Q17:T18" si="9">Q12</f>
        <v>461</v>
      </c>
      <c r="R17" s="18">
        <f t="shared" si="9"/>
        <v>7047</v>
      </c>
      <c r="S17" s="12">
        <f t="shared" si="9"/>
        <v>116273</v>
      </c>
      <c r="T17" s="19">
        <f t="shared" si="9"/>
        <v>3653</v>
      </c>
      <c r="V17" s="28">
        <f t="shared" si="1"/>
        <v>1.842697739708369</v>
      </c>
    </row>
    <row r="18" spans="2:22">
      <c r="B18" s="36">
        <v>5</v>
      </c>
      <c r="C18" s="31">
        <f t="shared" si="7"/>
        <v>9.9542464114832541</v>
      </c>
      <c r="D18" s="31">
        <f t="shared" si="6"/>
        <v>4.4429254955570742E-2</v>
      </c>
      <c r="E18" s="31">
        <f t="shared" si="2"/>
        <v>1.6447368421052631E-2</v>
      </c>
      <c r="F18" s="31">
        <f t="shared" si="8"/>
        <v>1.1607142857142858</v>
      </c>
      <c r="G18" s="32">
        <f t="shared" si="3"/>
        <v>-0.22159090909090909</v>
      </c>
      <c r="J18" s="28">
        <f>$K$4 + ($L$4 * ($B18 - $J$4)) + ($M$4 * ($B18 - $J$4) * ($B18 - $J$5)) + ($N$4 * ($B18 - $J$4) * ($B18 - $J$5) * ($B18 - $J$6))</f>
        <v>9.9542464114832541</v>
      </c>
      <c r="P18" s="17">
        <v>2</v>
      </c>
      <c r="Q18" s="18">
        <f t="shared" si="9"/>
        <v>0</v>
      </c>
      <c r="R18" s="18">
        <f t="shared" si="9"/>
        <v>-43.449023861171383</v>
      </c>
      <c r="S18" s="12">
        <f t="shared" si="9"/>
        <v>-1276.2299349240784</v>
      </c>
      <c r="T18" s="19">
        <f t="shared" si="9"/>
        <v>-36.494577006507598</v>
      </c>
      <c r="V18" s="28">
        <f t="shared" si="1"/>
        <v>1.956081874695621</v>
      </c>
    </row>
    <row r="19" spans="2:22" ht="17" thickBot="1">
      <c r="B19" s="36">
        <v>6</v>
      </c>
      <c r="C19" s="31">
        <f t="shared" si="7"/>
        <v>8</v>
      </c>
      <c r="D19" s="31">
        <f t="shared" si="6"/>
        <v>0</v>
      </c>
      <c r="E19" s="31">
        <f t="shared" si="2"/>
        <v>0</v>
      </c>
      <c r="F19" s="64">
        <f t="shared" si="8"/>
        <v>1</v>
      </c>
      <c r="G19" s="32">
        <f t="shared" si="3"/>
        <v>0</v>
      </c>
      <c r="J19" s="28">
        <f>$K$4 + ($L$4 * ($B19 - $J$4)) + ($M$4 * ($B19 - $J$4) * ($B19 - $J$5)) + ($N$4 * ($B19 - $J$4) * ($B19 - $J$5) * ($B19 - $J$6))</f>
        <v>8</v>
      </c>
      <c r="P19" s="20" t="s">
        <v>7</v>
      </c>
      <c r="Q19" s="21">
        <f>Q14 - (Q12 * ($Q$14 / $Q$12))</f>
        <v>0</v>
      </c>
      <c r="R19" s="21">
        <f>R14 - (R12 * ($Q$14 / $Q$12))</f>
        <v>-28.14533622559653</v>
      </c>
      <c r="S19" s="22">
        <f>S14 - (S12 * ($Q$14 / $Q$12))</f>
        <v>-547.87635574837316</v>
      </c>
      <c r="T19" s="23">
        <f>T14 - (T12 * ($Q$14 / $Q$12))</f>
        <v>-13.696312364425165</v>
      </c>
      <c r="V19" s="28">
        <f t="shared" si="1"/>
        <v>2.1407912453089648</v>
      </c>
    </row>
    <row r="20" spans="2:22" ht="17" thickBot="1">
      <c r="B20" s="36">
        <v>7</v>
      </c>
      <c r="C20" s="31">
        <f t="shared" si="7"/>
        <v>5.6184210526315788</v>
      </c>
      <c r="D20" s="31">
        <f t="shared" si="6"/>
        <v>-2.2556390977443608E-2</v>
      </c>
      <c r="E20" s="31">
        <f t="shared" si="2"/>
        <v>-1.3157894736842105E-2</v>
      </c>
      <c r="F20" s="31">
        <f t="shared" si="8"/>
        <v>0.7857142857142857</v>
      </c>
      <c r="G20" s="32">
        <f t="shared" si="3"/>
        <v>0.25</v>
      </c>
      <c r="J20" s="28">
        <f t="shared" si="4"/>
        <v>5.6184210526315796</v>
      </c>
      <c r="V20" s="28">
        <f t="shared" si="1"/>
        <v>2.3968258515484013</v>
      </c>
    </row>
    <row r="21" spans="2:22" ht="18">
      <c r="B21" s="36">
        <v>8</v>
      </c>
      <c r="C21" s="31">
        <f t="shared" si="7"/>
        <v>3.0185406698564599</v>
      </c>
      <c r="D21" s="31">
        <f t="shared" si="6"/>
        <v>-2.7341079972658919E-2</v>
      </c>
      <c r="E21" s="31">
        <f t="shared" si="2"/>
        <v>-1.9736842105263157E-2</v>
      </c>
      <c r="F21" s="31">
        <f t="shared" si="8"/>
        <v>0.5357142857142857</v>
      </c>
      <c r="G21" s="32">
        <f t="shared" si="3"/>
        <v>0.51136363636363635</v>
      </c>
      <c r="J21" s="28">
        <f t="shared" si="4"/>
        <v>3.018540669856459</v>
      </c>
      <c r="P21" s="13" t="s">
        <v>6</v>
      </c>
      <c r="Q21" s="14" t="s">
        <v>34</v>
      </c>
      <c r="R21" s="14" t="s">
        <v>35</v>
      </c>
      <c r="S21" s="15" t="s">
        <v>36</v>
      </c>
      <c r="T21" s="16" t="s">
        <v>27</v>
      </c>
      <c r="V21" s="28">
        <f t="shared" si="1"/>
        <v>2.7241856934139292</v>
      </c>
    </row>
    <row r="22" spans="2:22">
      <c r="B22" s="36">
        <v>9</v>
      </c>
      <c r="C22" s="31">
        <f t="shared" si="7"/>
        <v>0.40938995215310992</v>
      </c>
      <c r="D22" s="31">
        <f t="shared" si="6"/>
        <v>-1.845522898154477E-2</v>
      </c>
      <c r="E22" s="31">
        <f t="shared" si="2"/>
        <v>-1.6447368421052631E-2</v>
      </c>
      <c r="F22" s="31">
        <f t="shared" si="8"/>
        <v>0.26785714285714285</v>
      </c>
      <c r="G22" s="32">
        <f t="shared" si="3"/>
        <v>0.76704545454545459</v>
      </c>
      <c r="J22" s="28">
        <f t="shared" si="4"/>
        <v>0.40938995215311058</v>
      </c>
      <c r="P22" s="17">
        <v>1</v>
      </c>
      <c r="Q22" s="18">
        <f t="shared" ref="Q22:T23" si="10">Q17</f>
        <v>461</v>
      </c>
      <c r="R22" s="18">
        <f t="shared" si="10"/>
        <v>7047</v>
      </c>
      <c r="S22" s="12">
        <f t="shared" si="10"/>
        <v>116273</v>
      </c>
      <c r="T22" s="19">
        <f t="shared" si="10"/>
        <v>3653</v>
      </c>
      <c r="V22" s="28">
        <f t="shared" si="1"/>
        <v>3.1228707709055499</v>
      </c>
    </row>
    <row r="23" spans="2:22">
      <c r="B23" s="36">
        <v>10</v>
      </c>
      <c r="C23" s="31">
        <f t="shared" si="7"/>
        <v>-2</v>
      </c>
      <c r="D23" s="31">
        <f t="shared" si="6"/>
        <v>0</v>
      </c>
      <c r="E23" s="31">
        <f t="shared" si="2"/>
        <v>0</v>
      </c>
      <c r="F23" s="31">
        <f t="shared" si="8"/>
        <v>0</v>
      </c>
      <c r="G23" s="65">
        <f t="shared" si="3"/>
        <v>1</v>
      </c>
      <c r="J23" s="28">
        <f t="shared" si="4"/>
        <v>-2</v>
      </c>
      <c r="P23" s="17">
        <v>2</v>
      </c>
      <c r="Q23" s="18">
        <f t="shared" si="10"/>
        <v>0</v>
      </c>
      <c r="R23" s="18">
        <f t="shared" si="10"/>
        <v>-43.449023861171383</v>
      </c>
      <c r="S23" s="12">
        <f t="shared" si="10"/>
        <v>-1276.2299349240784</v>
      </c>
      <c r="T23" s="19">
        <f t="shared" si="10"/>
        <v>-36.494577006507598</v>
      </c>
      <c r="V23" s="28">
        <f t="shared" si="1"/>
        <v>3.5928810840232628</v>
      </c>
    </row>
    <row r="24" spans="2:22" ht="17" thickBot="1">
      <c r="B24" s="36">
        <v>11</v>
      </c>
      <c r="C24" s="31">
        <f t="shared" si="7"/>
        <v>-4.0005980861244019</v>
      </c>
      <c r="D24" s="31">
        <f t="shared" si="6"/>
        <v>2.3923444976076555E-2</v>
      </c>
      <c r="E24" s="31">
        <f t="shared" si="2"/>
        <v>3.2894736842105261E-2</v>
      </c>
      <c r="F24" s="31">
        <f t="shared" si="8"/>
        <v>-0.25</v>
      </c>
      <c r="G24" s="32">
        <f t="shared" si="3"/>
        <v>1.1931818181818181</v>
      </c>
      <c r="J24" s="28">
        <f t="shared" si="4"/>
        <v>-4.0005980861244046</v>
      </c>
      <c r="O24" s="6"/>
      <c r="P24" s="20" t="s">
        <v>17</v>
      </c>
      <c r="Q24" s="21">
        <f>Q19 - (Q18 * ($R$19 / $R$18))</f>
        <v>0</v>
      </c>
      <c r="R24" s="21">
        <f>R19 - (R18 * ($R$19 / $R$18))</f>
        <v>0</v>
      </c>
      <c r="S24" s="22">
        <f>S19 - (S18 * ($R$19 / $R$18))</f>
        <v>278.83774338492253</v>
      </c>
      <c r="T24" s="23">
        <f>T19 - (T18 * ($R$19 / $R$18))</f>
        <v>9.9440838741887134</v>
      </c>
      <c r="V24" s="28">
        <f t="shared" si="1"/>
        <v>4.1342166327670675</v>
      </c>
    </row>
    <row r="25" spans="2:22" ht="17" thickBot="1">
      <c r="B25" s="36">
        <v>12</v>
      </c>
      <c r="C25" s="31">
        <f t="shared" si="7"/>
        <v>-5.383373205741627</v>
      </c>
      <c r="D25" s="31">
        <f t="shared" si="6"/>
        <v>4.9213943950786057E-2</v>
      </c>
      <c r="E25" s="31">
        <f t="shared" si="2"/>
        <v>8.5526315789473686E-2</v>
      </c>
      <c r="F25" s="31">
        <f t="shared" si="8"/>
        <v>-0.4642857142857143</v>
      </c>
      <c r="G25" s="32">
        <f t="shared" si="3"/>
        <v>1.3295454545454546</v>
      </c>
      <c r="J25" s="28">
        <f t="shared" si="4"/>
        <v>-5.3833732057416288</v>
      </c>
      <c r="O25" s="6"/>
      <c r="V25" s="28">
        <f t="shared" si="1"/>
        <v>4.7468774171369645</v>
      </c>
    </row>
    <row r="26" spans="2:22" ht="18">
      <c r="B26" s="36">
        <v>13</v>
      </c>
      <c r="C26" s="31">
        <f t="shared" si="7"/>
        <v>-5.9392942583732058</v>
      </c>
      <c r="D26" s="31">
        <f t="shared" si="6"/>
        <v>7.1770334928229665E-2</v>
      </c>
      <c r="E26" s="31">
        <f t="shared" si="2"/>
        <v>0.16118421052631579</v>
      </c>
      <c r="F26" s="31">
        <f t="shared" si="8"/>
        <v>-0.625</v>
      </c>
      <c r="G26" s="32">
        <f t="shared" si="3"/>
        <v>1.3920454545454546</v>
      </c>
      <c r="J26" s="28">
        <f t="shared" si="4"/>
        <v>-5.939294258373204</v>
      </c>
      <c r="Q26" s="50"/>
      <c r="R26" s="14" t="s">
        <v>37</v>
      </c>
      <c r="S26" s="14" t="s">
        <v>38</v>
      </c>
      <c r="T26" s="25" t="s">
        <v>39</v>
      </c>
      <c r="V26" s="28">
        <f t="shared" si="1"/>
        <v>5.4308634371329543</v>
      </c>
    </row>
    <row r="27" spans="2:22">
      <c r="B27" s="36">
        <v>14</v>
      </c>
      <c r="C27" s="31">
        <f>($C$4*D27) + ($C$5*E27) + ($C$6*F27) + ($C$7*G27)</f>
        <v>-5.4593301435406705</v>
      </c>
      <c r="D27" s="31">
        <f>(($B27-$B$5) * ($B27-$B$6) * ($B27-$B$7)) / (($B$4-$B$5) * ($B$4-$B$6) * ($B$4-$B$7))</f>
        <v>8.7491455912508551E-2</v>
      </c>
      <c r="E27" s="31">
        <f>(($B27-$B$4) * ($B27-$B$6) * ($B27-$B$7)) / (($B$5-$B$4) * ($B$5-$B$6) * ($B$5-$B$7))</f>
        <v>0.26315789473684209</v>
      </c>
      <c r="F27" s="31">
        <f t="shared" si="8"/>
        <v>-0.7142857142857143</v>
      </c>
      <c r="G27" s="32">
        <f>(($B27-$B$4) * ($B27-$B$5) * ($B27-$B$6)) / (($B$7-$B$4) * ($B$7-$B$5) * ($B$7-$B$6))</f>
        <v>1.3636363636363635</v>
      </c>
      <c r="J27" s="28">
        <f t="shared" si="4"/>
        <v>-5.4593301435406687</v>
      </c>
      <c r="Q27" s="36"/>
      <c r="R27" s="18">
        <f xml:space="preserve"> (T22 - (S22 * T27) - (R22 * S27)) / Q22</f>
        <v>2.1024135560202835</v>
      </c>
      <c r="S27" s="18">
        <f>(T23 - (S23 * T27)) / R23</f>
        <v>-0.20757942533016296</v>
      </c>
      <c r="T27" s="19">
        <f>T24 / S24</f>
        <v>3.5662617813046089E-2</v>
      </c>
      <c r="V27" s="28">
        <f t="shared" si="1"/>
        <v>6.186174692755035</v>
      </c>
    </row>
    <row r="28" spans="2:22">
      <c r="B28" s="36">
        <v>15</v>
      </c>
      <c r="C28" s="31">
        <f>($C$4*D28) + ($C$5*E28) + ($C$6*F28) + ($C$7*G28)</f>
        <v>-3.7344497607655502</v>
      </c>
      <c r="D28" s="31">
        <f t="shared" si="6"/>
        <v>9.2276144907723859E-2</v>
      </c>
      <c r="E28" s="31">
        <f t="shared" si="2"/>
        <v>0.39473684210526316</v>
      </c>
      <c r="F28" s="31">
        <f t="shared" si="8"/>
        <v>-0.7142857142857143</v>
      </c>
      <c r="G28" s="32">
        <f t="shared" si="3"/>
        <v>1.2272727272727273</v>
      </c>
      <c r="J28" s="28">
        <f t="shared" si="4"/>
        <v>-3.7344497607655533</v>
      </c>
      <c r="Q28" s="36" t="s">
        <v>76</v>
      </c>
      <c r="R28" s="31">
        <v>2.1023999999999998</v>
      </c>
      <c r="S28" s="31">
        <v>-0.20760000000000001</v>
      </c>
      <c r="T28" s="19">
        <v>3.56E-2</v>
      </c>
      <c r="V28" s="28">
        <f t="shared" si="1"/>
        <v>7.0128111840032084</v>
      </c>
    </row>
    <row r="29" spans="2:22" ht="17" thickBot="1">
      <c r="B29" s="36">
        <v>16</v>
      </c>
      <c r="C29" s="31">
        <f t="shared" ref="C29" si="11">($C$4*D29) + ($C$5*E29) + ($C$6*F29) + ($C$7*G29)</f>
        <v>-0.55562200956937802</v>
      </c>
      <c r="D29" s="31">
        <f t="shared" si="6"/>
        <v>8.2023239917976762E-2</v>
      </c>
      <c r="E29" s="31">
        <f>(($B29-$B$4) * ($B29-$B$6) * ($B29-$B$7)) / (($B$5-$B$4) * ($B$5-$B$6) * ($B$5-$B$7))</f>
        <v>0.55921052631578949</v>
      </c>
      <c r="F29" s="31">
        <f>(($B29-$B$4) * ($B29-$B$5) * ($B29-$B$7)) / (($B$6-$B$4) * ($B$6-$B$5) * ($B$6-$B$7))</f>
        <v>-0.6071428571428571</v>
      </c>
      <c r="G29" s="32">
        <f t="shared" si="3"/>
        <v>0.96590909090909094</v>
      </c>
      <c r="J29" s="28">
        <f t="shared" si="4"/>
        <v>-0.55562200956938312</v>
      </c>
      <c r="Q29" s="37" t="s">
        <v>57</v>
      </c>
      <c r="R29" s="34">
        <f>ABS(R27-R28)</f>
        <v>1.3556020283633785E-5</v>
      </c>
      <c r="S29" s="34">
        <f t="shared" ref="S29:T29" si="12">ABS(S27-S28)</f>
        <v>2.057466983704237E-5</v>
      </c>
      <c r="T29" s="35">
        <f t="shared" si="12"/>
        <v>6.261781304608971E-5</v>
      </c>
      <c r="V29" s="28">
        <f t="shared" si="1"/>
        <v>7.9107729108774745</v>
      </c>
    </row>
    <row r="30" spans="2:22">
      <c r="B30" s="36">
        <v>17</v>
      </c>
      <c r="C30" s="31">
        <f>($C$4*D30) + ($C$5*E30) + ($C$6*F30) + ($C$7*G30)</f>
        <v>4.286184210526315</v>
      </c>
      <c r="D30" s="31">
        <f>(($B30-$B$5) * ($B30-$B$6) * ($B30-$B$7)) / (($B$4-$B$5) * ($B$4-$B$6) * ($B$4-$B$7))</f>
        <v>5.2631578947368418E-2</v>
      </c>
      <c r="E30" s="31">
        <f>(($B30-$B$4) * ($B30-$B$6) * ($B30-$B$7)) / (($B$5-$B$4) * ($B$5-$B$6) * ($B$5-$B$7))</f>
        <v>0.75986842105263153</v>
      </c>
      <c r="F30" s="31">
        <f t="shared" ref="F30:F31" si="13">(($B30-$B$4) * ($B30-$B$5) * ($B30-$B$7)) / (($B$6-$B$4) * ($B$6-$B$5) * ($B$6-$B$7))</f>
        <v>-0.375</v>
      </c>
      <c r="G30" s="32">
        <f>(($B30-$B$4) * ($B30-$B$5) * ($B30-$B$6)) / (($B$7-$B$4) * ($B$7-$B$5) * ($B$7-$B$6))</f>
        <v>0.5625</v>
      </c>
      <c r="J30" s="28">
        <f t="shared" si="4"/>
        <v>4.286184210526315</v>
      </c>
      <c r="V30" s="28">
        <f t="shared" si="1"/>
        <v>8.8800598733778315</v>
      </c>
    </row>
    <row r="31" spans="2:22" ht="17" thickBot="1">
      <c r="B31" s="37">
        <v>18</v>
      </c>
      <c r="C31" s="34">
        <f>($C$4*D31) + ($C$5*E31) + ($C$6*F31) + ($C$7*G31)</f>
        <v>11</v>
      </c>
      <c r="D31" s="34">
        <f t="shared" si="6"/>
        <v>0</v>
      </c>
      <c r="E31" s="66">
        <f t="shared" ref="E31" si="14">(($B31-$B$4) * ($B31-$B$6) * ($B31-$B$7)) / (($B$5-$B$4) * ($B$5-$B$6) * ($B$5-$B$7))</f>
        <v>1</v>
      </c>
      <c r="F31" s="34">
        <f t="shared" si="13"/>
        <v>0</v>
      </c>
      <c r="G31" s="35">
        <f t="shared" si="3"/>
        <v>0</v>
      </c>
      <c r="J31" s="29">
        <f>$K$4 + ($L$4 * ($B31 - $J$4)) + ($M$4 * ($B31 - $J$4) * ($B31 - $J$5)) + ($N$4 * ($B31 - $J$4) * ($B31 - $J$5) * ($B31 - $J$6))</f>
        <v>11.000000000000007</v>
      </c>
      <c r="V31" s="29">
        <f t="shared" si="1"/>
        <v>9.9206720715042831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6"/>
  <sheetViews>
    <sheetView zoomScaleNormal="100" workbookViewId="0">
      <selection activeCell="H2" sqref="H2"/>
    </sheetView>
  </sheetViews>
  <sheetFormatPr baseColWidth="10" defaultColWidth="11" defaultRowHeight="16"/>
  <cols>
    <col min="1" max="1" width="12.1640625" bestFit="1" customWidth="1"/>
    <col min="2" max="2" width="5.33203125" bestFit="1" customWidth="1"/>
    <col min="13" max="13" width="12.83203125" bestFit="1" customWidth="1"/>
  </cols>
  <sheetData>
    <row r="1" spans="1:14">
      <c r="D1" t="s">
        <v>19</v>
      </c>
      <c r="E1" t="s">
        <v>20</v>
      </c>
      <c r="F1" t="s">
        <v>22</v>
      </c>
      <c r="G1" s="6" t="s">
        <v>21</v>
      </c>
      <c r="H1" s="6" t="s">
        <v>86</v>
      </c>
    </row>
    <row r="2" spans="1:14">
      <c r="D2">
        <v>0.1</v>
      </c>
      <c r="E2">
        <v>1</v>
      </c>
      <c r="F2">
        <v>5</v>
      </c>
      <c r="G2">
        <f>(E2-D2)/F2</f>
        <v>0.18</v>
      </c>
      <c r="H2">
        <f>1.0078-(1/(3*TAN(3)))</f>
        <v>3.3462175171448445</v>
      </c>
    </row>
    <row r="3" spans="1:14" ht="8" customHeight="1" thickBot="1"/>
    <row r="4" spans="1:14" ht="18">
      <c r="A4" s="50"/>
      <c r="B4" s="14" t="s">
        <v>10</v>
      </c>
      <c r="C4" s="15" t="s">
        <v>18</v>
      </c>
      <c r="D4" s="14" t="s">
        <v>54</v>
      </c>
      <c r="E4" s="14" t="s">
        <v>52</v>
      </c>
      <c r="F4" s="14" t="s">
        <v>53</v>
      </c>
      <c r="G4" s="52" t="s">
        <v>40</v>
      </c>
      <c r="H4" s="46"/>
      <c r="I4" s="46"/>
      <c r="K4" s="24" t="s">
        <v>10</v>
      </c>
      <c r="L4" s="14" t="s">
        <v>18</v>
      </c>
      <c r="M4" s="51" t="s">
        <v>88</v>
      </c>
      <c r="N4" s="52" t="s">
        <v>87</v>
      </c>
    </row>
    <row r="5" spans="1:14">
      <c r="A5" s="36"/>
      <c r="B5" s="31">
        <v>0.1</v>
      </c>
      <c r="C5" s="9">
        <f>B5 / (SIN(3 * B5))^2</f>
        <v>1.1450531251495653</v>
      </c>
      <c r="D5" s="31"/>
      <c r="E5" s="31"/>
      <c r="F5" s="31"/>
      <c r="G5" s="32"/>
      <c r="H5" s="31"/>
      <c r="I5" s="31"/>
      <c r="K5" s="57">
        <v>0.1</v>
      </c>
      <c r="L5" s="9">
        <f t="shared" ref="L5:L10" si="0">K5 / (SIN(3 * K5))^2</f>
        <v>1.1450531251495653</v>
      </c>
      <c r="M5" s="31"/>
      <c r="N5" s="32"/>
    </row>
    <row r="6" spans="1:14">
      <c r="A6" s="36"/>
      <c r="B6" s="31">
        <f>B5+$G$2</f>
        <v>0.28000000000000003</v>
      </c>
      <c r="C6" s="9">
        <f t="shared" ref="C6:C10" si="1">B6 / (SIN(3 * B6))^2</f>
        <v>0.50496545505971313</v>
      </c>
      <c r="D6" s="31">
        <f>$G$2 * C5</f>
        <v>0.20610956252692172</v>
      </c>
      <c r="E6" s="31">
        <f>($G$2 * (C5 + C6)) / 2</f>
        <v>0.14850167221883506</v>
      </c>
      <c r="F6" s="31">
        <f>($G$2 * (C5 + (4*C6) + C7)) / 6</f>
        <v>0.10926226120758688</v>
      </c>
      <c r="G6" s="32"/>
      <c r="H6" s="31"/>
      <c r="I6" s="31"/>
      <c r="K6" s="57">
        <f>K5+$G$2</f>
        <v>0.28000000000000003</v>
      </c>
      <c r="L6" s="9">
        <f t="shared" si="0"/>
        <v>0.50496545505971313</v>
      </c>
      <c r="M6" s="31">
        <f>(L7-L5) / (2 * G2)</f>
        <v>-1.8552574915326494</v>
      </c>
      <c r="N6" s="32">
        <f>($G$2 * (L5 + L6)) / 2</f>
        <v>0.14850167221883506</v>
      </c>
    </row>
    <row r="7" spans="1:14">
      <c r="A7" s="36"/>
      <c r="B7" s="31">
        <f t="shared" ref="B7:B9" si="2">B6+$G$2</f>
        <v>0.46</v>
      </c>
      <c r="C7" s="9">
        <f t="shared" si="1"/>
        <v>0.4771604281978114</v>
      </c>
      <c r="D7" s="31">
        <f>$G$2 * C6</f>
        <v>9.0893781910748359E-2</v>
      </c>
      <c r="E7" s="31">
        <f>($G$2 * (C6 + C7)) / 2</f>
        <v>8.8391329493177212E-2</v>
      </c>
      <c r="F7" s="31">
        <f>($G$2 * (C6 + (4*C7) + C8)) / 6</f>
        <v>9.41539042327042E-2</v>
      </c>
      <c r="G7" s="32"/>
      <c r="H7" s="31"/>
      <c r="I7" s="31"/>
      <c r="K7" s="57">
        <f t="shared" ref="K7:K10" si="3">K6+$G$2</f>
        <v>0.46</v>
      </c>
      <c r="L7" s="9">
        <f t="shared" si="0"/>
        <v>0.4771604281978114</v>
      </c>
      <c r="M7" s="31">
        <f>(L8-L6) / (2 * $G$2)</f>
        <v>0.61080792086889402</v>
      </c>
      <c r="N7" s="32">
        <f t="shared" ref="N7:N10" si="4">($G$2 * (L6 + L7)) / 2</f>
        <v>8.8391329493177212E-2</v>
      </c>
    </row>
    <row r="8" spans="1:14">
      <c r="A8" s="36"/>
      <c r="B8" s="31">
        <f t="shared" si="2"/>
        <v>0.64</v>
      </c>
      <c r="C8" s="9">
        <f t="shared" si="1"/>
        <v>0.72485630657251499</v>
      </c>
      <c r="D8" s="31">
        <f>$G$2 * C7</f>
        <v>8.5888877075606052E-2</v>
      </c>
      <c r="E8" s="31">
        <f t="shared" ref="E8" si="5">($G$2 * (C7 + C8)) / 2</f>
        <v>0.10818150612932936</v>
      </c>
      <c r="F8" s="31">
        <f t="shared" ref="F8:F9" si="6">($G$2 * (C7 + (4*C8) + C9)) / 6</f>
        <v>0.16327189091862682</v>
      </c>
      <c r="G8" s="32"/>
      <c r="H8" s="31"/>
      <c r="I8" s="31"/>
      <c r="K8" s="57">
        <f t="shared" si="3"/>
        <v>0.64</v>
      </c>
      <c r="L8" s="9">
        <f t="shared" si="0"/>
        <v>0.72485630657251499</v>
      </c>
      <c r="M8" s="31">
        <f t="shared" ref="M8:M9" si="7">(L9-L7) / (2 * $G$2)</f>
        <v>4.4129174479681792</v>
      </c>
      <c r="N8" s="32">
        <f t="shared" si="4"/>
        <v>0.10818150612932936</v>
      </c>
    </row>
    <row r="9" spans="1:14">
      <c r="A9" s="36"/>
      <c r="B9" s="31">
        <f t="shared" si="2"/>
        <v>0.82000000000000006</v>
      </c>
      <c r="C9" s="9">
        <f t="shared" si="1"/>
        <v>2.0658107094663558</v>
      </c>
      <c r="D9" s="31">
        <f>$G$2 * C8</f>
        <v>0.1304741351830527</v>
      </c>
      <c r="E9" s="31">
        <f>($G$2 * (C8 + C9)) / 2</f>
        <v>0.25116003144349835</v>
      </c>
      <c r="F9" s="31">
        <f t="shared" si="6"/>
        <v>1.7760560251454001</v>
      </c>
      <c r="G9" s="32"/>
      <c r="H9" s="31"/>
      <c r="I9" s="31"/>
      <c r="K9" s="57">
        <f t="shared" si="3"/>
        <v>0.82000000000000006</v>
      </c>
      <c r="L9" s="9">
        <f t="shared" si="0"/>
        <v>2.0658107094663558</v>
      </c>
      <c r="M9" s="31">
        <f t="shared" si="7"/>
        <v>137.46920014954506</v>
      </c>
      <c r="N9" s="32">
        <f t="shared" si="4"/>
        <v>0.25116003144349835</v>
      </c>
    </row>
    <row r="10" spans="1:14" ht="17" thickBot="1">
      <c r="A10" s="36"/>
      <c r="B10" s="31">
        <f>B9+$G$2</f>
        <v>1</v>
      </c>
      <c r="C10" s="9">
        <f t="shared" si="1"/>
        <v>50.213768360408736</v>
      </c>
      <c r="D10" s="31">
        <f>$G$2 * C9</f>
        <v>0.37184592770394403</v>
      </c>
      <c r="E10" s="31">
        <f>($G$2 * (C9 + C10)) / 2</f>
        <v>4.7051621162887578</v>
      </c>
      <c r="F10" s="10"/>
      <c r="G10" s="53"/>
      <c r="H10" s="31"/>
      <c r="I10" s="31"/>
      <c r="K10" s="47">
        <f t="shared" si="3"/>
        <v>1</v>
      </c>
      <c r="L10" s="58">
        <f t="shared" si="0"/>
        <v>50.213768360408736</v>
      </c>
      <c r="M10" s="34"/>
      <c r="N10" s="35">
        <f t="shared" si="4"/>
        <v>4.7051621162887578</v>
      </c>
    </row>
    <row r="11" spans="1:14" ht="17" thickBot="1">
      <c r="A11" s="54" t="s">
        <v>23</v>
      </c>
      <c r="B11" s="55"/>
      <c r="C11" s="56"/>
      <c r="D11" s="55">
        <f>SUM(D5:D10)</f>
        <v>0.88521228440027278</v>
      </c>
      <c r="E11" s="55">
        <f>SUM(E5:E10)</f>
        <v>5.3013966555735976</v>
      </c>
      <c r="F11" s="34">
        <f>SUM(F5:F10)</f>
        <v>2.1427440815043179</v>
      </c>
      <c r="G11" s="35">
        <f>( (G33 * (G36 / (SIN(3 * G36)^2))) + (H33 * (H36 / (SIN(3 * H36)^2))) + (I33 * (I36 / (SIN(3 * I36)^2))) ) * ((E2-D2)/2)</f>
        <v>1.5852327087272966</v>
      </c>
      <c r="H11" s="31"/>
      <c r="I11" s="31"/>
    </row>
    <row r="12" spans="1:14">
      <c r="A12" t="s">
        <v>85</v>
      </c>
      <c r="D12" s="77">
        <f>ABS($H$2-D11)</f>
        <v>2.4610052327445717</v>
      </c>
      <c r="E12" s="77">
        <f t="shared" ref="E12:G12" si="8">ABS($H$2-E11)</f>
        <v>1.9551791384287531</v>
      </c>
      <c r="F12" s="77">
        <f t="shared" si="8"/>
        <v>1.2034734356405266</v>
      </c>
      <c r="G12" s="77">
        <f t="shared" si="8"/>
        <v>1.7609848084175479</v>
      </c>
      <c r="I12" s="31"/>
    </row>
    <row r="13" spans="1:14">
      <c r="I13" s="31"/>
    </row>
    <row r="15" spans="1:14">
      <c r="A15" s="48" t="s">
        <v>41</v>
      </c>
    </row>
    <row r="28" spans="7:9" ht="17" thickBot="1"/>
    <row r="29" spans="7:9" ht="18">
      <c r="G29" s="24" t="s">
        <v>45</v>
      </c>
      <c r="H29" s="14" t="s">
        <v>46</v>
      </c>
      <c r="I29" s="25" t="s">
        <v>47</v>
      </c>
    </row>
    <row r="30" spans="7:9" ht="17" thickBot="1">
      <c r="G30" s="47">
        <v>0</v>
      </c>
      <c r="H30" s="34">
        <f>SQRT(3/5)</f>
        <v>0.7745966692414834</v>
      </c>
      <c r="I30" s="35">
        <f>-SQRT(3/5)</f>
        <v>-0.7745966692414834</v>
      </c>
    </row>
    <row r="31" spans="7:9" ht="17" thickBot="1"/>
    <row r="32" spans="7:9" ht="18">
      <c r="G32" s="24" t="s">
        <v>48</v>
      </c>
      <c r="H32" s="14" t="s">
        <v>49</v>
      </c>
      <c r="I32" s="25" t="s">
        <v>50</v>
      </c>
    </row>
    <row r="33" spans="7:9" ht="17" thickBot="1">
      <c r="G33" s="47">
        <f>2/2.25</f>
        <v>0.88888888888888884</v>
      </c>
      <c r="H33" s="34">
        <f>2/3.6</f>
        <v>0.55555555555555558</v>
      </c>
      <c r="I33" s="35">
        <f>2/3.6</f>
        <v>0.55555555555555558</v>
      </c>
    </row>
    <row r="34" spans="7:9" ht="17" thickBot="1"/>
    <row r="35" spans="7:9" ht="18">
      <c r="G35" s="24" t="s">
        <v>28</v>
      </c>
      <c r="H35" s="14" t="s">
        <v>29</v>
      </c>
      <c r="I35" s="25" t="s">
        <v>30</v>
      </c>
    </row>
    <row r="36" spans="7:9" ht="17" thickBot="1">
      <c r="G36" s="47">
        <f>(($E$2+$D$2) / 2) + (($E$2-$D$2) / 2) * G30</f>
        <v>0.55000000000000004</v>
      </c>
      <c r="H36" s="34">
        <f>(($E$2+$D$2) / 2) + (($E$2-$D$2) / 2) * H30</f>
        <v>0.8985685011586676</v>
      </c>
      <c r="I36" s="35">
        <f>(($E$2+$D$2) / 2) + (($E$2-$D$2) / 2) * I30</f>
        <v>0.20143149884133249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9"/>
  <sheetViews>
    <sheetView zoomScaleNormal="100" workbookViewId="0">
      <selection activeCell="F33" sqref="F33"/>
    </sheetView>
  </sheetViews>
  <sheetFormatPr baseColWidth="10" defaultColWidth="11" defaultRowHeight="16"/>
  <cols>
    <col min="1" max="1" width="2.1640625" bestFit="1" customWidth="1"/>
    <col min="5" max="6" width="12.5" bestFit="1" customWidth="1"/>
  </cols>
  <sheetData>
    <row r="1" spans="1:12">
      <c r="E1" t="s">
        <v>69</v>
      </c>
    </row>
    <row r="2" spans="1:12">
      <c r="E2">
        <v>0.96909999999999996</v>
      </c>
    </row>
    <row r="4" spans="1:12" ht="17" thickBot="1">
      <c r="B4" s="48" t="s">
        <v>61</v>
      </c>
    </row>
    <row r="5" spans="1:12">
      <c r="A5" s="13" t="s">
        <v>6</v>
      </c>
      <c r="B5" s="14" t="s">
        <v>19</v>
      </c>
      <c r="C5" s="14" t="s">
        <v>20</v>
      </c>
      <c r="D5" s="14" t="s">
        <v>58</v>
      </c>
      <c r="E5" s="14" t="s">
        <v>59</v>
      </c>
      <c r="F5" s="14" t="s">
        <v>55</v>
      </c>
      <c r="G5" s="14" t="s">
        <v>10</v>
      </c>
      <c r="H5" s="14" t="s">
        <v>18</v>
      </c>
      <c r="I5" s="14" t="s">
        <v>56</v>
      </c>
      <c r="J5" s="25" t="s">
        <v>57</v>
      </c>
      <c r="K5" s="59"/>
      <c r="L5" s="59"/>
    </row>
    <row r="6" spans="1:12">
      <c r="A6" s="36">
        <v>1</v>
      </c>
      <c r="B6" s="31">
        <v>0.1</v>
      </c>
      <c r="C6" s="31">
        <v>1</v>
      </c>
      <c r="D6" s="31">
        <f>(B6 / SIN(3*B6)^2) - 18</f>
        <v>-16.854946874850434</v>
      </c>
      <c r="E6" s="31">
        <f>(C6 / SIN(3*C6)^2) - 18</f>
        <v>32.213768360408736</v>
      </c>
      <c r="F6" s="31">
        <f>D6*E6</f>
        <v>-542.96135435342705</v>
      </c>
      <c r="G6" s="31">
        <f t="shared" ref="G6:G11" si="0">(B6+C6) / 2</f>
        <v>0.55000000000000004</v>
      </c>
      <c r="H6" s="31">
        <f>(G6 / SIN(3*G6)^2) - 18</f>
        <v>-17.446535246972381</v>
      </c>
      <c r="I6" s="31">
        <f>D6 * H6</f>
        <v>294.06042473792508</v>
      </c>
      <c r="J6" s="32">
        <f>ABS(G6-$E$2)</f>
        <v>0.41909999999999992</v>
      </c>
      <c r="K6" s="31"/>
    </row>
    <row r="7" spans="1:12">
      <c r="A7" s="36">
        <v>2</v>
      </c>
      <c r="B7" s="31">
        <f>IF(I6 &gt; 0, G6, B6)</f>
        <v>0.55000000000000004</v>
      </c>
      <c r="C7" s="31">
        <f>IF(I6 &lt;= 0, G6, C6)</f>
        <v>1</v>
      </c>
      <c r="D7" s="31">
        <f t="shared" ref="D7:D11" si="1">(B7 / SIN(3*B7)^2) - 18</f>
        <v>-17.446535246972381</v>
      </c>
      <c r="E7" s="31">
        <f t="shared" ref="E7:E11" si="2">(C7 / SIN(3*C7)^2) - 18</f>
        <v>32.213768360408736</v>
      </c>
      <c r="F7" s="31">
        <f t="shared" ref="F7:F11" si="3">D7*E7</f>
        <v>-562.01864513767475</v>
      </c>
      <c r="G7" s="31">
        <f t="shared" si="0"/>
        <v>0.77500000000000002</v>
      </c>
      <c r="H7" s="31">
        <f t="shared" ref="H7:H11" si="4">(G7 / SIN(3*G7)^2) - 18</f>
        <v>-16.540968449912683</v>
      </c>
      <c r="I7" s="31">
        <f t="shared" ref="I7:I11" si="5">D7 * H7</f>
        <v>288.58258908045974</v>
      </c>
      <c r="J7" s="32">
        <f t="shared" ref="J7:J11" si="6">ABS(G7-$E$2)</f>
        <v>0.19409999999999994</v>
      </c>
      <c r="K7" s="31"/>
      <c r="L7" s="31"/>
    </row>
    <row r="8" spans="1:12">
      <c r="A8" s="36">
        <v>3</v>
      </c>
      <c r="B8" s="31">
        <f>IF(I7 &gt; 0, G7, B7)</f>
        <v>0.77500000000000002</v>
      </c>
      <c r="C8" s="31">
        <f t="shared" ref="C8:C11" si="7">IF(I7 &lt;= 0, G7, C7)</f>
        <v>1</v>
      </c>
      <c r="D8" s="31">
        <f t="shared" si="1"/>
        <v>-16.540968449912683</v>
      </c>
      <c r="E8" s="31">
        <f t="shared" si="2"/>
        <v>32.213768360408736</v>
      </c>
      <c r="F8" s="31">
        <f t="shared" si="3"/>
        <v>-532.84692610231627</v>
      </c>
      <c r="G8" s="31">
        <f t="shared" si="0"/>
        <v>0.88749999999999996</v>
      </c>
      <c r="H8" s="31">
        <f t="shared" si="4"/>
        <v>-13.823474163873824</v>
      </c>
      <c r="I8" s="31">
        <f t="shared" si="5"/>
        <v>228.65365001282001</v>
      </c>
      <c r="J8" s="32">
        <f t="shared" si="6"/>
        <v>8.1600000000000006E-2</v>
      </c>
      <c r="K8" s="31"/>
      <c r="L8" s="31"/>
    </row>
    <row r="9" spans="1:12">
      <c r="A9" s="36">
        <v>4</v>
      </c>
      <c r="B9" s="31">
        <f>IF(I8 &gt; 0, G8, B8)</f>
        <v>0.88749999999999996</v>
      </c>
      <c r="C9" s="31">
        <f t="shared" si="7"/>
        <v>1</v>
      </c>
      <c r="D9" s="31">
        <f t="shared" si="1"/>
        <v>-13.823474163873824</v>
      </c>
      <c r="E9" s="31">
        <f t="shared" si="2"/>
        <v>32.213768360408736</v>
      </c>
      <c r="F9" s="31">
        <f t="shared" si="3"/>
        <v>-445.30619465112619</v>
      </c>
      <c r="G9" s="31">
        <f t="shared" si="0"/>
        <v>0.94374999999999998</v>
      </c>
      <c r="H9" s="31">
        <f t="shared" si="4"/>
        <v>-7.8804375433226515</v>
      </c>
      <c r="I9" s="31">
        <f t="shared" si="5"/>
        <v>108.93502478014199</v>
      </c>
      <c r="J9" s="32">
        <f t="shared" si="6"/>
        <v>2.5349999999999984E-2</v>
      </c>
      <c r="K9" s="31"/>
      <c r="L9" s="31"/>
    </row>
    <row r="10" spans="1:12">
      <c r="A10" s="36">
        <v>5</v>
      </c>
      <c r="B10" s="31">
        <f>IF(I9 &gt; 0, G9, B9)</f>
        <v>0.94374999999999998</v>
      </c>
      <c r="C10" s="31">
        <f>IF(I9 &lt;= 0, G9, C9)</f>
        <v>1</v>
      </c>
      <c r="D10" s="31">
        <f t="shared" si="1"/>
        <v>-7.8804375433226515</v>
      </c>
      <c r="E10" s="31">
        <f t="shared" si="2"/>
        <v>32.213768360408736</v>
      </c>
      <c r="F10" s="31">
        <f t="shared" si="3"/>
        <v>-253.85858959926438</v>
      </c>
      <c r="G10" s="31">
        <f t="shared" si="0"/>
        <v>0.97187500000000004</v>
      </c>
      <c r="H10" s="31">
        <f t="shared" si="4"/>
        <v>1.3607587314185636</v>
      </c>
      <c r="I10" s="31">
        <f t="shared" si="5"/>
        <v>-10.723374194474953</v>
      </c>
      <c r="J10" s="32">
        <f t="shared" si="6"/>
        <v>2.775000000000083E-3</v>
      </c>
      <c r="K10" s="31"/>
      <c r="L10" s="31"/>
    </row>
    <row r="11" spans="1:12" ht="17" thickBot="1">
      <c r="A11" s="37">
        <v>6</v>
      </c>
      <c r="B11" s="34">
        <f>IF(I10 &gt; 0, G10, B10)</f>
        <v>0.94374999999999998</v>
      </c>
      <c r="C11" s="34">
        <f t="shared" si="7"/>
        <v>0.97187500000000004</v>
      </c>
      <c r="D11" s="34">
        <f t="shared" si="1"/>
        <v>-7.8804375433226515</v>
      </c>
      <c r="E11" s="34">
        <f t="shared" si="2"/>
        <v>1.3607587314185636</v>
      </c>
      <c r="F11" s="34">
        <f t="shared" si="3"/>
        <v>-10.723374194474953</v>
      </c>
      <c r="G11" s="60">
        <f t="shared" si="0"/>
        <v>0.95781249999999996</v>
      </c>
      <c r="H11" s="34">
        <f t="shared" si="4"/>
        <v>-4.355962590327886</v>
      </c>
      <c r="I11" s="34">
        <f t="shared" si="5"/>
        <v>34.326891134128857</v>
      </c>
      <c r="J11" s="63">
        <f t="shared" si="6"/>
        <v>1.1287500000000006E-2</v>
      </c>
      <c r="K11" s="31"/>
      <c r="L11" s="31"/>
    </row>
    <row r="12" spans="1:12">
      <c r="C12" s="31"/>
      <c r="D12" s="31"/>
      <c r="E12" s="31"/>
      <c r="F12" s="31"/>
    </row>
    <row r="13" spans="1:12" ht="17" thickBot="1">
      <c r="B13" s="48" t="s">
        <v>62</v>
      </c>
    </row>
    <row r="14" spans="1:12">
      <c r="A14" s="67" t="s">
        <v>6</v>
      </c>
      <c r="B14" s="68" t="s">
        <v>19</v>
      </c>
      <c r="C14" s="68" t="s">
        <v>20</v>
      </c>
      <c r="D14" s="68" t="s">
        <v>58</v>
      </c>
      <c r="E14" s="68" t="s">
        <v>59</v>
      </c>
      <c r="F14" s="68" t="s">
        <v>55</v>
      </c>
      <c r="G14" s="68" t="s">
        <v>10</v>
      </c>
      <c r="H14" s="68" t="s">
        <v>18</v>
      </c>
      <c r="I14" s="68" t="s">
        <v>56</v>
      </c>
      <c r="J14" s="69" t="s">
        <v>57</v>
      </c>
    </row>
    <row r="15" spans="1:12">
      <c r="A15" s="70">
        <v>1</v>
      </c>
      <c r="B15" s="71">
        <v>0.1</v>
      </c>
      <c r="C15" s="71">
        <v>1</v>
      </c>
      <c r="D15" s="71">
        <f>(B15 / SIN(3*B15)^2) - 18</f>
        <v>-16.854946874850434</v>
      </c>
      <c r="E15" s="71">
        <f>(C15 / SIN(3*C15)^2) - 18</f>
        <v>32.213768360408736</v>
      </c>
      <c r="F15" s="71">
        <f>D15*E15</f>
        <v>-542.96135435342705</v>
      </c>
      <c r="G15" s="71">
        <f>C15 - ((C15-B15) / (E15-D15)) * E15</f>
        <v>0.40914712387792707</v>
      </c>
      <c r="H15" s="71">
        <f>(G15 / SIN(3*G15)^2) - 18</f>
        <v>-17.538556595607343</v>
      </c>
      <c r="I15" s="71">
        <f>D15 * H15</f>
        <v>295.61143968051942</v>
      </c>
      <c r="J15" s="72">
        <f>ABS(G15-$E$2)</f>
        <v>0.5599528761220729</v>
      </c>
    </row>
    <row r="16" spans="1:12">
      <c r="A16" s="70">
        <v>2</v>
      </c>
      <c r="B16" s="71">
        <f>IF(I15 &gt; 0, G15, B15)</f>
        <v>0.40914712387792707</v>
      </c>
      <c r="C16" s="71">
        <f>IF(I15 &lt;= 0, G15, C15)</f>
        <v>1</v>
      </c>
      <c r="D16" s="71">
        <f t="shared" ref="D16:D19" si="8">(B16 / SIN(3*B16)^2) - 18</f>
        <v>-17.538556595607343</v>
      </c>
      <c r="E16" s="71">
        <f t="shared" ref="E16:E20" si="9">(C16 / SIN(3*C16)^2) - 18</f>
        <v>32.213768360408736</v>
      </c>
      <c r="F16" s="71">
        <f t="shared" ref="F16:F20" si="10">D16*E16</f>
        <v>-564.98299954681374</v>
      </c>
      <c r="G16" s="71">
        <f>C16 - ((C16-B16) / (E16-D16)) * E16</f>
        <v>0.61743300030089987</v>
      </c>
      <c r="H16" s="71">
        <f t="shared" ref="H16:H20" si="11">(G16 / SIN(3*G16)^2) - 18</f>
        <v>-17.330933421600562</v>
      </c>
      <c r="I16" s="71">
        <f t="shared" ref="I16:I20" si="12">D16 * H16</f>
        <v>303.95955666944428</v>
      </c>
      <c r="J16" s="72">
        <f t="shared" ref="J16:J19" si="13">ABS(G16-$E$2)</f>
        <v>0.35166699969910009</v>
      </c>
    </row>
    <row r="17" spans="1:13">
      <c r="A17" s="70">
        <v>3</v>
      </c>
      <c r="B17" s="71">
        <f>IF(I16 &gt; 0, G16, B16)</f>
        <v>0.61743300030089987</v>
      </c>
      <c r="C17" s="71">
        <f t="shared" ref="C17:C20" si="14">IF(I16 &lt;= 0, G16, C16)</f>
        <v>1</v>
      </c>
      <c r="D17" s="71">
        <f t="shared" si="8"/>
        <v>-17.330933421600562</v>
      </c>
      <c r="E17" s="71">
        <f t="shared" si="9"/>
        <v>32.213768360408736</v>
      </c>
      <c r="F17" s="71">
        <f t="shared" si="10"/>
        <v>-558.29467471310647</v>
      </c>
      <c r="G17" s="71">
        <f t="shared" ref="G17:G20" si="15">C17 - ((C17-B17) / (E17-D17)) * E17</f>
        <v>0.75125645594019019</v>
      </c>
      <c r="H17" s="71">
        <f t="shared" si="11"/>
        <v>-16.751464791966836</v>
      </c>
      <c r="I17" s="71">
        <f t="shared" si="12"/>
        <v>290.31852102386313</v>
      </c>
      <c r="J17" s="72">
        <f t="shared" si="13"/>
        <v>0.21784354405980977</v>
      </c>
    </row>
    <row r="18" spans="1:13">
      <c r="A18" s="70">
        <v>4</v>
      </c>
      <c r="B18" s="71">
        <f>IF(I17 &gt; 0, G17, B17)</f>
        <v>0.75125645594019019</v>
      </c>
      <c r="C18" s="71">
        <f t="shared" si="14"/>
        <v>1</v>
      </c>
      <c r="D18" s="71">
        <f t="shared" si="8"/>
        <v>-16.751464791966836</v>
      </c>
      <c r="E18" s="71">
        <f t="shared" si="9"/>
        <v>32.213768360408736</v>
      </c>
      <c r="F18" s="71">
        <f t="shared" si="10"/>
        <v>-539.6278065059621</v>
      </c>
      <c r="G18" s="71">
        <f t="shared" si="15"/>
        <v>0.83635395169968496</v>
      </c>
      <c r="H18" s="71">
        <f t="shared" si="11"/>
        <v>-15.60701954299223</v>
      </c>
      <c r="I18" s="71">
        <f t="shared" si="12"/>
        <v>261.44043838197268</v>
      </c>
      <c r="J18" s="72">
        <f t="shared" si="13"/>
        <v>0.132746048300315</v>
      </c>
    </row>
    <row r="19" spans="1:13">
      <c r="A19" s="70">
        <v>5</v>
      </c>
      <c r="B19" s="71">
        <f>IF(I18 &gt; 0, G18, B18)</f>
        <v>0.83635395169968496</v>
      </c>
      <c r="C19" s="71">
        <f t="shared" si="14"/>
        <v>1</v>
      </c>
      <c r="D19" s="71">
        <f t="shared" si="8"/>
        <v>-15.60701954299223</v>
      </c>
      <c r="E19" s="71">
        <f t="shared" si="9"/>
        <v>32.213768360408736</v>
      </c>
      <c r="F19" s="71">
        <f t="shared" si="10"/>
        <v>-502.76091235432392</v>
      </c>
      <c r="G19" s="71">
        <f t="shared" si="15"/>
        <v>0.88976225352682459</v>
      </c>
      <c r="H19" s="71">
        <f t="shared" si="11"/>
        <v>-13.701034743086558</v>
      </c>
      <c r="I19" s="71">
        <f t="shared" si="12"/>
        <v>213.83231699456744</v>
      </c>
      <c r="J19" s="72">
        <f t="shared" si="13"/>
        <v>7.9337746473175375E-2</v>
      </c>
    </row>
    <row r="20" spans="1:13" ht="17" thickBot="1">
      <c r="A20" s="73">
        <v>6</v>
      </c>
      <c r="B20" s="74">
        <f>IF(I19 &gt; 0, G19, B19)</f>
        <v>0.88976225352682459</v>
      </c>
      <c r="C20" s="74">
        <f t="shared" si="14"/>
        <v>1</v>
      </c>
      <c r="D20" s="74">
        <f>(B20 / SIN(3*B20)^2) - 18</f>
        <v>-13.701034743086558</v>
      </c>
      <c r="E20" s="74">
        <f t="shared" si="9"/>
        <v>32.213768360408736</v>
      </c>
      <c r="F20" s="74">
        <f t="shared" si="10"/>
        <v>-441.36195951170259</v>
      </c>
      <c r="G20" s="75">
        <f t="shared" si="15"/>
        <v>0.92265733512009762</v>
      </c>
      <c r="H20" s="74">
        <f t="shared" si="11"/>
        <v>-11.074013518440953</v>
      </c>
      <c r="I20" s="74">
        <f t="shared" si="12"/>
        <v>151.72544396156971</v>
      </c>
      <c r="J20" s="76">
        <f>ABS(G20-$E$2)</f>
        <v>4.644266487990234E-2</v>
      </c>
    </row>
    <row r="22" spans="1:13" ht="17" thickBot="1">
      <c r="B22" s="48" t="s">
        <v>63</v>
      </c>
    </row>
    <row r="23" spans="1:13" ht="18">
      <c r="A23" s="13" t="s">
        <v>6</v>
      </c>
      <c r="B23" s="14" t="s">
        <v>10</v>
      </c>
      <c r="C23" s="14" t="s">
        <v>18</v>
      </c>
      <c r="D23" s="14" t="s">
        <v>51</v>
      </c>
      <c r="E23" s="51" t="s">
        <v>60</v>
      </c>
      <c r="F23" s="25" t="s">
        <v>57</v>
      </c>
    </row>
    <row r="24" spans="1:13">
      <c r="A24" s="36">
        <v>1</v>
      </c>
      <c r="B24" s="31">
        <v>1</v>
      </c>
      <c r="C24" s="31">
        <f>(B24 / SIN(3 * B24)^2) - 18</f>
        <v>32.213768360408736</v>
      </c>
      <c r="D24" s="31">
        <f>(SIN(3 * B24) - 6 * B24 * COS(3 * B24)) / SIN(3 * B24)^3</f>
        <v>2163.787368005409</v>
      </c>
      <c r="E24" s="31">
        <f>B24 - (C24 / D24)</f>
        <v>0.98511232257072301</v>
      </c>
      <c r="F24" s="32">
        <f>ABS(E24-$E$2)</f>
        <v>1.6012322570723048E-2</v>
      </c>
    </row>
    <row r="25" spans="1:13">
      <c r="A25" s="36">
        <v>2</v>
      </c>
      <c r="B25" s="31">
        <f>E24</f>
        <v>0.98511232257072301</v>
      </c>
      <c r="C25" s="31">
        <f t="shared" ref="C25:C29" si="16">(B25 / SIN(3 * B25)^2) - 18</f>
        <v>10.727283192284453</v>
      </c>
      <c r="D25" s="31">
        <f>(SIN(3 * B25) - 6 * B25 * COS(3 * B25)) / SIN(3 * B25)^3</f>
        <v>943.84978695854818</v>
      </c>
      <c r="E25" s="31">
        <f>B25 - (C25 / D25)</f>
        <v>0.97374686660462917</v>
      </c>
      <c r="F25" s="32">
        <f t="shared" ref="F25:F29" si="17">ABS(E25-$E$2)</f>
        <v>4.6468666046292073E-3</v>
      </c>
    </row>
    <row r="26" spans="1:13">
      <c r="A26" s="36">
        <v>3</v>
      </c>
      <c r="B26" s="31">
        <f t="shared" ref="B26:B29" si="18">E25</f>
        <v>0.97374686660462917</v>
      </c>
      <c r="C26" s="31">
        <f t="shared" si="16"/>
        <v>2.3822601182444103</v>
      </c>
      <c r="D26" s="31">
        <f t="shared" ref="D26:D29" si="19">(SIN(3 * B26) - 6 * B26 * COS(3 * B26)) / SIN(3 * B26)^3</f>
        <v>566.91172670531239</v>
      </c>
      <c r="E26" s="31">
        <f t="shared" ref="E26:E29" si="20">B26 - (C26 / D26)</f>
        <v>0.96954469542695876</v>
      </c>
      <c r="F26" s="32">
        <f t="shared" si="17"/>
        <v>4.446954269587966E-4</v>
      </c>
    </row>
    <row r="27" spans="1:13">
      <c r="A27" s="36">
        <v>4</v>
      </c>
      <c r="B27" s="31">
        <f t="shared" si="18"/>
        <v>0.96954469542695876</v>
      </c>
      <c r="C27" s="31">
        <f t="shared" si="16"/>
        <v>0.19202588206331583</v>
      </c>
      <c r="D27" s="31">
        <f t="shared" si="19"/>
        <v>478.80417551764475</v>
      </c>
      <c r="E27" s="31">
        <f t="shared" si="20"/>
        <v>0.96914364236208994</v>
      </c>
      <c r="F27" s="32">
        <f t="shared" si="17"/>
        <v>4.3642362089979514E-5</v>
      </c>
    </row>
    <row r="28" spans="1:13">
      <c r="A28" s="36">
        <v>5</v>
      </c>
      <c r="B28" s="31">
        <f t="shared" si="18"/>
        <v>0.96914364236208994</v>
      </c>
      <c r="C28" s="31">
        <f t="shared" si="16"/>
        <v>1.4956682158100421E-3</v>
      </c>
      <c r="D28" s="31">
        <f t="shared" si="19"/>
        <v>471.37115832991515</v>
      </c>
      <c r="E28" s="31">
        <f t="shared" si="20"/>
        <v>0.96914046934611431</v>
      </c>
      <c r="F28" s="32">
        <f t="shared" si="17"/>
        <v>4.0469346114346827E-5</v>
      </c>
    </row>
    <row r="29" spans="1:13" ht="17" thickBot="1">
      <c r="A29" s="37">
        <v>6</v>
      </c>
      <c r="B29" s="34">
        <f t="shared" si="18"/>
        <v>0.96914046934611431</v>
      </c>
      <c r="C29" s="34">
        <f t="shared" si="16"/>
        <v>9.2330999734713259E-8</v>
      </c>
      <c r="D29" s="34">
        <f t="shared" si="19"/>
        <v>471.31296228744225</v>
      </c>
      <c r="E29" s="60">
        <f t="shared" si="20"/>
        <v>0.96914046915021268</v>
      </c>
      <c r="F29" s="63">
        <f t="shared" si="17"/>
        <v>4.0469150212718574E-5</v>
      </c>
    </row>
    <row r="30" spans="1:13">
      <c r="M30" s="31"/>
    </row>
    <row r="31" spans="1:13" ht="17" thickBot="1">
      <c r="B31" s="61" t="s">
        <v>64</v>
      </c>
    </row>
    <row r="32" spans="1:13">
      <c r="A32" s="13" t="s">
        <v>6</v>
      </c>
      <c r="B32" s="14" t="s">
        <v>10</v>
      </c>
      <c r="C32" s="14" t="s">
        <v>66</v>
      </c>
      <c r="D32" s="14" t="s">
        <v>67</v>
      </c>
      <c r="E32" s="25" t="s">
        <v>57</v>
      </c>
      <c r="F32" s="62" t="s">
        <v>68</v>
      </c>
    </row>
    <row r="33" spans="1:6" ht="17" thickBot="1">
      <c r="A33" s="36">
        <v>1</v>
      </c>
      <c r="B33" s="31">
        <v>1</v>
      </c>
      <c r="C33" s="31">
        <f>$F$33 * ((B33 / SIN(3 * B33)^2) - 18) + B33</f>
        <v>0.97100760847563217</v>
      </c>
      <c r="D33" s="31">
        <f>ABS($F$33 * ((SIN(3 * B33) - 6 * B33 * COS(3 * B33)) / SIN(3 * B33)^3) + 1)</f>
        <v>0.94740863120486796</v>
      </c>
      <c r="E33" s="32">
        <f>ABS(C33-$E$2)</f>
        <v>1.9076084756322054E-3</v>
      </c>
      <c r="F33" s="29">
        <v>-8.9999999999999998E-4</v>
      </c>
    </row>
    <row r="34" spans="1:6">
      <c r="A34" s="36">
        <v>2</v>
      </c>
      <c r="B34" s="31">
        <f>C33</f>
        <v>0.97100760847563217</v>
      </c>
      <c r="C34" s="31">
        <f t="shared" ref="C34:C38" si="21">$F$33 * ((B34 / SIN(3 * B34)^2) - 18) + B34</f>
        <v>0.97018587949973012</v>
      </c>
      <c r="D34" s="31">
        <f t="shared" ref="D34:D38" si="22">ABS($F$33 * ((SIN(3 * B34) - 6 * B34 * COS(3 * B34)) / SIN(3 * B34)^3) + 1)</f>
        <v>0.54345506599947502</v>
      </c>
      <c r="E34" s="32">
        <f t="shared" ref="E34:E38" si="23">ABS(C34-$E$2)</f>
        <v>1.085879499730158E-3</v>
      </c>
    </row>
    <row r="35" spans="1:6">
      <c r="A35" s="36">
        <v>3</v>
      </c>
      <c r="B35" s="31">
        <f>C34</f>
        <v>0.97018587949973012</v>
      </c>
      <c r="C35" s="31">
        <f t="shared" si="21"/>
        <v>0.96973325147722211</v>
      </c>
      <c r="D35" s="31">
        <f t="shared" si="22"/>
        <v>0.55808759430699606</v>
      </c>
      <c r="E35" s="32">
        <f t="shared" si="23"/>
        <v>6.3325147722215203E-4</v>
      </c>
    </row>
    <row r="36" spans="1:6">
      <c r="A36" s="36">
        <v>4</v>
      </c>
      <c r="B36" s="31">
        <f>C35</f>
        <v>0.96973325147722211</v>
      </c>
      <c r="C36" s="31">
        <f t="shared" si="21"/>
        <v>0.9694788743130982</v>
      </c>
      <c r="D36" s="31">
        <f t="shared" si="22"/>
        <v>0.56588271374373034</v>
      </c>
      <c r="E36" s="32">
        <f t="shared" si="23"/>
        <v>3.7887431309824304E-4</v>
      </c>
    </row>
    <row r="37" spans="1:6">
      <c r="A37" s="36">
        <v>5</v>
      </c>
      <c r="B37" s="31">
        <f t="shared" ref="B37" si="24">C36</f>
        <v>0.9694788743130982</v>
      </c>
      <c r="C37" s="31">
        <f t="shared" si="21"/>
        <v>0.96933437843303438</v>
      </c>
      <c r="D37" s="31">
        <f t="shared" si="22"/>
        <v>0.57018370516677319</v>
      </c>
      <c r="E37" s="32">
        <f t="shared" si="23"/>
        <v>2.3437843303442119E-4</v>
      </c>
    </row>
    <row r="38" spans="1:6" ht="17" thickBot="1">
      <c r="A38" s="37">
        <v>6</v>
      </c>
      <c r="B38" s="34">
        <f>C37</f>
        <v>0.96933437843303438</v>
      </c>
      <c r="C38" s="60">
        <f t="shared" si="21"/>
        <v>0.96925181432374308</v>
      </c>
      <c r="D38" s="34">
        <f t="shared" si="22"/>
        <v>0.57260170246590514</v>
      </c>
      <c r="E38" s="63">
        <f t="shared" si="23"/>
        <v>1.5181432374311576E-4</v>
      </c>
    </row>
    <row r="42" spans="1:6">
      <c r="D42" s="31"/>
    </row>
    <row r="43" spans="1:6">
      <c r="D43" s="31"/>
    </row>
    <row r="44" spans="1:6">
      <c r="D44" s="31"/>
    </row>
    <row r="45" spans="1:6">
      <c r="D45" s="31"/>
    </row>
    <row r="46" spans="1:6">
      <c r="D46" s="31"/>
    </row>
    <row r="47" spans="1:6">
      <c r="D47" s="31"/>
    </row>
    <row r="48" spans="1:6">
      <c r="D48" s="31"/>
    </row>
    <row r="49" spans="4:4">
      <c r="D49" s="31"/>
    </row>
    <row r="50" spans="4:4">
      <c r="D50" s="31"/>
    </row>
    <row r="51" spans="4:4">
      <c r="D51" s="31"/>
    </row>
    <row r="52" spans="4:4">
      <c r="D52" s="31"/>
    </row>
    <row r="53" spans="4:4">
      <c r="D53" s="31"/>
    </row>
    <row r="54" spans="4:4">
      <c r="D54" s="31"/>
    </row>
    <row r="55" spans="4:4">
      <c r="D55" s="31"/>
    </row>
    <row r="56" spans="4:4">
      <c r="D56" s="31"/>
    </row>
    <row r="57" spans="4:4">
      <c r="D57" s="31"/>
    </row>
    <row r="58" spans="4:4">
      <c r="D58" s="31"/>
    </row>
    <row r="59" spans="4:4">
      <c r="D59" s="31"/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5173370-5E06-E443-BCC1-6B58FD69B80B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F6:F11</xm:sqref>
        </x14:conditionalFormatting>
        <x14:conditionalFormatting xmlns:xm="http://schemas.microsoft.com/office/excel/2006/main">
          <x14:cfRule type="iconSet" priority="7" id="{EC94A2EB-F3CC-CC44-BB8E-DFCFADCDDC7B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F15:F20</xm:sqref>
        </x14:conditionalFormatting>
        <x14:conditionalFormatting xmlns:xm="http://schemas.microsoft.com/office/excel/2006/main">
          <x14:cfRule type="iconSet" priority="1" id="{01FAF5B1-2F90-CF4F-AF00-2D286BFBB6D3}">
            <x14:iconSet iconSet="3Symbols2" custom="1">
              <x14:cfvo type="percent">
                <xm:f>0</xm:f>
              </x14:cfvo>
              <x14:cfvo type="num" gte="0">
                <xm:f>1</xm:f>
              </x14:cfvo>
              <x14:cfvo type="num" gte="0">
                <xm:f>1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D33:D38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Normal="100" workbookViewId="0">
      <selection activeCell="E6" sqref="E6"/>
    </sheetView>
  </sheetViews>
  <sheetFormatPr baseColWidth="10" defaultColWidth="11" defaultRowHeight="16"/>
  <cols>
    <col min="1" max="1" width="2.1640625" customWidth="1"/>
  </cols>
  <sheetData>
    <row r="1" spans="1:5">
      <c r="A1" s="6"/>
      <c r="B1" s="6" t="s">
        <v>0</v>
      </c>
      <c r="C1" s="6">
        <f>n!$E$3</f>
        <v>18</v>
      </c>
      <c r="D1" s="6" t="s">
        <v>1</v>
      </c>
      <c r="E1" s="6">
        <f>n!$E$4</f>
        <v>16</v>
      </c>
    </row>
    <row r="2" spans="1:5">
      <c r="B2" t="s">
        <v>77</v>
      </c>
      <c r="C2">
        <v>5</v>
      </c>
      <c r="D2" t="s">
        <v>78</v>
      </c>
      <c r="E2">
        <v>10</v>
      </c>
    </row>
    <row r="3" spans="1:5">
      <c r="B3" t="s">
        <v>79</v>
      </c>
    </row>
    <row r="6" spans="1:5">
      <c r="B6" s="48" t="s">
        <v>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14"/>
  <sheetViews>
    <sheetView zoomScaleNormal="100" workbookViewId="0">
      <selection activeCell="B14" sqref="B14"/>
    </sheetView>
  </sheetViews>
  <sheetFormatPr baseColWidth="10" defaultColWidth="11" defaultRowHeight="16"/>
  <cols>
    <col min="1" max="1" width="2" customWidth="1"/>
  </cols>
  <sheetData>
    <row r="1" spans="2:2" ht="7" customHeight="1"/>
    <row r="14" spans="2:2">
      <c r="B14" t="s">
        <v>84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9"/>
  <sheetViews>
    <sheetView zoomScaleNormal="100" workbookViewId="0"/>
  </sheetViews>
  <sheetFormatPr baseColWidth="10" defaultColWidth="11" defaultRowHeight="16"/>
  <cols>
    <col min="1" max="1" width="2" customWidth="1"/>
  </cols>
  <sheetData>
    <row r="1" spans="2:2" ht="8" customHeight="1"/>
    <row r="2" spans="2:2">
      <c r="B2" t="s">
        <v>82</v>
      </c>
    </row>
    <row r="9" spans="2:2">
      <c r="B9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</vt:lpstr>
      <vt:lpstr>1. Метод Гаусса</vt:lpstr>
      <vt:lpstr>2. Интерполяция и аппроксимация</vt:lpstr>
      <vt:lpstr>3. Инт. и диф. функции</vt:lpstr>
      <vt:lpstr>4. Нелинейное уравнение</vt:lpstr>
      <vt:lpstr>5. Диф. уравнение</vt:lpstr>
      <vt:lpstr>IV-3. Мин. Функции при огр.</vt:lpstr>
      <vt:lpstr>II-3. Решение ОДУ</vt:lpstr>
    </vt:vector>
  </TitlesOfParts>
  <Manager/>
  <Company>https://github.com/DV1X3R/tti-computer-science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Numerical Methods Homework</dc:title>
  <dc:subject/>
  <dc:creator>Denis Purvinsh (DV1X3R)</dc:creator>
  <cp:keywords/>
  <dc:description>4502BD Forever :)</dc:description>
  <cp:lastModifiedBy>Microsoft Office User</cp:lastModifiedBy>
  <dcterms:created xsi:type="dcterms:W3CDTF">2018-12-04T09:10:15Z</dcterms:created>
  <dcterms:modified xsi:type="dcterms:W3CDTF">2018-12-29T01:45:03Z</dcterms:modified>
  <cp:category/>
</cp:coreProperties>
</file>