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Documents/Sourcetree/tti-computer-science/IV. Fourth Year/cs-numerical/"/>
    </mc:Choice>
  </mc:AlternateContent>
  <xr:revisionPtr revIDLastSave="0" documentId="13_ncr:1_{D09CA0FE-EFAA-7B4B-A488-BDFC2DB3C003}" xr6:coauthVersionLast="36" xr6:coauthVersionMax="36" xr10:uidLastSave="{00000000-0000-0000-0000-000000000000}"/>
  <bookViews>
    <workbookView xWindow="0" yWindow="460" windowWidth="16800" windowHeight="20540" firstSheet="4" activeTab="6" xr2:uid="{00000000-000D-0000-FFFF-FFFF00000000}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  <sheet name="4. Нелинейное уравнение" sheetId="6" r:id="rId5"/>
    <sheet name="5. Диф. уравнение" sheetId="7" r:id="rId6"/>
    <sheet name="IV-3. Мин. Функции при огр." sheetId="8" r:id="rId7"/>
    <sheet name="II-3. Решение ОДУ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E10" i="5"/>
  <c r="E11" i="5" s="1"/>
  <c r="D10" i="5"/>
  <c r="E22" i="3"/>
  <c r="E1" i="7" l="1"/>
  <c r="C1" i="7"/>
  <c r="G16" i="6" l="1"/>
  <c r="L6" i="4"/>
  <c r="L5" i="4"/>
  <c r="L4" i="4"/>
  <c r="E34" i="6"/>
  <c r="E35" i="6"/>
  <c r="E36" i="6"/>
  <c r="E37" i="6"/>
  <c r="E38" i="6"/>
  <c r="E33" i="6"/>
  <c r="J16" i="6"/>
  <c r="J15" i="6"/>
  <c r="J7" i="6"/>
  <c r="J8" i="6"/>
  <c r="J9" i="6"/>
  <c r="J10" i="6"/>
  <c r="J11" i="6"/>
  <c r="J6" i="6"/>
  <c r="D33" i="6"/>
  <c r="C33" i="6"/>
  <c r="B34" i="6" s="1"/>
  <c r="D34" i="6" s="1"/>
  <c r="C24" i="6"/>
  <c r="M43" i="5"/>
  <c r="D24" i="6"/>
  <c r="N44" i="5"/>
  <c r="N43" i="5"/>
  <c r="N7" i="5"/>
  <c r="N6" i="5"/>
  <c r="E15" i="6"/>
  <c r="D15" i="6"/>
  <c r="G6" i="6"/>
  <c r="H6" i="6" s="1"/>
  <c r="D6" i="6"/>
  <c r="E6" i="6"/>
  <c r="C34" i="6" l="1"/>
  <c r="E24" i="6"/>
  <c r="G15" i="6"/>
  <c r="H15" i="6" s="1"/>
  <c r="I15" i="6" s="1"/>
  <c r="F15" i="6"/>
  <c r="I6" i="6"/>
  <c r="B7" i="6" s="1"/>
  <c r="F6" i="6"/>
  <c r="L18" i="5"/>
  <c r="N19" i="5" s="1"/>
  <c r="L19" i="5"/>
  <c r="N20" i="5" s="1"/>
  <c r="L20" i="5"/>
  <c r="N21" i="5" s="1"/>
  <c r="L21" i="5"/>
  <c r="N22" i="5" s="1"/>
  <c r="L22" i="5"/>
  <c r="M21" i="5" s="1"/>
  <c r="L23" i="5"/>
  <c r="M22" i="5" s="1"/>
  <c r="L24" i="5"/>
  <c r="M23" i="5" s="1"/>
  <c r="L25" i="5"/>
  <c r="M24" i="5" s="1"/>
  <c r="L26" i="5"/>
  <c r="N27" i="5" s="1"/>
  <c r="L27" i="5"/>
  <c r="N28" i="5" s="1"/>
  <c r="L28" i="5"/>
  <c r="N29" i="5" s="1"/>
  <c r="L29" i="5"/>
  <c r="N30" i="5" s="1"/>
  <c r="L30" i="5"/>
  <c r="M29" i="5" s="1"/>
  <c r="L31" i="5"/>
  <c r="M30" i="5" s="1"/>
  <c r="L32" i="5"/>
  <c r="M31" i="5" s="1"/>
  <c r="L33" i="5"/>
  <c r="M32" i="5" s="1"/>
  <c r="L34" i="5"/>
  <c r="N35" i="5" s="1"/>
  <c r="L35" i="5"/>
  <c r="N36" i="5" s="1"/>
  <c r="L36" i="5"/>
  <c r="N37" i="5" s="1"/>
  <c r="L37" i="5"/>
  <c r="N38" i="5" s="1"/>
  <c r="L38" i="5"/>
  <c r="M37" i="5" s="1"/>
  <c r="L39" i="5"/>
  <c r="M38" i="5" s="1"/>
  <c r="L40" i="5"/>
  <c r="M39" i="5" s="1"/>
  <c r="L41" i="5"/>
  <c r="M40" i="5" s="1"/>
  <c r="L42" i="5"/>
  <c r="L43" i="5"/>
  <c r="L44" i="5"/>
  <c r="L5" i="5"/>
  <c r="L6" i="5"/>
  <c r="L7" i="5"/>
  <c r="N8" i="5" s="1"/>
  <c r="L8" i="5"/>
  <c r="M7" i="5" s="1"/>
  <c r="L9" i="5"/>
  <c r="M8" i="5" s="1"/>
  <c r="L10" i="5"/>
  <c r="N11" i="5" s="1"/>
  <c r="L11" i="5"/>
  <c r="N12" i="5" s="1"/>
  <c r="L12" i="5"/>
  <c r="N13" i="5" s="1"/>
  <c r="L13" i="5"/>
  <c r="N14" i="5" s="1"/>
  <c r="L14" i="5"/>
  <c r="M13" i="5" s="1"/>
  <c r="L15" i="5"/>
  <c r="M14" i="5" s="1"/>
  <c r="L16" i="5"/>
  <c r="M15" i="5" s="1"/>
  <c r="L17" i="5"/>
  <c r="M16" i="5" s="1"/>
  <c r="G35" i="5"/>
  <c r="I32" i="5"/>
  <c r="H32" i="5"/>
  <c r="G32" i="5"/>
  <c r="I29" i="5"/>
  <c r="I35" i="5" s="1"/>
  <c r="H29" i="5"/>
  <c r="H35" i="5" s="1"/>
  <c r="G11" i="5" s="1"/>
  <c r="C5" i="4"/>
  <c r="T4" i="4" s="1"/>
  <c r="C5" i="5"/>
  <c r="G2" i="5"/>
  <c r="B25" i="6" l="1"/>
  <c r="C25" i="6" s="1"/>
  <c r="F24" i="6"/>
  <c r="B35" i="6"/>
  <c r="C7" i="6"/>
  <c r="E7" i="6" s="1"/>
  <c r="D7" i="6"/>
  <c r="G7" i="6"/>
  <c r="H7" i="6" s="1"/>
  <c r="B16" i="6"/>
  <c r="C16" i="6"/>
  <c r="M36" i="5"/>
  <c r="M28" i="5"/>
  <c r="M20" i="5"/>
  <c r="M12" i="5"/>
  <c r="N42" i="5"/>
  <c r="N34" i="5"/>
  <c r="N26" i="5"/>
  <c r="N18" i="5"/>
  <c r="N10" i="5"/>
  <c r="M6" i="5"/>
  <c r="M35" i="5"/>
  <c r="M27" i="5"/>
  <c r="M19" i="5"/>
  <c r="M11" i="5"/>
  <c r="N41" i="5"/>
  <c r="N33" i="5"/>
  <c r="N25" i="5"/>
  <c r="N17" i="5"/>
  <c r="N9" i="5"/>
  <c r="M42" i="5"/>
  <c r="M34" i="5"/>
  <c r="M26" i="5"/>
  <c r="M18" i="5"/>
  <c r="M10" i="5"/>
  <c r="N40" i="5"/>
  <c r="N32" i="5"/>
  <c r="N24" i="5"/>
  <c r="N16" i="5"/>
  <c r="M41" i="5"/>
  <c r="M33" i="5"/>
  <c r="M25" i="5"/>
  <c r="M17" i="5"/>
  <c r="M9" i="5"/>
  <c r="N39" i="5"/>
  <c r="N31" i="5"/>
  <c r="N23" i="5"/>
  <c r="N15" i="5"/>
  <c r="D6" i="5"/>
  <c r="B6" i="5"/>
  <c r="B7" i="5" s="1"/>
  <c r="Q14" i="4"/>
  <c r="D25" i="6" l="1"/>
  <c r="E25" i="6" s="1"/>
  <c r="B26" i="6" s="1"/>
  <c r="C26" i="6" s="1"/>
  <c r="C35" i="6"/>
  <c r="B36" i="6" s="1"/>
  <c r="D35" i="6"/>
  <c r="F7" i="6"/>
  <c r="E16" i="6"/>
  <c r="D16" i="6"/>
  <c r="I7" i="6"/>
  <c r="B8" i="5"/>
  <c r="C7" i="5"/>
  <c r="C6" i="5"/>
  <c r="M4" i="4"/>
  <c r="M5" i="4"/>
  <c r="E1" i="3"/>
  <c r="F25" i="6" l="1"/>
  <c r="D26" i="6"/>
  <c r="E26" i="6" s="1"/>
  <c r="C36" i="6"/>
  <c r="B37" i="6" s="1"/>
  <c r="D36" i="6"/>
  <c r="H16" i="6"/>
  <c r="I16" i="6" s="1"/>
  <c r="F16" i="6"/>
  <c r="B8" i="6"/>
  <c r="C8" i="6"/>
  <c r="E8" i="6" s="1"/>
  <c r="F7" i="5"/>
  <c r="F6" i="5"/>
  <c r="D6" i="3"/>
  <c r="C6" i="3"/>
  <c r="E7" i="5"/>
  <c r="D7" i="5"/>
  <c r="E6" i="5"/>
  <c r="D8" i="5"/>
  <c r="B9" i="5"/>
  <c r="C8" i="5"/>
  <c r="E8" i="5" s="1"/>
  <c r="N4" i="4"/>
  <c r="J16" i="4" s="1"/>
  <c r="B14" i="3"/>
  <c r="D12" i="3"/>
  <c r="D20" i="3" s="1"/>
  <c r="C12" i="3"/>
  <c r="C20" i="3" s="1"/>
  <c r="E3" i="1"/>
  <c r="J12" i="4" l="1"/>
  <c r="J14" i="4"/>
  <c r="J18" i="4"/>
  <c r="J17" i="4"/>
  <c r="J19" i="4"/>
  <c r="J31" i="4"/>
  <c r="B27" i="6"/>
  <c r="C27" i="6" s="1"/>
  <c r="F26" i="6"/>
  <c r="C37" i="6"/>
  <c r="D37" i="6"/>
  <c r="D8" i="6"/>
  <c r="G8" i="6"/>
  <c r="H8" i="6" s="1"/>
  <c r="C17" i="6"/>
  <c r="B17" i="6"/>
  <c r="C1" i="3"/>
  <c r="B4" i="3" s="1"/>
  <c r="C1" i="4"/>
  <c r="B5" i="4" s="1"/>
  <c r="E20" i="4" s="1"/>
  <c r="D9" i="5"/>
  <c r="C9" i="5"/>
  <c r="B10" i="5"/>
  <c r="C10" i="5" s="1"/>
  <c r="F15" i="4"/>
  <c r="T14" i="4"/>
  <c r="J20" i="4"/>
  <c r="J28" i="4"/>
  <c r="J24" i="4"/>
  <c r="J27" i="4"/>
  <c r="J23" i="4"/>
  <c r="J29" i="4"/>
  <c r="J25" i="4"/>
  <c r="J15" i="4"/>
  <c r="J21" i="4"/>
  <c r="J13" i="4"/>
  <c r="J30" i="4"/>
  <c r="J26" i="4"/>
  <c r="J22" i="4"/>
  <c r="E14" i="4"/>
  <c r="F26" i="4"/>
  <c r="G19" i="4"/>
  <c r="D17" i="4"/>
  <c r="D19" i="4"/>
  <c r="G21" i="4"/>
  <c r="E16" i="4"/>
  <c r="D24" i="4"/>
  <c r="E19" i="4"/>
  <c r="E21" i="4"/>
  <c r="E14" i="3"/>
  <c r="D14" i="3"/>
  <c r="E12" i="3"/>
  <c r="E20" i="3" s="1"/>
  <c r="C14" i="3"/>
  <c r="D27" i="6" l="1"/>
  <c r="E27" i="6" s="1"/>
  <c r="T6" i="4"/>
  <c r="R6" i="4"/>
  <c r="R12" i="4" s="1"/>
  <c r="R17" i="4" s="1"/>
  <c r="R22" i="4" s="1"/>
  <c r="D18" i="4"/>
  <c r="D12" i="4"/>
  <c r="F17" i="4"/>
  <c r="E29" i="4"/>
  <c r="D27" i="4"/>
  <c r="D31" i="4"/>
  <c r="F22" i="4"/>
  <c r="G14" i="4"/>
  <c r="F29" i="4"/>
  <c r="E30" i="4"/>
  <c r="D30" i="4"/>
  <c r="F20" i="4"/>
  <c r="G12" i="4"/>
  <c r="E27" i="4"/>
  <c r="E13" i="4"/>
  <c r="D20" i="4"/>
  <c r="F27" i="4"/>
  <c r="E22" i="4"/>
  <c r="E25" i="4"/>
  <c r="G26" i="4"/>
  <c r="E24" i="4"/>
  <c r="C24" i="4" s="1"/>
  <c r="F23" i="4"/>
  <c r="G18" i="4"/>
  <c r="D14" i="4"/>
  <c r="G13" i="4"/>
  <c r="E15" i="4"/>
  <c r="F21" i="4"/>
  <c r="D16" i="4"/>
  <c r="F12" i="4"/>
  <c r="G23" i="4"/>
  <c r="F13" i="4"/>
  <c r="E12" i="4"/>
  <c r="E17" i="4"/>
  <c r="D29" i="4"/>
  <c r="C29" i="4" s="1"/>
  <c r="F24" i="4"/>
  <c r="G15" i="4"/>
  <c r="G17" i="4"/>
  <c r="D26" i="4"/>
  <c r="C26" i="4" s="1"/>
  <c r="D28" i="4"/>
  <c r="G27" i="4"/>
  <c r="F25" i="4"/>
  <c r="E31" i="4"/>
  <c r="F30" i="4"/>
  <c r="C30" i="4" s="1"/>
  <c r="F16" i="4"/>
  <c r="C16" i="4" s="1"/>
  <c r="D25" i="4"/>
  <c r="C25" i="4" s="1"/>
  <c r="G24" i="4"/>
  <c r="F18" i="4"/>
  <c r="F19" i="4"/>
  <c r="C19" i="4" s="1"/>
  <c r="G16" i="4"/>
  <c r="D15" i="4"/>
  <c r="G25" i="4"/>
  <c r="E26" i="4"/>
  <c r="D22" i="4"/>
  <c r="C22" i="4" s="1"/>
  <c r="D23" i="4"/>
  <c r="G22" i="4"/>
  <c r="F28" i="4"/>
  <c r="G29" i="4"/>
  <c r="G28" i="4"/>
  <c r="E23" i="4"/>
  <c r="F31" i="4"/>
  <c r="E28" i="4"/>
  <c r="C28" i="4" s="1"/>
  <c r="D21" i="4"/>
  <c r="C21" i="4" s="1"/>
  <c r="G20" i="4"/>
  <c r="E18" i="4"/>
  <c r="G30" i="4"/>
  <c r="G31" i="4"/>
  <c r="F14" i="4"/>
  <c r="C14" i="4" s="1"/>
  <c r="B28" i="6"/>
  <c r="D28" i="6" s="1"/>
  <c r="F27" i="6"/>
  <c r="B38" i="6"/>
  <c r="E17" i="6"/>
  <c r="D17" i="6"/>
  <c r="F8" i="6"/>
  <c r="I8" i="6"/>
  <c r="D13" i="4"/>
  <c r="C13" i="4" s="1"/>
  <c r="Q5" i="4"/>
  <c r="T13" i="4" s="1"/>
  <c r="T18" i="4" s="1"/>
  <c r="T23" i="4" s="1"/>
  <c r="T5" i="4"/>
  <c r="Q6" i="4"/>
  <c r="Q12" i="4" s="1"/>
  <c r="Q19" i="4" s="1"/>
  <c r="T12" i="4"/>
  <c r="T17" i="4" s="1"/>
  <c r="T22" i="4" s="1"/>
  <c r="S5" i="4"/>
  <c r="S4" i="4"/>
  <c r="S14" i="4" s="1"/>
  <c r="S6" i="4"/>
  <c r="S12" i="4" s="1"/>
  <c r="S17" i="4" s="1"/>
  <c r="S22" i="4" s="1"/>
  <c r="R4" i="4"/>
  <c r="R14" i="4" s="1"/>
  <c r="R5" i="4"/>
  <c r="B13" i="3"/>
  <c r="B21" i="3" s="1"/>
  <c r="D13" i="3"/>
  <c r="C13" i="3"/>
  <c r="C22" i="3" s="1"/>
  <c r="E13" i="3"/>
  <c r="F9" i="5"/>
  <c r="D11" i="5"/>
  <c r="F8" i="5"/>
  <c r="E9" i="5"/>
  <c r="C27" i="4"/>
  <c r="C18" i="4"/>
  <c r="B12" i="3"/>
  <c r="B20" i="3" s="1"/>
  <c r="C28" i="6" l="1"/>
  <c r="E28" i="6" s="1"/>
  <c r="C31" i="4"/>
  <c r="C15" i="4"/>
  <c r="C17" i="4"/>
  <c r="C23" i="4"/>
  <c r="C20" i="4"/>
  <c r="S13" i="4"/>
  <c r="S18" i="4" s="1"/>
  <c r="S23" i="4" s="1"/>
  <c r="D22" i="3"/>
  <c r="C12" i="4"/>
  <c r="Q13" i="4"/>
  <c r="Q18" i="4" s="1"/>
  <c r="Q23" i="4" s="1"/>
  <c r="Q17" i="4"/>
  <c r="Q22" i="4" s="1"/>
  <c r="C38" i="6"/>
  <c r="D38" i="6"/>
  <c r="G17" i="6"/>
  <c r="F17" i="6"/>
  <c r="C9" i="6"/>
  <c r="E9" i="6" s="1"/>
  <c r="B9" i="6"/>
  <c r="R19" i="4"/>
  <c r="D27" i="3"/>
  <c r="R13" i="4"/>
  <c r="R18" i="4" s="1"/>
  <c r="R23" i="4" s="1"/>
  <c r="B22" i="3"/>
  <c r="T19" i="4"/>
  <c r="S19" i="4"/>
  <c r="D21" i="3"/>
  <c r="R24" i="4" l="1"/>
  <c r="H17" i="6"/>
  <c r="J17" i="6"/>
  <c r="S24" i="4"/>
  <c r="T24" i="4"/>
  <c r="B29" i="6"/>
  <c r="C29" i="6" s="1"/>
  <c r="F28" i="6"/>
  <c r="D9" i="6"/>
  <c r="G9" i="6"/>
  <c r="H9" i="6" s="1"/>
  <c r="I17" i="6"/>
  <c r="C18" i="6" s="1"/>
  <c r="Q24" i="4"/>
  <c r="E21" i="3"/>
  <c r="C21" i="3"/>
  <c r="T27" i="4" l="1"/>
  <c r="D29" i="6"/>
  <c r="E29" i="6" s="1"/>
  <c r="F29" i="6" s="1"/>
  <c r="E18" i="6"/>
  <c r="B18" i="6"/>
  <c r="I9" i="6"/>
  <c r="F9" i="6"/>
  <c r="C27" i="3"/>
  <c r="B27" i="3" s="1"/>
  <c r="S27" i="4" l="1"/>
  <c r="T29" i="4"/>
  <c r="C10" i="6"/>
  <c r="B10" i="6"/>
  <c r="D18" i="6"/>
  <c r="G18" i="6" s="1"/>
  <c r="J18" i="6" s="1"/>
  <c r="E10" i="6"/>
  <c r="F5" i="3"/>
  <c r="G5" i="3" s="1"/>
  <c r="H5" i="3" s="1"/>
  <c r="F6" i="3"/>
  <c r="H6" i="3" s="1"/>
  <c r="F4" i="3"/>
  <c r="G4" i="3" s="1"/>
  <c r="H4" i="3" s="1"/>
  <c r="R27" i="4" l="1"/>
  <c r="S29" i="4"/>
  <c r="D10" i="6"/>
  <c r="G10" i="6"/>
  <c r="F18" i="6"/>
  <c r="H18" i="6"/>
  <c r="I18" i="6" s="1"/>
  <c r="H10" i="6"/>
  <c r="G6" i="3"/>
  <c r="V12" i="4" l="1"/>
  <c r="R29" i="4"/>
  <c r="V31" i="4"/>
  <c r="V27" i="4"/>
  <c r="V29" i="4"/>
  <c r="V30" i="4"/>
  <c r="V19" i="4"/>
  <c r="V25" i="4"/>
  <c r="V22" i="4"/>
  <c r="V26" i="4"/>
  <c r="V14" i="4"/>
  <c r="V18" i="4"/>
  <c r="V21" i="4"/>
  <c r="V13" i="4"/>
  <c r="V23" i="4"/>
  <c r="V20" i="4"/>
  <c r="V16" i="4"/>
  <c r="V17" i="4"/>
  <c r="V24" i="4"/>
  <c r="V28" i="4"/>
  <c r="V15" i="4"/>
  <c r="C19" i="6"/>
  <c r="B19" i="6"/>
  <c r="F10" i="6"/>
  <c r="I10" i="6"/>
  <c r="C11" i="6" s="1"/>
  <c r="E11" i="6" s="1"/>
  <c r="E19" i="6" l="1"/>
  <c r="D19" i="6"/>
  <c r="B11" i="6"/>
  <c r="D11" i="6" l="1"/>
  <c r="F11" i="6" s="1"/>
  <c r="G11" i="6"/>
  <c r="H11" i="6" s="1"/>
  <c r="G19" i="6"/>
  <c r="F19" i="6"/>
  <c r="H19" i="6" l="1"/>
  <c r="I19" i="6" s="1"/>
  <c r="J19" i="6"/>
  <c r="I11" i="6"/>
  <c r="B20" i="6"/>
  <c r="C20" i="6"/>
  <c r="E20" i="6" l="1"/>
  <c r="D20" i="6"/>
  <c r="G20" i="6" l="1"/>
  <c r="F20" i="6"/>
  <c r="H20" i="6" l="1"/>
  <c r="I20" i="6" s="1"/>
  <c r="J20" i="6"/>
</calcChain>
</file>

<file path=xl/sharedStrings.xml><?xml version="1.0" encoding="utf-8"?>
<sst xmlns="http://schemas.openxmlformats.org/spreadsheetml/2006/main" count="155" uniqueCount="85">
  <si>
    <t>Ng</t>
  </si>
  <si>
    <t>Ns</t>
  </si>
  <si>
    <t>Ndept</t>
  </si>
  <si>
    <t>Ftime</t>
  </si>
  <si>
    <t>Nyear</t>
  </si>
  <si>
    <t>Ngroup</t>
  </si>
  <si>
    <t>i</t>
  </si>
  <si>
    <t>3'</t>
  </si>
  <si>
    <t>2'</t>
  </si>
  <si>
    <t>y(x)</t>
  </si>
  <si>
    <t>x</t>
  </si>
  <si>
    <t>Прямой ход - Этап 1</t>
  </si>
  <si>
    <t>Прямой ход - Этап 2</t>
  </si>
  <si>
    <t>1. Полином Лагранжа 3-го порядка</t>
  </si>
  <si>
    <t>2. Полином Ньютона 3-го порядка</t>
  </si>
  <si>
    <t>ROUND</t>
  </si>
  <si>
    <t>∆y</t>
  </si>
  <si>
    <t>3''</t>
  </si>
  <si>
    <t>f(x)</t>
  </si>
  <si>
    <t>a</t>
  </si>
  <si>
    <t>b</t>
  </si>
  <si>
    <t>h</t>
  </si>
  <si>
    <t>n</t>
  </si>
  <si>
    <t>Интеграл</t>
  </si>
  <si>
    <r>
      <t>a</t>
    </r>
    <r>
      <rPr>
        <b/>
        <vertAlign val="subscript"/>
        <sz val="12"/>
        <color theme="1"/>
        <rFont val="Calibri (Body)"/>
      </rPr>
      <t>i1</t>
    </r>
  </si>
  <si>
    <r>
      <t>a</t>
    </r>
    <r>
      <rPr>
        <b/>
        <vertAlign val="subscript"/>
        <sz val="12"/>
        <color theme="1"/>
        <rFont val="Calibri (Body)"/>
      </rPr>
      <t>i2</t>
    </r>
  </si>
  <si>
    <r>
      <t>a</t>
    </r>
    <r>
      <rPr>
        <b/>
        <vertAlign val="subscript"/>
        <sz val="12"/>
        <color theme="1"/>
        <rFont val="Calibri (Body)"/>
      </rPr>
      <t>i3</t>
    </r>
  </si>
  <si>
    <r>
      <rPr>
        <b/>
        <sz val="12"/>
        <color theme="1"/>
        <rFont val="Calibri (Body)"/>
      </rPr>
      <t>b</t>
    </r>
    <r>
      <rPr>
        <b/>
        <vertAlign val="subscript"/>
        <sz val="12"/>
        <color theme="1"/>
        <rFont val="Calibri (Body)"/>
      </rPr>
      <t>i</t>
    </r>
  </si>
  <si>
    <r>
      <t>x</t>
    </r>
    <r>
      <rPr>
        <b/>
        <vertAlign val="subscript"/>
        <sz val="12"/>
        <color theme="1"/>
        <rFont val="Calibri (Body)"/>
      </rPr>
      <t>1</t>
    </r>
  </si>
  <si>
    <r>
      <t>x</t>
    </r>
    <r>
      <rPr>
        <b/>
        <vertAlign val="subscript"/>
        <sz val="12"/>
        <color theme="1"/>
        <rFont val="Calibri (Body)"/>
      </rPr>
      <t>2</t>
    </r>
  </si>
  <si>
    <r>
      <t>x</t>
    </r>
    <r>
      <rPr>
        <b/>
        <vertAlign val="subscript"/>
        <sz val="12"/>
        <color theme="1"/>
        <rFont val="Calibri (Body)"/>
      </rPr>
      <t>3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</si>
  <si>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</si>
  <si>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∆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y</t>
    </r>
  </si>
  <si>
    <r>
      <t>∆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</si>
  <si>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2"/>
        <color theme="1"/>
        <rFont val="Calibri (Body)"/>
      </rPr>
      <t>i1</t>
    </r>
  </si>
  <si>
    <r>
      <t>x</t>
    </r>
    <r>
      <rPr>
        <b/>
        <vertAlign val="subscript"/>
        <sz val="12"/>
        <color theme="1"/>
        <rFont val="Calibri (Body)"/>
      </rPr>
      <t>i2</t>
    </r>
  </si>
  <si>
    <r>
      <t>x</t>
    </r>
    <r>
      <rPr>
        <b/>
        <vertAlign val="subscript"/>
        <sz val="12"/>
        <color theme="1"/>
        <rFont val="Calibri (Body)"/>
      </rPr>
      <t>i3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</si>
  <si>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</si>
  <si>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</si>
  <si>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</si>
  <si>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К.Ф. Гаусса</t>
  </si>
  <si>
    <t>Квадратурная форма Гаусса 3-го порядка</t>
  </si>
  <si>
    <r>
      <t>B</t>
    </r>
    <r>
      <rPr>
        <b/>
        <vertAlign val="subscript"/>
        <sz val="12"/>
        <color theme="1"/>
        <rFont val="Calibri (Body)"/>
      </rPr>
      <t>i</t>
    </r>
  </si>
  <si>
    <r>
      <t>∆b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Невязка</t>
    </r>
  </si>
  <si>
    <r>
      <t>𝜎(b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) Относительная ошибка</t>
    </r>
  </si>
  <si>
    <r>
      <t>t</t>
    </r>
    <r>
      <rPr>
        <b/>
        <vertAlign val="subscript"/>
        <sz val="12"/>
        <color theme="1"/>
        <rFont val="Calibri (Body)"/>
      </rPr>
      <t>1</t>
    </r>
  </si>
  <si>
    <r>
      <t>t</t>
    </r>
    <r>
      <rPr>
        <b/>
        <vertAlign val="subscript"/>
        <sz val="12"/>
        <color theme="1"/>
        <rFont val="Calibri (Body)"/>
      </rPr>
      <t>2</t>
    </r>
  </si>
  <si>
    <r>
      <t>t</t>
    </r>
    <r>
      <rPr>
        <b/>
        <vertAlign val="subscript"/>
        <sz val="12"/>
        <color theme="1"/>
        <rFont val="Calibri (Body)"/>
      </rPr>
      <t>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</si>
  <si>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</si>
  <si>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</si>
  <si>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</si>
  <si>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f'(x)</t>
  </si>
  <si>
    <t>F'(x)</t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</si>
  <si>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трап.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</si>
  <si>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симп.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</si>
  <si>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прям. (л.)</t>
    </r>
  </si>
  <si>
    <t>f(a) * f(b)</t>
  </si>
  <si>
    <t>f(a) * f(x)</t>
  </si>
  <si>
    <t>∆</t>
  </si>
  <si>
    <t>f(a)</t>
  </si>
  <si>
    <t>f(b)</t>
  </si>
  <si>
    <r>
      <t>x</t>
    </r>
    <r>
      <rPr>
        <b/>
        <vertAlign val="subscript"/>
        <sz val="12"/>
        <color theme="1"/>
        <rFont val="Calibri (Body)"/>
      </rPr>
      <t>i+1</t>
    </r>
  </si>
  <si>
    <t>1. Метод бисекции</t>
  </si>
  <si>
    <t>2. Метод хорд</t>
  </si>
  <si>
    <t>3. Метод Ньютона</t>
  </si>
  <si>
    <t>4. Метод простых итераций</t>
  </si>
  <si>
    <t>Обратный ход</t>
  </si>
  <si>
    <t>φ(x)</t>
  </si>
  <si>
    <t>|φ'(x)|</t>
  </si>
  <si>
    <t>k</t>
  </si>
  <si>
    <t>fzero</t>
  </si>
  <si>
    <r>
      <t>l</t>
    </r>
    <r>
      <rPr>
        <b/>
        <vertAlign val="subscript"/>
        <sz val="12"/>
        <color theme="1"/>
        <rFont val="Calibri (Body)"/>
      </rPr>
      <t>0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</si>
  <si>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</si>
  <si>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</si>
  <si>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</si>
  <si>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N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</si>
  <si>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φ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</si>
  <si>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t>polyfit</t>
  </si>
  <si>
    <t>y(0)</t>
  </si>
  <si>
    <t>y'(0)</t>
  </si>
  <si>
    <t>y''(t) + 5 * y'(t) + Ns * y(t) = Ng</t>
  </si>
  <si>
    <t>Метод Рунге-Кутты 4-го порядка</t>
  </si>
  <si>
    <t>3. Метод наименьших квадратов (Полином 2-го порядка)</t>
  </si>
  <si>
    <t>Решение системы ОДУ (стабилизация цены в денежном выражении)</t>
  </si>
  <si>
    <t>Построить графики x(t) - деньги, y(t) - товар и фазовый потрет системы на временном интервале [0 ; 75].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</si>
</sst>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0000"/>
    <numFmt numFmtId="165" formatCode="0.00000000000000"/>
    <numFmt numFmtId="166" formatCode="0.00000000000000000"/>
    <numFmt numFmtId="167" formatCode="0.0000000000000000000000000000000000000000"/>
    <numFmt numFmtId="168" formatCode="0.00000000%"/>
    <numFmt numFmtId="169" formatCode="0.0000"/>
  </numFmts>
  <fonts count="1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4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4" xfId="0" applyFont="1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6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64" fontId="0" fillId="0" borderId="0" xfId="0" applyNumberFormat="1" applyFont="1" applyBorder="1"/>
    <xf numFmtId="168" fontId="0" fillId="0" borderId="8" xfId="2" applyNumberFormat="1" applyFont="1" applyBorder="1"/>
    <xf numFmtId="164" fontId="0" fillId="0" borderId="10" xfId="0" applyNumberFormat="1" applyFont="1" applyBorder="1"/>
    <xf numFmtId="11" fontId="0" fillId="0" borderId="12" xfId="0" applyNumberFormat="1" applyFont="1" applyBorder="1"/>
    <xf numFmtId="0" fontId="4" fillId="0" borderId="0" xfId="0" applyFont="1" applyFill="1" applyBorder="1"/>
    <xf numFmtId="0" fontId="0" fillId="0" borderId="14" xfId="0" applyBorder="1"/>
    <xf numFmtId="0" fontId="9" fillId="0" borderId="0" xfId="0" applyFont="1"/>
    <xf numFmtId="0" fontId="10" fillId="0" borderId="0" xfId="0" applyFont="1"/>
    <xf numFmtId="0" fontId="0" fillId="0" borderId="3" xfId="0" applyBorder="1"/>
    <xf numFmtId="0" fontId="4" fillId="0" borderId="4" xfId="0" applyFont="1" applyFill="1" applyBorder="1"/>
    <xf numFmtId="0" fontId="4" fillId="0" borderId="6" xfId="0" applyFont="1" applyFill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1" xfId="0" applyBorder="1"/>
    <xf numFmtId="0" fontId="4" fillId="0" borderId="0" xfId="0" applyFont="1" applyBorder="1"/>
    <xf numFmtId="0" fontId="12" fillId="0" borderId="10" xfId="0" applyFont="1" applyBorder="1"/>
    <xf numFmtId="0" fontId="11" fillId="0" borderId="0" xfId="0" applyFont="1"/>
    <xf numFmtId="0" fontId="4" fillId="0" borderId="15" xfId="0" applyFont="1" applyFill="1" applyBorder="1"/>
    <xf numFmtId="0" fontId="13" fillId="0" borderId="12" xfId="0" applyFont="1" applyBorder="1"/>
    <xf numFmtId="0" fontId="14" fillId="0" borderId="0" xfId="0" applyFont="1" applyBorder="1"/>
    <xf numFmtId="0" fontId="14" fillId="0" borderId="8" xfId="0" applyFont="1" applyBorder="1"/>
    <xf numFmtId="0" fontId="14" fillId="0" borderId="10" xfId="0" applyFont="1" applyBorder="1"/>
    <xf numFmtId="169" fontId="0" fillId="0" borderId="0" xfId="0" applyNumberFormat="1" applyBorder="1"/>
    <xf numFmtId="169" fontId="0" fillId="0" borderId="10" xfId="0" applyNumberFormat="1" applyBorder="1"/>
    <xf numFmtId="169" fontId="12" fillId="0" borderId="1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L3(x)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Инт. и диф. функции'!$L$4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функции'!$L$5:$L$44</c:f>
              <c:numCache>
                <c:formatCode>General</c:formatCode>
                <c:ptCount val="40"/>
                <c:pt idx="0">
                  <c:v>4.4527871611549088</c:v>
                </c:pt>
                <c:pt idx="1">
                  <c:v>2.2389641575922536</c:v>
                </c:pt>
                <c:pt idx="2">
                  <c:v>1.5067366550332997</c:v>
                </c:pt>
                <c:pt idx="3">
                  <c:v>1.1450531251495653</c:v>
                </c:pt>
                <c:pt idx="4">
                  <c:v>0.93175411303540778</c:v>
                </c:pt>
                <c:pt idx="5">
                  <c:v>0.79283272508243996</c:v>
                </c:pt>
                <c:pt idx="6">
                  <c:v>0.69661590664977302</c:v>
                </c:pt>
                <c:pt idx="7">
                  <c:v>0.62731100834090969</c:v>
                </c:pt>
                <c:pt idx="8">
                  <c:v>0.57618931246036098</c:v>
                </c:pt>
                <c:pt idx="9">
                  <c:v>0.53806092409738759</c:v>
                </c:pt>
                <c:pt idx="10">
                  <c:v>0.50967412984487481</c:v>
                </c:pt>
                <c:pt idx="11">
                  <c:v>0.48891702727255781</c:v>
                </c:pt>
                <c:pt idx="12">
                  <c:v>0.47438993826746439</c:v>
                </c:pt>
                <c:pt idx="13">
                  <c:v>0.46516384490102519</c:v>
                </c:pt>
                <c:pt idx="14">
                  <c:v>0.46063883454013987</c:v>
                </c:pt>
                <c:pt idx="15">
                  <c:v>0.4604598214232507</c:v>
                </c:pt>
                <c:pt idx="16">
                  <c:v>0.46446728668554882</c:v>
                </c:pt>
                <c:pt idx="17">
                  <c:v>0.47267116625454819</c:v>
                </c:pt>
                <c:pt idx="18">
                  <c:v>0.48524169622606311</c:v>
                </c:pt>
                <c:pt idx="19">
                  <c:v>0.5025144575712347</c:v>
                </c:pt>
                <c:pt idx="20">
                  <c:v>0.52500927731521008</c:v>
                </c:pt>
                <c:pt idx="21">
                  <c:v>0.55346475302761955</c:v>
                </c:pt>
                <c:pt idx="22">
                  <c:v>0.58889249977572067</c:v>
                </c:pt>
                <c:pt idx="23">
                  <c:v>0.63265832362522589</c:v>
                </c:pt>
                <c:pt idx="24">
                  <c:v>0.68660216705412092</c:v>
                </c:pt>
                <c:pt idx="25">
                  <c:v>0.7532161005599044</c:v>
                </c:pt>
                <c:pt idx="26">
                  <c:v>0.83591208262139838</c:v>
                </c:pt>
                <c:pt idx="27">
                  <c:v>0.93943286970431272</c:v>
                </c:pt>
                <c:pt idx="28">
                  <c:v>1.0704985573119621</c:v>
                </c:pt>
                <c:pt idx="29">
                  <c:v>1.2388546447759246</c:v>
                </c:pt>
                <c:pt idx="30">
                  <c:v>1.459031550087319</c:v>
                </c:pt>
                <c:pt idx="31">
                  <c:v>1.7534227041530379</c:v>
                </c:pt>
                <c:pt idx="32">
                  <c:v>2.1579387327133706</c:v>
                </c:pt>
                <c:pt idx="33">
                  <c:v>2.7330211742175154</c:v>
                </c:pt>
                <c:pt idx="34">
                  <c:v>3.5866938128984702</c:v>
                </c:pt>
                <c:pt idx="35">
                  <c:v>4.9273607916755005</c:v>
                </c:pt>
                <c:pt idx="36">
                  <c:v>7.1997446034914194</c:v>
                </c:pt>
                <c:pt idx="37">
                  <c:v>11.4951419451959</c:v>
                </c:pt>
                <c:pt idx="38">
                  <c:v>21.11149969346264</c:v>
                </c:pt>
                <c:pt idx="39">
                  <c:v>50.213768360408736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3-EE4A-A830-EB9BCE57974C}"/>
            </c:ext>
          </c:extLst>
        </c:ser>
        <c:ser>
          <c:idx val="1"/>
          <c:order val="1"/>
          <c:tx>
            <c:strRef>
              <c:f>'3. Инт. и диф. функции'!$M$4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функции'!$M$5:$M$44</c:f>
              <c:numCache>
                <c:formatCode>General</c:formatCode>
                <c:ptCount val="40"/>
                <c:pt idx="1">
                  <c:v>-58.921010122432179</c:v>
                </c:pt>
                <c:pt idx="2">
                  <c:v>-21.878220648853766</c:v>
                </c:pt>
                <c:pt idx="3">
                  <c:v>-11.499650839957837</c:v>
                </c:pt>
                <c:pt idx="4">
                  <c:v>-7.0444080013425054</c:v>
                </c:pt>
                <c:pt idx="5">
                  <c:v>-4.7027641277126948</c:v>
                </c:pt>
                <c:pt idx="6">
                  <c:v>-3.3104343348306053</c:v>
                </c:pt>
                <c:pt idx="7">
                  <c:v>-2.4085318837882408</c:v>
                </c:pt>
                <c:pt idx="8">
                  <c:v>-1.785001684870442</c:v>
                </c:pt>
                <c:pt idx="9">
                  <c:v>-1.3303036523097234</c:v>
                </c:pt>
                <c:pt idx="10">
                  <c:v>-0.98287793649659561</c:v>
                </c:pt>
                <c:pt idx="11">
                  <c:v>-0.70568383154820835</c:v>
                </c:pt>
                <c:pt idx="12">
                  <c:v>-0.47506364743065244</c:v>
                </c:pt>
                <c:pt idx="13">
                  <c:v>-0.27502207454649041</c:v>
                </c:pt>
                <c:pt idx="14">
                  <c:v>-9.4080469555489765E-2</c:v>
                </c:pt>
                <c:pt idx="15">
                  <c:v>7.6569042908178897E-2</c:v>
                </c:pt>
                <c:pt idx="16">
                  <c:v>0.24422689662594976</c:v>
                </c:pt>
                <c:pt idx="17">
                  <c:v>0.41548819081028587</c:v>
                </c:pt>
                <c:pt idx="18">
                  <c:v>0.59686582633373009</c:v>
                </c:pt>
                <c:pt idx="19">
                  <c:v>0.79535162178293928</c:v>
                </c:pt>
                <c:pt idx="20">
                  <c:v>1.0190059091276971</c:v>
                </c:pt>
                <c:pt idx="21">
                  <c:v>1.2776644492102118</c:v>
                </c:pt>
                <c:pt idx="22">
                  <c:v>1.5838714119521269</c:v>
                </c:pt>
                <c:pt idx="23">
                  <c:v>1.9541933455680049</c:v>
                </c:pt>
                <c:pt idx="24">
                  <c:v>2.4111555386935701</c:v>
                </c:pt>
                <c:pt idx="25">
                  <c:v>2.9861983113455493</c:v>
                </c:pt>
                <c:pt idx="26">
                  <c:v>3.7243353828881665</c:v>
                </c:pt>
                <c:pt idx="27">
                  <c:v>4.6917294938112741</c:v>
                </c:pt>
                <c:pt idx="28">
                  <c:v>5.9884355014322361</c:v>
                </c:pt>
                <c:pt idx="29">
                  <c:v>7.7706598555071382</c:v>
                </c:pt>
                <c:pt idx="30">
                  <c:v>10.291361187542266</c:v>
                </c:pt>
                <c:pt idx="31">
                  <c:v>13.97814365252103</c:v>
                </c:pt>
                <c:pt idx="32">
                  <c:v>19.59196940128955</c:v>
                </c:pt>
                <c:pt idx="33">
                  <c:v>28.575101603701992</c:v>
                </c:pt>
                <c:pt idx="34">
                  <c:v>43.886792349159698</c:v>
                </c:pt>
                <c:pt idx="35">
                  <c:v>72.261015811858982</c:v>
                </c:pt>
                <c:pt idx="36">
                  <c:v>131.355623070408</c:v>
                </c:pt>
                <c:pt idx="37">
                  <c:v>278.2351017994244</c:v>
                </c:pt>
                <c:pt idx="38">
                  <c:v>774.37252830425678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3-EE4A-A830-EB9BCE57974C}"/>
            </c:ext>
          </c:extLst>
        </c:ser>
        <c:ser>
          <c:idx val="2"/>
          <c:order val="2"/>
          <c:tx>
            <c:strRef>
              <c:f>'3. Инт. и диф. функции'!$N$4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функции'!$N$5:$N$44</c:f>
              <c:numCache>
                <c:formatCode>General</c:formatCode>
                <c:ptCount val="40"/>
                <c:pt idx="1">
                  <c:v>8.3646891484339528E-2</c:v>
                </c:pt>
                <c:pt idx="2">
                  <c:v>4.6821260157819421E-2</c:v>
                </c:pt>
                <c:pt idx="3">
                  <c:v>3.3147372252285812E-2</c:v>
                </c:pt>
                <c:pt idx="4">
                  <c:v>2.5960090477312167E-2</c:v>
                </c:pt>
                <c:pt idx="5">
                  <c:v>2.1557335476473097E-2</c:v>
                </c:pt>
                <c:pt idx="6">
                  <c:v>1.8618107896652664E-2</c:v>
                </c:pt>
                <c:pt idx="7">
                  <c:v>1.6549086437383533E-2</c:v>
                </c:pt>
                <c:pt idx="8">
                  <c:v>1.5043754010015883E-2</c:v>
                </c:pt>
                <c:pt idx="9">
                  <c:v>1.392812795697186E-2</c:v>
                </c:pt>
                <c:pt idx="10">
                  <c:v>1.3096688174278281E-2</c:v>
                </c:pt>
                <c:pt idx="11">
                  <c:v>1.2482389463967909E-2</c:v>
                </c:pt>
                <c:pt idx="12">
                  <c:v>1.2041337069250278E-2</c:v>
                </c:pt>
                <c:pt idx="13">
                  <c:v>1.1744422289606121E-2</c:v>
                </c:pt>
                <c:pt idx="14">
                  <c:v>1.1572533493014564E-2</c:v>
                </c:pt>
                <c:pt idx="15">
                  <c:v>1.1513733199542383E-2</c:v>
                </c:pt>
                <c:pt idx="16">
                  <c:v>1.1561588851359994E-2</c:v>
                </c:pt>
                <c:pt idx="17">
                  <c:v>1.1714230661751214E-2</c:v>
                </c:pt>
                <c:pt idx="18">
                  <c:v>1.1973910781007641E-2</c:v>
                </c:pt>
                <c:pt idx="19">
                  <c:v>1.2346951922466223E-2</c:v>
                </c:pt>
                <c:pt idx="20">
                  <c:v>1.284404668608056E-2</c:v>
                </c:pt>
                <c:pt idx="21">
                  <c:v>1.348092537928537E-2</c:v>
                </c:pt>
                <c:pt idx="22">
                  <c:v>1.4279465660041752E-2</c:v>
                </c:pt>
                <c:pt idx="23">
                  <c:v>1.5269385292511834E-2</c:v>
                </c:pt>
                <c:pt idx="24">
                  <c:v>1.6490756133491834E-2</c:v>
                </c:pt>
                <c:pt idx="25">
                  <c:v>1.799772834517532E-2</c:v>
                </c:pt>
                <c:pt idx="26">
                  <c:v>1.9864102289766285E-2</c:v>
                </c:pt>
                <c:pt idx="27">
                  <c:v>2.2191811904071393E-2</c:v>
                </c:pt>
                <c:pt idx="28">
                  <c:v>2.5124142837703436E-2</c:v>
                </c:pt>
                <c:pt idx="29">
                  <c:v>2.8866915026098585E-2</c:v>
                </c:pt>
                <c:pt idx="30">
                  <c:v>3.372357743579054E-2</c:v>
                </c:pt>
                <c:pt idx="31">
                  <c:v>4.0155678178004466E-2</c:v>
                </c:pt>
                <c:pt idx="32">
                  <c:v>4.8892017960830106E-2</c:v>
                </c:pt>
                <c:pt idx="33">
                  <c:v>6.1136998836636085E-2</c:v>
                </c:pt>
                <c:pt idx="34">
                  <c:v>7.8996437338949829E-2</c:v>
                </c:pt>
                <c:pt idx="35">
                  <c:v>0.10642568255717465</c:v>
                </c:pt>
                <c:pt idx="36">
                  <c:v>0.15158881743958652</c:v>
                </c:pt>
                <c:pt idx="37">
                  <c:v>0.23368608185859152</c:v>
                </c:pt>
                <c:pt idx="38">
                  <c:v>0.40758302048323181</c:v>
                </c:pt>
                <c:pt idx="39">
                  <c:v>0.89156585067339233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3-EE4A-A830-EB9BCE5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1"/>
        <c:axId val="298342671"/>
      </c:scatterChart>
      <c:valAx>
        <c:axId val="3024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2671"/>
        <c:crosses val="autoZero"/>
        <c:crossBetween val="midCat"/>
      </c:valAx>
      <c:valAx>
        <c:axId val="298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</xdr:colOff>
      <xdr:row>0</xdr:row>
      <xdr:rowOff>25400</xdr:rowOff>
    </xdr:from>
    <xdr:ext cx="46573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𝑁𝑑𝑒𝑝𝑡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𝐹𝑡𝑖𝑚𝑒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𝑁𝑦𝑒𝑎𝑟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𝑁𝑔𝑟𝑜𝑢𝑝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4+1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+5−2=18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𝑁𝑔=|3∗(𝑁𝑑𝑒𝑝𝑡+𝐹𝑡𝑖𝑚𝑒)+𝑁𝑦𝑒𝑎𝑟−𝑁𝑔𝑟𝑜𝑢𝑝|=3∗(4+1)+5−2=18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14816</xdr:colOff>
      <xdr:row>1</xdr:row>
      <xdr:rowOff>25401</xdr:rowOff>
    </xdr:from>
    <xdr:ext cx="543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𝑁𝑠=16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26377</xdr:colOff>
      <xdr:row>8</xdr:row>
      <xdr:rowOff>21492</xdr:rowOff>
    </xdr:from>
    <xdr:ext cx="173246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(2〗^′)=(2)−(1)∗(𝑎_21/𝑎_11)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22469</xdr:colOff>
      <xdr:row>16</xdr:row>
      <xdr:rowOff>27353</xdr:rowOff>
    </xdr:from>
    <xdr:ext cx="173246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(3〗^′)=(3)−(2)∗(𝑎_32/𝑎_22)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51777</xdr:colOff>
      <xdr:row>8</xdr:row>
      <xdr:rowOff>125046</xdr:rowOff>
    </xdr:from>
    <xdr:ext cx="1743875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=−3−22∗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𝑎_21=−3−22∗(−3/22)=0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47869</xdr:colOff>
      <xdr:row>10</xdr:row>
      <xdr:rowOff>52755</xdr:rowOff>
    </xdr:from>
    <xdr:ext cx="1745542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574561" y="2055447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=8+3∗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=7,59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74561" y="2055447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𝑎_22=8+3∗(−3/22)=7,59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43961</xdr:colOff>
      <xdr:row>11</xdr:row>
      <xdr:rowOff>185615</xdr:rowOff>
    </xdr:from>
    <xdr:ext cx="1745542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3570653" y="2413000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=1−4∗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=1,55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70653" y="2413000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𝑎_23=1−4∗(−3/22)=1,55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16</xdr:row>
      <xdr:rowOff>121138</xdr:rowOff>
    </xdr:from>
    <xdr:ext cx="1538563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=0−0∗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𝑎_31=0−0∗(6/7,59)=0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34192</xdr:colOff>
      <xdr:row>18</xdr:row>
      <xdr:rowOff>48847</xdr:rowOff>
    </xdr:from>
    <xdr:ext cx="172367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=6−7,59∗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𝑎_32=6−7,59∗(6/7,59)=0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30284</xdr:colOff>
      <xdr:row>19</xdr:row>
      <xdr:rowOff>181708</xdr:rowOff>
    </xdr:from>
    <xdr:ext cx="2064989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556976" y="4089400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=16−1,55∗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=14,78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56976" y="4089400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𝑎_33=16−1,55∗(6/7,59)=14,78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85784</xdr:colOff>
      <xdr:row>24</xdr:row>
      <xdr:rowOff>137531</xdr:rowOff>
    </xdr:from>
    <xdr:ext cx="1662699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14,78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𝑥_3=𝑏_3/𝑎_33 =(−1,11)/14,78=−0,08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82316</xdr:colOff>
      <xdr:row>26</xdr:row>
      <xdr:rowOff>141369</xdr:rowOff>
    </xdr:from>
    <xdr:ext cx="2852127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1,41+0,08∗1,55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7,59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=0,20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𝑥_2=(𝑏_2−𝑥_3∗𝑎_23)/𝑎_22 =(1,41+0,08∗1,55)/7,59=0,20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86208</xdr:colOff>
      <xdr:row>28</xdr:row>
      <xdr:rowOff>132521</xdr:rowOff>
    </xdr:from>
    <xdr:ext cx="3855799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3−0,20∗−3+0,08∗4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𝑥_1=(𝑏_1−𝑥_2∗𝑎_12−𝑥_3∗𝑎_13)/𝑎_11 =(3−0,20∗−3+0,08∗4)/22=0,18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87084</xdr:colOff>
      <xdr:row>3</xdr:row>
      <xdr:rowOff>23586</xdr:rowOff>
    </xdr:from>
    <xdr:ext cx="76642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∆=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∆=</a:t>
              </a:r>
              <a:r>
                <a:rPr lang="en-US" sz="1100" b="0" i="0">
                  <a:latin typeface="Cambria Math" panose="02040503050406030204" pitchFamily="18" charset="0"/>
                </a:rPr>
                <a:t>|𝑏_𝑖−𝐵_𝑖 |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85270</xdr:colOff>
      <xdr:row>4</xdr:row>
      <xdr:rowOff>76200</xdr:rowOff>
    </xdr:from>
    <xdr:ext cx="59170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(|〖∆𝑏〗_𝑖 |)/𝑏_𝑖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49822</xdr:colOff>
      <xdr:row>13</xdr:row>
      <xdr:rowOff>171938</xdr:rowOff>
    </xdr:from>
    <xdr:ext cx="1678921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3576514" y="2809630"/>
              <a:ext cx="167892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=1,41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147A04-E738-0946-A1EF-8CCBD2432381}"/>
                </a:ext>
              </a:extLst>
            </xdr:cNvPr>
            <xdr:cNvSpPr txBox="1"/>
          </xdr:nvSpPr>
          <xdr:spPr>
            <a:xfrm>
              <a:off x="3576514" y="2809630"/>
              <a:ext cx="167892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𝑏_2=1−3∗(−3/22)=1,41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45913</xdr:colOff>
      <xdr:row>21</xdr:row>
      <xdr:rowOff>158261</xdr:rowOff>
    </xdr:from>
    <xdr:ext cx="1947521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572605" y="4476261"/>
              <a:ext cx="194752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=0−1,41∗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=−1,11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49981-6AF0-7544-BF72-D6DF44042EC1}"/>
                </a:ext>
              </a:extLst>
            </xdr:cNvPr>
            <xdr:cNvSpPr txBox="1"/>
          </xdr:nvSpPr>
          <xdr:spPr>
            <a:xfrm>
              <a:off x="3572605" y="4476261"/>
              <a:ext cx="194752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𝑏_3=0−1,41∗(6/7,59)=−1,11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35006</xdr:colOff>
      <xdr:row>32</xdr:row>
      <xdr:rowOff>28901</xdr:rowOff>
    </xdr:from>
    <xdr:to>
      <xdr:col>20</xdr:col>
      <xdr:colOff>778934</xdr:colOff>
      <xdr:row>49</xdr:row>
      <xdr:rowOff>186266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163146</xdr:colOff>
      <xdr:row>31</xdr:row>
      <xdr:rowOff>133837</xdr:rowOff>
    </xdr:from>
    <xdr:ext cx="588648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(−1−18)(−1−6)(−1−10)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8C0CE6-B6E7-8D47-9E84-B884B2BD4767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𝑙_0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=((𝑥−𝑥_1)(𝑥−𝑥_2)(𝑥−𝑥_3))/((𝑥_0−𝑥_1 )(𝑥_0−𝑥_2 )(𝑥_0−𝑥_3))=((𝑥−18)(𝑥−6)(𝑥−10))/((−1−18)(−1−6)(−1−10))=((𝑥−18)(𝑥−6)(𝑥−10))/(−1463)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154679</xdr:colOff>
      <xdr:row>33</xdr:row>
      <xdr:rowOff>133837</xdr:rowOff>
    </xdr:from>
    <xdr:ext cx="564199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(18+1)(18−6)(18−10)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𝑙_1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=((𝑥−𝑥_0)(𝑥−𝑥_2)(𝑥−𝑥_3))/((𝑥_1−𝑥_0 )(𝑥_1−𝑥_2 )(𝑥_1−𝑥_3))=((𝑥+1)(𝑥−6)(𝑥−10))/((18+1)(18−6)(18−10))=((𝑥+1)(𝑥−6)(𝑥−10))/1824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95412</xdr:colOff>
      <xdr:row>35</xdr:row>
      <xdr:rowOff>125370</xdr:rowOff>
    </xdr:from>
    <xdr:ext cx="572009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(6+1)(6−18)(6−10)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𝑙_2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=((𝑥−𝑥_0)(𝑥−𝑥_1)(𝑥−𝑥_3))/((𝑥_2−𝑥_0 )(𝑥_2−𝑥_1 )(𝑥_2−𝑥_3))=((𝑥+1)(𝑥−18)(𝑥−10))/((6+1)(6−18)(6−10))=((𝑥+1)(𝑥−18)(𝑥−10))/336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10746</xdr:colOff>
      <xdr:row>37</xdr:row>
      <xdr:rowOff>116904</xdr:rowOff>
    </xdr:from>
    <xdr:ext cx="564853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(10+1)(10−18)(10−6)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𝑙_3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=((𝑥−𝑥_0)(𝑥−𝑥_1)(𝑥−𝑥_2))/((𝑥_3−𝑥_0 )(𝑥_3−𝑥_1 )(𝑥_3−𝑥_2))=((𝑥+1)(𝑥−18)(𝑥−6))/((10+1)(10−18)(10−6))=((𝑥+1)(𝑥−18)(𝑥−6))/(−352)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160866</xdr:colOff>
      <xdr:row>40</xdr:row>
      <xdr:rowOff>21166</xdr:rowOff>
    </xdr:from>
    <xdr:ext cx="3011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FD909-A07C-314B-A1BC-ACD4843A41BE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𝐿_3 (𝑥)=𝑦_0 𝐿_0 (𝑥)+𝑦_1 𝐿_1 (𝑥)+𝑦_2 𝐿_2 (𝑥)+𝑦_3 𝐿_3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9</xdr:row>
      <xdr:rowOff>152400</xdr:rowOff>
    </xdr:from>
    <xdr:ext cx="1615058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0=(𝑦_1−𝑦_0)/(𝑥_1−𝑥_0 )=(8−1)/(6+1)=1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11</xdr:row>
      <xdr:rowOff>121920</xdr:rowOff>
    </xdr:from>
    <xdr:ext cx="192950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−2−8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1=(𝑦_2−𝑦_1)/(𝑥_2−𝑥_1 )=(−2−8)/(10−6)=−2,5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13</xdr:row>
      <xdr:rowOff>121920</xdr:rowOff>
    </xdr:from>
    <xdr:ext cx="2037737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11+2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=1,625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2=(𝑦_3−𝑦_2)/(𝑥_3−𝑥_2 )=(11+2)/(18−10)=1,625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15</xdr:row>
      <xdr:rowOff>142240</xdr:rowOff>
    </xdr:from>
    <xdr:ext cx="2468561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−2,5−1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=−0,318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𝑦_0=(〖∆𝑦〗_1−〖∆𝑦〗_0)/(𝑥_2−𝑥_0 )=(−2,5−1)/(10+1)=−0,318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17</xdr:row>
      <xdr:rowOff>132080</xdr:rowOff>
    </xdr:from>
    <xdr:ext cx="251780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1,625+2,5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=0,344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𝑦_1=(〖∆𝑦〗_2−〖∆𝑦〗_1)/(𝑥_3−𝑥_1 )=(1,625+2,5)/(18−6)=0,344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147320</xdr:colOff>
      <xdr:row>19</xdr:row>
      <xdr:rowOff>152400</xdr:rowOff>
    </xdr:from>
    <xdr:ext cx="2892074" cy="368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0,344+0,318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=0,035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∆^3 𝑦_0=(∆^2 𝑦_1−∆^2 〖∆𝑦〗_0)/(𝑥_3−𝑥_0 )=(0,344+0,318)/(18+1)=0,035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66040</xdr:colOff>
      <xdr:row>22</xdr:row>
      <xdr:rowOff>20320</xdr:rowOff>
    </xdr:from>
    <xdr:ext cx="2402840" cy="73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AA5CEE-9196-7E4E-BEE4-C9E79E740269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𝑁_𝑛 (𝑥)=𝑦(𝑥)+(〖∆𝑦〗_0∗(𝑥−𝑥_0 ))+(∆^2 𝑦_0∗(𝑥−𝑥_0 )(𝑥−𝑥_1 ))+(∆^3 𝑦_0∗(𝑥−𝑥_0 )(𝑥−𝑥_1 )(𝑥−𝑥_2 ))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5080</xdr:colOff>
      <xdr:row>30</xdr:row>
      <xdr:rowOff>10160</xdr:rowOff>
    </xdr:from>
    <xdr:ext cx="15650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8FE13F5-C837-4A42-B416-12648DFE94BA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𝜑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(𝑥)=𝑎_3 𝑥^2+𝑎_2 𝑥+𝑎_1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62684</xdr:colOff>
      <xdr:row>17</xdr:row>
      <xdr:rowOff>120479</xdr:rowOff>
    </xdr:from>
    <xdr:ext cx="2831095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𝑃_(𝑚+1)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=((2𝑚+1)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𝑃_𝑚 (𝑡)−𝑚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𝑃_(𝑚−1) (𝑡))/(𝑚+1)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66628</xdr:colOff>
      <xdr:row>16</xdr:row>
      <xdr:rowOff>10990</xdr:rowOff>
    </xdr:from>
    <xdr:ext cx="60753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𝑃_0 (𝑡)=1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21823</xdr:colOff>
      <xdr:row>16</xdr:row>
      <xdr:rowOff>5627</xdr:rowOff>
    </xdr:from>
    <xdr:ext cx="58522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 (𝑡)=𝑡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69890</xdr:colOff>
      <xdr:row>14</xdr:row>
      <xdr:rowOff>30448</xdr:rowOff>
    </xdr:from>
    <xdr:ext cx="199734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1100" b="0" i="0">
                  <a:latin typeface="Cambria Math" panose="02040503050406030204" pitchFamily="18" charset="0"/>
                </a:rPr>
                <a:t>𝐴_1 𝑓(𝑥_1 )+𝐴_2 𝑓(𝑥_2 )+𝐴_3 𝑓(𝑥_3)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65209</xdr:colOff>
      <xdr:row>20</xdr:row>
      <xdr:rowOff>106070</xdr:rowOff>
    </xdr:from>
    <xdr:ext cx="2682401" cy="342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∗1+1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∗1+1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𝑡−1∗1)/(1+1)=(3𝑡^2−1)/2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8729</xdr:rowOff>
    </xdr:from>
    <xdr:ext cx="5330370" cy="575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3𝑡^2−1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2−2∗𝑡)/(2+1)=〖2,5𝑡〗^3−1,5𝑡=2,5𝑡∗(𝑡−√(3/5))∗(𝑡+√(3/5))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59268</xdr:colOff>
      <xdr:row>27</xdr:row>
      <xdr:rowOff>34127</xdr:rowOff>
    </xdr:from>
    <xdr:ext cx="3153940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)′=3∗2,5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−1,5=7,5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𝑃_3′(𝑡)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=〖(2,5𝑡〗^3−1,5𝑡)′=3∗2,5𝑡−1,5=7,5𝑡−1,5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29</xdr:row>
      <xdr:rowOff>135728</xdr:rowOff>
    </xdr:from>
    <xdr:ext cx="355834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,5∗0−1,5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2,25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=2/((1−𝑡_1^2 )∗𝑃_3^′ (𝑡_1 )^2 )=2/((1−0)∗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,5∗0−1,5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^2 )=2/2,25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32</xdr:row>
      <xdr:rowOff>135728</xdr:rowOff>
    </xdr:from>
    <xdr:ext cx="3529364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=2/((1−𝑡_2^2 )∗𝑃_3^′ (𝑡_2 )^2 )=2/((1−3/5)∗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35</xdr:row>
      <xdr:rowOff>135728</xdr:rowOff>
    </xdr:from>
    <xdr:ext cx="3658246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=2/((1−𝑡_3^2 )∗𝑃_3^′ (𝑡_3 )^2 )=2/((1+3/5)∗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,5∗−3/5−1,5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25400</xdr:colOff>
      <xdr:row>35</xdr:row>
      <xdr:rowOff>126999</xdr:rowOff>
    </xdr:from>
    <xdr:ext cx="139082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𝑥_𝑖=(𝑏+𝑎)/2+(𝑏−𝑎)/2∗𝑡_𝑖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24063</xdr:colOff>
      <xdr:row>3</xdr:row>
      <xdr:rowOff>24507</xdr:rowOff>
    </xdr:from>
    <xdr:to>
      <xdr:col>25</xdr:col>
      <xdr:colOff>787400</xdr:colOff>
      <xdr:row>25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</xdr:colOff>
      <xdr:row>13</xdr:row>
      <xdr:rowOff>11591</xdr:rowOff>
    </xdr:from>
    <xdr:ext cx="145001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прям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л.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прям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(л.)=</a:t>
              </a:r>
              <a:r>
                <a:rPr lang="en-US" sz="1100" b="0" i="0">
                  <a:latin typeface="Cambria Math" panose="02040503050406030204" pitchFamily="18" charset="0"/>
                </a:rPr>
                <a:t>ℎ∗𝑦_(𝑘−1)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14</xdr:row>
      <xdr:rowOff>129800</xdr:rowOff>
    </xdr:from>
    <xdr:ext cx="1457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трап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трап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16</xdr:row>
      <xdr:rowOff>134681</xdr:rowOff>
    </xdr:from>
    <xdr:ext cx="200458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симп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симп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/6</a:t>
              </a:r>
              <a:r>
                <a:rPr lang="en-US" sz="1100" b="0" i="0">
                  <a:latin typeface="Cambria Math" panose="02040503050406030204" pitchFamily="18" charset="0"/>
                </a:rPr>
                <a:t>(𝑦_(𝑘−1)+〖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𝑦〗_𝑘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𝑘+1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0</xdr:row>
      <xdr:rowOff>81280</xdr:rowOff>
    </xdr:from>
    <xdr:ext cx="1026691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</xdr:colOff>
      <xdr:row>0</xdr:row>
      <xdr:rowOff>157088</xdr:rowOff>
    </xdr:from>
    <xdr:ext cx="1350947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(3𝑥))−18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24033</xdr:colOff>
      <xdr:row>21</xdr:row>
      <xdr:rowOff>167249</xdr:rowOff>
    </xdr:from>
    <xdr:ext cx="1733359" cy="341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𝑠𝑖𝑛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−(18)′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(𝑥)=(𝑥/(〖𝑠𝑖𝑛〗^2 (3𝑥) ))^′−(18)′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196</xdr:colOff>
      <xdr:row>23</xdr:row>
      <xdr:rowOff>112541</xdr:rowOff>
    </xdr:from>
    <xdr:ext cx="2567113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(𝑥)=(𝑥^′∗〖𝑠𝑖𝑛〗^2 (3𝑥)−𝑥∗〖𝑠𝑖𝑛〗^2 (3𝑥)′)/(〖𝑠𝑖𝑛〗^4 (3𝑥))−0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811432</xdr:colOff>
      <xdr:row>25</xdr:row>
      <xdr:rowOff>110197</xdr:rowOff>
    </xdr:from>
    <xdr:ext cx="3000052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6 ∗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(𝑥)=(〖1∗𝑠𝑖𝑛〗^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(3𝑥)−𝑥∗6 ∗sin⁡(3𝑥)∗cos⁡(3𝑥))/(〖𝑠𝑖𝑛〗^4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818075</xdr:colOff>
      <xdr:row>27</xdr:row>
      <xdr:rowOff>133643</xdr:rowOff>
    </xdr:from>
    <xdr:ext cx="196541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)−6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(𝑥)=(sin⁡(3𝑥)−6𝑥∗cos⁡(3𝑥))/(〖𝑠𝑖𝑛〗^3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34584</xdr:colOff>
      <xdr:row>31</xdr:row>
      <xdr:rowOff>157088</xdr:rowOff>
    </xdr:from>
    <xdr:ext cx="1967270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(𝑥)=𝑘∗(𝑥/(〖𝑠𝑖𝑛〗^2 (3𝑥) )−18)+𝑥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24424</xdr:colOff>
      <xdr:row>34</xdr:row>
      <xdr:rowOff>126608</xdr:rowOff>
    </xdr:from>
    <xdr:ext cx="255634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^′ (𝑥)=𝑘∗((sin⁡(3𝑥)−6𝑥∗cos⁡(3𝑥))/(〖𝑠𝑖𝑛〗^3 (3𝑥) )+1)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6</xdr:row>
      <xdr:rowOff>132080</xdr:rowOff>
    </xdr:from>
    <xdr:ext cx="62401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𝑥=(𝑎+𝑏)/2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15</xdr:row>
      <xdr:rowOff>121920</xdr:rowOff>
    </xdr:from>
    <xdr:ext cx="1569853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𝑥=𝑏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(𝑏−𝑎)/(𝑓(𝑏)−𝑓(𝑎) ) 𝑓(𝑏)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5442</xdr:colOff>
      <xdr:row>3</xdr:row>
      <xdr:rowOff>9980</xdr:rowOff>
    </xdr:from>
    <xdr:ext cx="2106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+16∗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10CB39-ED19-8F4A-959D-DAE5BE7C3259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𝑦^′′ (𝑡)+5∗𝑦^′ (𝑡)+16∗𝑦(𝑡)=18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2449</xdr:colOff>
      <xdr:row>7</xdr:row>
      <xdr:rowOff>14000</xdr:rowOff>
    </xdr:from>
    <xdr:ext cx="31796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Характеристическое уравнение: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+16=0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158252-76AE-464F-AC04-5E6356926F24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Характеристическое уравнение:</a:t>
              </a:r>
              <a:r>
                <a:rPr lang="en-US" sz="1100" b="0" i="0">
                  <a:latin typeface="Cambria Math" panose="02040503050406030204" pitchFamily="18" charset="0"/>
                </a:rPr>
                <a:t>𝑝^2+5𝑝+16=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10</xdr:row>
      <xdr:rowOff>64406</xdr:rowOff>
    </xdr:from>
    <xdr:ext cx="2192843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−5±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39</m:t>
                            </m:r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2∗1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=−2,5±3,1225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F49F2-D7DB-C74F-A568-FE956E38DD2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𝑝_1,2=(−5±𝑖√39)/(2∗1)=−2,5±3,1225𝑖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9</xdr:row>
      <xdr:rowOff>28122</xdr:rowOff>
    </xdr:from>
    <xdr:ext cx="164814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−4∗1∗16=−39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50BCBD-B4DD-7D44-8571-4D2A99FAC689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𝐷=5^2−4∗1∗16=−39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12</xdr:row>
      <xdr:rowOff>191406</xdr:rowOff>
    </xdr:from>
    <xdr:ext cx="786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CB389E-C885-9B45-9DD2-20521EF95905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𝑝_𝑚𝑖𝑛=−2,5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14</xdr:row>
      <xdr:rowOff>118836</xdr:rowOff>
    </xdr:from>
    <xdr:ext cx="2931700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Постоянная затухания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2,5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3AACD1-378E-804F-83E7-BC41CA16F07A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Постоянная затухания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r>
                <a:rPr lang="en-US" sz="1100" i="0">
                  <a:latin typeface="Cambria Math" panose="02040503050406030204" pitchFamily="18" charset="0"/>
                </a:rPr>
                <a:t>𝜏</a:t>
              </a:r>
              <a:r>
                <a:rPr lang="en-US" sz="1100" b="0" i="0">
                  <a:latin typeface="Cambria Math" panose="02040503050406030204" pitchFamily="18" charset="0"/>
                </a:rPr>
                <a:t>=1/(|𝑝_𝑚𝑖𝑛 |)=1/2,5=0,4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17</xdr:row>
      <xdr:rowOff>19050</xdr:rowOff>
    </xdr:from>
    <xdr:ext cx="39013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Время переходного процесса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3∗0,4;4∗0,4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=[1,2;1,6]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4C18E8-9BC3-FE49-A9A3-256A31EDB1FB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Время переходного процесса</a:t>
              </a:r>
              <a:r>
                <a:rPr lang="en-US" sz="1100" b="0" i="0">
                  <a:latin typeface="Cambria Math" panose="02040503050406030204" pitchFamily="18" charset="0"/>
                </a:rPr>
                <a:t>: 𝑇=[3∗0,4;4∗0,4]=[1,2;1,6]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35088</xdr:colOff>
      <xdr:row>19</xdr:row>
      <xdr:rowOff>20172</xdr:rowOff>
    </xdr:from>
    <xdr:ext cx="4616264" cy="542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=−5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−16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+18,  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3D2F9B-911F-7841-9F3A-B849B6921239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𝑦^′ (𝑡)=𝑧,  𝑦(0)=5@𝑧^′ (𝑡)=−5𝑧(𝑡)−16 ∗𝑦(𝑡)+18,  𝑧(0)=𝑦^′ (0)=10)┤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30506</xdr:colOff>
      <xdr:row>22</xdr:row>
      <xdr:rowOff>135249</xdr:rowOff>
    </xdr:from>
    <xdr:ext cx="147354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6FDAD4-7341-1D44-9B46-5FB70DBFA8C8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ℎ=𝑇/200=1,6/200=0,008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800656</xdr:colOff>
      <xdr:row>5</xdr:row>
      <xdr:rowOff>164250</xdr:rowOff>
    </xdr:from>
    <xdr:ext cx="2646237" cy="95346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5149026" y="1158163"/>
          <a:ext cx="2646237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 = 0.008;</a:t>
          </a:r>
        </a:p>
        <a:p>
          <a:r>
            <a:rPr lang="en-US" sz="1100"/>
            <a:t>xMin = 1.4;</a:t>
          </a:r>
          <a:r>
            <a:rPr lang="en-US" sz="1100" baseline="0"/>
            <a:t> </a:t>
          </a:r>
          <a:r>
            <a:rPr lang="en-US" sz="1100"/>
            <a:t>xMax </a:t>
          </a:r>
          <a:r>
            <a:rPr lang="en-US" sz="1100" baseline="0"/>
            <a:t>= 1.6;</a:t>
          </a:r>
        </a:p>
        <a:p>
          <a:r>
            <a:rPr lang="en-US" sz="1100" baseline="0"/>
            <a:t>y0 = 5; dy0 = 10;</a:t>
          </a:r>
        </a:p>
        <a:p>
          <a:r>
            <a:rPr lang="en-US" sz="1100" baseline="0"/>
            <a:t>[x, y] = ode45('func', [0:h:xMax], [y0, dy0]);</a:t>
          </a:r>
        </a:p>
        <a:p>
          <a:r>
            <a:rPr lang="en-US" sz="1100" baseline="0"/>
            <a:t>plot(x, y), grid on</a:t>
          </a:r>
          <a:endParaRPr lang="en-US" sz="1100"/>
        </a:p>
      </xdr:txBody>
    </xdr:sp>
    <xdr:clientData/>
  </xdr:oneCellAnchor>
  <xdr:oneCellAnchor>
    <xdr:from>
      <xdr:col>6</xdr:col>
      <xdr:colOff>803635</xdr:colOff>
      <xdr:row>0</xdr:row>
      <xdr:rowOff>177342</xdr:rowOff>
    </xdr:from>
    <xdr:ext cx="2268057" cy="78124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156560" y="177342"/>
          <a:ext cx="2268057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</a:t>
          </a:r>
          <a:r>
            <a:rPr lang="en-US" sz="1100" baseline="0"/>
            <a:t> y = func(t, x)</a:t>
          </a:r>
        </a:p>
        <a:p>
          <a:r>
            <a:rPr lang="en-US" sz="1100" baseline="0"/>
            <a:t>    y = [x(2); -5 * x(2) - 16 * x(1) + 18];</a:t>
          </a:r>
        </a:p>
        <a:p>
          <a:r>
            <a:rPr lang="en-US" sz="1100" baseline="0"/>
            <a:t>end</a:t>
          </a:r>
          <a:endParaRPr lang="en-US" sz="1100"/>
        </a:p>
      </xdr:txBody>
    </xdr:sp>
    <xdr:clientData/>
  </xdr:oneCellAnchor>
  <xdr:twoCellAnchor editAs="oneCell">
    <xdr:from>
      <xdr:col>7</xdr:col>
      <xdr:colOff>27988</xdr:colOff>
      <xdr:row>13</xdr:row>
      <xdr:rowOff>27989</xdr:rowOff>
    </xdr:from>
    <xdr:to>
      <xdr:col>12</xdr:col>
      <xdr:colOff>442898</xdr:colOff>
      <xdr:row>32</xdr:row>
      <xdr:rowOff>36060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2901" y="2612163"/>
          <a:ext cx="4597627" cy="3784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30956</xdr:colOff>
      <xdr:row>1</xdr:row>
      <xdr:rowOff>15082</xdr:rowOff>
    </xdr:from>
    <xdr:ext cx="19945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86E540-A7C5-7044-98F5-B4C8473CF5C2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Начальные условия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=[1 1]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86E540-A7C5-7044-98F5-B4C8473CF5C2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Начальные условия</a:t>
              </a:r>
              <a:r>
                <a:rPr lang="en-US" sz="1100" b="0" i="0">
                  <a:latin typeface="Cambria Math" panose="02040503050406030204" pitchFamily="18" charset="0"/>
                </a:rPr>
                <a:t>: 𝑥_0=[1 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7143</xdr:colOff>
      <xdr:row>1</xdr:row>
      <xdr:rowOff>189707</xdr:rowOff>
    </xdr:from>
    <xdr:ext cx="2026580" cy="2037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336777-1E1B-3D47-A04B-54F5CC225DA3}"/>
                </a:ext>
              </a:extLst>
            </xdr:cNvPr>
            <xdr:cNvSpPr txBox="1"/>
          </xdr:nvSpPr>
          <xdr:spPr>
            <a:xfrm>
              <a:off x="157956" y="277020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+5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−80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336777-1E1B-3D47-A04B-54F5CC225DA3}"/>
                </a:ext>
              </a:extLst>
            </xdr:cNvPr>
            <xdr:cNvSpPr txBox="1"/>
          </xdr:nvSpPr>
          <xdr:spPr>
            <a:xfrm>
              <a:off x="157956" y="277020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𝑓(𝑥_1,𝑥_2 )=𝑒^(𝑥_1^2+5𝑥_2^2 )+𝑥_1^2−80𝑥_2^2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40481</xdr:colOff>
      <xdr:row>3</xdr:row>
      <xdr:rowOff>24607</xdr:rowOff>
    </xdr:from>
    <xdr:ext cx="12002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2436E4-C481-2848-AEAC-738D1C109659}"/>
                </a:ext>
              </a:extLst>
            </xdr:cNvPr>
            <xdr:cNvSpPr txBox="1"/>
          </xdr:nvSpPr>
          <xdr:spPr>
            <a:xfrm>
              <a:off x="191294" y="524670"/>
              <a:ext cx="1200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2436E4-C481-2848-AEAC-738D1C109659}"/>
                </a:ext>
              </a:extLst>
            </xdr:cNvPr>
            <xdr:cNvSpPr txBox="1"/>
          </xdr:nvSpPr>
          <xdr:spPr>
            <a:xfrm>
              <a:off x="191294" y="524670"/>
              <a:ext cx="1200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𝑥_1+3𝑥_2 𝑥_3−8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38893</xdr:colOff>
      <xdr:row>4</xdr:row>
      <xdr:rowOff>23018</xdr:rowOff>
    </xdr:from>
    <xdr:ext cx="1140312" cy="177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A5DF46-3B0D-3646-81BC-277034516704}"/>
                </a:ext>
              </a:extLst>
            </xdr:cNvPr>
            <xdr:cNvSpPr txBox="1"/>
          </xdr:nvSpPr>
          <xdr:spPr>
            <a:xfrm>
              <a:off x="189706" y="729456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−4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A5DF46-3B0D-3646-81BC-277034516704}"/>
                </a:ext>
              </a:extLst>
            </xdr:cNvPr>
            <xdr:cNvSpPr txBox="1"/>
          </xdr:nvSpPr>
          <xdr:spPr>
            <a:xfrm>
              <a:off x="189706" y="729456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𝑥_1^2+𝑥_2^2−4𝑥_1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30956</xdr:colOff>
      <xdr:row>5</xdr:row>
      <xdr:rowOff>30956</xdr:rowOff>
    </xdr:from>
    <xdr:ext cx="1369349" cy="177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64CA87C-2396-4A42-941F-6949BCA61034}"/>
                </a:ext>
              </a:extLst>
            </xdr:cNvPr>
            <xdr:cNvSpPr txBox="1"/>
          </xdr:nvSpPr>
          <xdr:spPr>
            <a:xfrm>
              <a:off x="181769" y="943769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64CA87C-2396-4A42-941F-6949BCA61034}"/>
                </a:ext>
              </a:extLst>
            </xdr:cNvPr>
            <xdr:cNvSpPr txBox="1"/>
          </xdr:nvSpPr>
          <xdr:spPr>
            <a:xfrm>
              <a:off x="181769" y="943769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𝑥_1^2+𝑥_2^2−𝑥_1−𝑥_2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34596</xdr:colOff>
      <xdr:row>2</xdr:row>
      <xdr:rowOff>12897</xdr:rowOff>
    </xdr:from>
    <xdr:ext cx="1792221" cy="377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D7E605F-EE9B-194A-8346-B516D67899D5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D7E605F-EE9B-194A-8346-B516D67899D5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𝑥^′=𝑎_1−𝑎_2∗𝑥∗𝑦@𝑦^′=𝑏_1−𝑏_2∗𝑦−𝑏_3∗𝑥∗𝑦)┤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87200</xdr:colOff>
      <xdr:row>5</xdr:row>
      <xdr:rowOff>20412</xdr:rowOff>
    </xdr:from>
    <xdr:ext cx="33207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42E8C61-7DA9-7E4F-801D-6ACCB787F04F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=−0,3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=0,52;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=0,18;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</m:t>
                    </m:r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42E8C61-7DA9-7E4F-801D-6ACCB787F04F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𝑎_1=−0,3;  𝑎_2=0,1;  𝑏_1=0,52;  𝑏_2=0,18;  𝑏_3=0,1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94714</xdr:colOff>
      <xdr:row>6</xdr:row>
      <xdr:rowOff>35442</xdr:rowOff>
    </xdr:from>
    <xdr:ext cx="20956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4CF26A-E217-9744-AEF6-446D8F4B8E89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=0,5;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=[0;75]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4CF26A-E217-9744-AEF6-446D8F4B8E89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𝑥(0)=1;  𝑦(0)=0,5;  𝑡=[0;75]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Normal="100" workbookViewId="0">
      <selection activeCell="E4" sqref="E4"/>
    </sheetView>
  </sheetViews>
  <sheetFormatPr baseColWidth="10" defaultColWidth="11" defaultRowHeight="16"/>
  <sheetData>
    <row r="1" spans="1:5">
      <c r="A1" t="s">
        <v>3</v>
      </c>
      <c r="B1">
        <v>1</v>
      </c>
    </row>
    <row r="2" spans="1:5">
      <c r="A2" t="s">
        <v>2</v>
      </c>
      <c r="B2">
        <v>4</v>
      </c>
    </row>
    <row r="3" spans="1:5">
      <c r="A3" t="s">
        <v>4</v>
      </c>
      <c r="B3">
        <v>5</v>
      </c>
      <c r="D3" t="s">
        <v>0</v>
      </c>
      <c r="E3">
        <f>ABS(3*(B2+B1)+B3-B4)</f>
        <v>18</v>
      </c>
    </row>
    <row r="4" spans="1:5">
      <c r="A4" t="s">
        <v>5</v>
      </c>
      <c r="B4">
        <v>2</v>
      </c>
      <c r="D4" t="s">
        <v>1</v>
      </c>
      <c r="E4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zoomScaleNormal="100" workbookViewId="0">
      <selection activeCell="G8" sqref="G8"/>
    </sheetView>
  </sheetViews>
  <sheetFormatPr baseColWidth="10" defaultColWidth="11" defaultRowHeight="16"/>
  <cols>
    <col min="1" max="1" width="2.6640625" bestFit="1" customWidth="1"/>
    <col min="6" max="6" width="10.83203125" customWidth="1"/>
    <col min="7" max="7" width="14.83203125" customWidth="1"/>
    <col min="8" max="8" width="26.1640625" bestFit="1" customWidth="1"/>
    <col min="9" max="9" width="12.1640625" bestFit="1" customWidth="1"/>
    <col min="13" max="13" width="24.6640625" bestFit="1" customWidth="1"/>
    <col min="14" max="14" width="43.6640625" bestFit="1" customWidth="1"/>
  </cols>
  <sheetData>
    <row r="1" spans="1:9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  <c r="F1" s="6"/>
      <c r="G1" s="6"/>
      <c r="H1" s="6"/>
      <c r="I1" s="6"/>
    </row>
    <row r="2" spans="1:9" ht="8" customHeight="1" thickBot="1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ht="19">
      <c r="A3" s="13" t="s">
        <v>6</v>
      </c>
      <c r="B3" s="14" t="s">
        <v>24</v>
      </c>
      <c r="C3" s="14" t="s">
        <v>25</v>
      </c>
      <c r="D3" s="15" t="s">
        <v>26</v>
      </c>
      <c r="E3" s="38" t="s">
        <v>27</v>
      </c>
      <c r="F3" s="24" t="s">
        <v>42</v>
      </c>
      <c r="G3" s="14" t="s">
        <v>43</v>
      </c>
      <c r="H3" s="25" t="s">
        <v>44</v>
      </c>
      <c r="I3" s="6"/>
    </row>
    <row r="4" spans="1:9">
      <c r="A4" s="17">
        <v>1</v>
      </c>
      <c r="B4" s="18">
        <f>C1+4</f>
        <v>22</v>
      </c>
      <c r="C4" s="18">
        <v>-3</v>
      </c>
      <c r="D4" s="12">
        <v>4</v>
      </c>
      <c r="E4" s="39">
        <v>3</v>
      </c>
      <c r="F4" s="41">
        <f>B4*ROUND($B$27,$G$8) + C4*ROUND($C$27,$G$8) + D4*ROUND($D$27,$G$8)</f>
        <v>2.9999899999999999</v>
      </c>
      <c r="G4" s="42">
        <f>ABS(E4-F4)</f>
        <v>1.0000000000065512E-5</v>
      </c>
      <c r="H4" s="43">
        <f>G4/E4</f>
        <v>3.3333333333551707E-6</v>
      </c>
      <c r="I4" s="6"/>
    </row>
    <row r="5" spans="1:9">
      <c r="A5" s="17">
        <v>2</v>
      </c>
      <c r="B5" s="18">
        <v>-3</v>
      </c>
      <c r="C5" s="18">
        <v>8</v>
      </c>
      <c r="D5" s="12">
        <v>1</v>
      </c>
      <c r="E5" s="39">
        <v>1</v>
      </c>
      <c r="F5" s="41">
        <f>B5*ROUND($B$27,$G$8) + C5*ROUND($C$27,$G$8) + D5*ROUND($D$27,$G$8)</f>
        <v>0.99999000000000027</v>
      </c>
      <c r="G5" s="42">
        <f>ABS(E5-F5)</f>
        <v>9.9999999997324451E-6</v>
      </c>
      <c r="H5" s="43">
        <f>G5/E5</f>
        <v>9.9999999997324451E-6</v>
      </c>
      <c r="I5" s="6"/>
    </row>
    <row r="6" spans="1:9" ht="17" thickBot="1">
      <c r="A6" s="20">
        <v>3</v>
      </c>
      <c r="B6" s="21">
        <v>0</v>
      </c>
      <c r="C6" s="21">
        <f>E1-10</f>
        <v>6</v>
      </c>
      <c r="D6" s="22">
        <f>E1</f>
        <v>16</v>
      </c>
      <c r="E6" s="40">
        <v>0</v>
      </c>
      <c r="F6" s="26">
        <f>B6*ROUND($B$27,$G$8) + C6*ROUND($C$27,$G$8) + D6*ROUND($D$27,$G$8)</f>
        <v>6.0000000000171028E-5</v>
      </c>
      <c r="G6" s="44">
        <f>ABS(E6-F6)</f>
        <v>6.0000000000171028E-5</v>
      </c>
      <c r="H6" s="45">
        <f>ABS(E6-F6)</f>
        <v>6.0000000000171028E-5</v>
      </c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48" t="s">
        <v>11</v>
      </c>
      <c r="C8" s="6"/>
      <c r="D8" s="6"/>
      <c r="E8" s="6"/>
      <c r="F8" s="49" t="s">
        <v>15</v>
      </c>
      <c r="G8" s="11">
        <v>5</v>
      </c>
      <c r="H8" s="6"/>
      <c r="I8" s="6"/>
    </row>
    <row r="9" spans="1:9">
      <c r="A9" s="6"/>
      <c r="B9" s="6"/>
      <c r="C9" s="6"/>
      <c r="D9" s="6"/>
      <c r="E9" s="6"/>
      <c r="G9" s="6"/>
      <c r="H9" s="6"/>
      <c r="I9" s="6"/>
    </row>
    <row r="10" spans="1:9" ht="17" thickBot="1">
      <c r="A10" s="6"/>
      <c r="B10" s="6"/>
      <c r="C10" s="6"/>
      <c r="D10" s="6"/>
      <c r="E10" s="6"/>
      <c r="F10" s="6"/>
      <c r="G10" s="6"/>
      <c r="H10" s="6"/>
      <c r="I10" s="6"/>
    </row>
    <row r="11" spans="1:9" ht="18">
      <c r="A11" s="13" t="s">
        <v>6</v>
      </c>
      <c r="B11" s="14" t="s">
        <v>24</v>
      </c>
      <c r="C11" s="14" t="s">
        <v>25</v>
      </c>
      <c r="D11" s="15" t="s">
        <v>26</v>
      </c>
      <c r="E11" s="16" t="s">
        <v>27</v>
      </c>
      <c r="F11" s="6"/>
      <c r="G11" s="6"/>
      <c r="H11" s="6"/>
      <c r="I11" s="6"/>
    </row>
    <row r="12" spans="1:9">
      <c r="A12" s="17">
        <v>1</v>
      </c>
      <c r="B12" s="18">
        <f>B4</f>
        <v>22</v>
      </c>
      <c r="C12" s="18">
        <f>C4</f>
        <v>-3</v>
      </c>
      <c r="D12" s="12">
        <f>D4</f>
        <v>4</v>
      </c>
      <c r="E12" s="19">
        <f>E4</f>
        <v>3</v>
      </c>
      <c r="F12" s="6"/>
      <c r="G12" s="6"/>
      <c r="H12" s="6"/>
      <c r="I12" s="6"/>
    </row>
    <row r="13" spans="1:9">
      <c r="A13" s="17" t="s">
        <v>8</v>
      </c>
      <c r="B13" s="18">
        <f>B5-(B4*($B$5/$B$4))</f>
        <v>0</v>
      </c>
      <c r="C13" s="18">
        <f t="shared" ref="C13:E13" si="0">C5-(C4*($B$5/$B$4))</f>
        <v>7.5909090909090908</v>
      </c>
      <c r="D13" s="12">
        <f t="shared" si="0"/>
        <v>1.5454545454545454</v>
      </c>
      <c r="E13" s="19">
        <f t="shared" si="0"/>
        <v>1.4090909090909092</v>
      </c>
      <c r="F13" s="6"/>
      <c r="G13" s="6"/>
      <c r="H13" s="6"/>
      <c r="I13" s="6"/>
    </row>
    <row r="14" spans="1:9" ht="17" thickBot="1">
      <c r="A14" s="20">
        <v>3</v>
      </c>
      <c r="B14" s="21">
        <f>B6</f>
        <v>0</v>
      </c>
      <c r="C14" s="21">
        <f>C6</f>
        <v>6</v>
      </c>
      <c r="D14" s="22">
        <f>D6</f>
        <v>16</v>
      </c>
      <c r="E14" s="23">
        <f>E6</f>
        <v>0</v>
      </c>
      <c r="F14" s="6"/>
      <c r="G14" s="6"/>
      <c r="H14" s="6"/>
      <c r="I14" s="6"/>
    </row>
    <row r="15" spans="1:9">
      <c r="A15" s="7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48" t="s">
        <v>12</v>
      </c>
      <c r="C16" s="6"/>
      <c r="D16" s="6"/>
      <c r="E16" s="6"/>
      <c r="F16" s="6"/>
      <c r="G16" s="6"/>
      <c r="H16" s="6"/>
      <c r="I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</row>
    <row r="18" spans="1:14" ht="17" thickBot="1">
      <c r="A18" s="6"/>
      <c r="B18" s="6"/>
      <c r="C18" s="6"/>
      <c r="D18" s="6"/>
      <c r="E18" s="6"/>
      <c r="F18" s="6"/>
      <c r="G18" s="6"/>
      <c r="H18" s="6"/>
      <c r="I18" s="6"/>
    </row>
    <row r="19" spans="1:14" ht="18">
      <c r="A19" s="13" t="s">
        <v>6</v>
      </c>
      <c r="B19" s="14" t="s">
        <v>24</v>
      </c>
      <c r="C19" s="14" t="s">
        <v>25</v>
      </c>
      <c r="D19" s="15" t="s">
        <v>26</v>
      </c>
      <c r="E19" s="16" t="s">
        <v>27</v>
      </c>
      <c r="F19" s="6"/>
      <c r="G19" s="6"/>
      <c r="H19" s="6"/>
      <c r="I19" s="6"/>
    </row>
    <row r="20" spans="1:14">
      <c r="A20" s="17">
        <v>1</v>
      </c>
      <c r="B20" s="18">
        <f>B12</f>
        <v>22</v>
      </c>
      <c r="C20" s="18">
        <f t="shared" ref="C20:E20" si="1">C12</f>
        <v>-3</v>
      </c>
      <c r="D20" s="12">
        <f t="shared" si="1"/>
        <v>4</v>
      </c>
      <c r="E20" s="19">
        <f t="shared" si="1"/>
        <v>3</v>
      </c>
      <c r="F20" s="6"/>
      <c r="G20" s="6"/>
      <c r="H20" s="6"/>
      <c r="I20" s="6"/>
    </row>
    <row r="21" spans="1:14">
      <c r="A21" s="17">
        <v>2</v>
      </c>
      <c r="B21" s="18">
        <f>B13</f>
        <v>0</v>
      </c>
      <c r="C21" s="18">
        <f t="shared" ref="C21:E21" si="2">C13</f>
        <v>7.5909090909090908</v>
      </c>
      <c r="D21" s="12">
        <f t="shared" si="2"/>
        <v>1.5454545454545454</v>
      </c>
      <c r="E21" s="19">
        <f t="shared" si="2"/>
        <v>1.4090909090909092</v>
      </c>
      <c r="F21" s="6"/>
      <c r="G21" s="6"/>
      <c r="H21" s="6"/>
      <c r="I21" s="6"/>
    </row>
    <row r="22" spans="1:14" ht="17" thickBot="1">
      <c r="A22" s="20" t="s">
        <v>7</v>
      </c>
      <c r="B22" s="21">
        <f>B14-(B13*($C$14/$C$13))</f>
        <v>0</v>
      </c>
      <c r="C22" s="21">
        <f t="shared" ref="C22" si="3">C14-(C13*($C$14/$C$13))</f>
        <v>0</v>
      </c>
      <c r="D22" s="22">
        <f>D14-(D13*($C$14/$C$13))</f>
        <v>14.778443113772456</v>
      </c>
      <c r="E22" s="23">
        <f>E14-(E13*($C$14/$C$13))</f>
        <v>-1.1137724550898205</v>
      </c>
      <c r="F22" s="6"/>
      <c r="G22" s="6"/>
      <c r="H22" s="6"/>
      <c r="I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</row>
    <row r="24" spans="1:14">
      <c r="A24" s="6"/>
      <c r="B24" s="48" t="s">
        <v>66</v>
      </c>
      <c r="C24" s="6"/>
      <c r="D24" s="6"/>
      <c r="E24" s="6"/>
      <c r="F24" s="6"/>
      <c r="G24" s="6"/>
      <c r="H24" s="6"/>
      <c r="I24" s="6"/>
      <c r="M24" s="4"/>
      <c r="N24" s="4"/>
    </row>
    <row r="25" spans="1:14" ht="17" thickBot="1">
      <c r="A25" s="6"/>
      <c r="B25" s="6"/>
      <c r="C25" s="6"/>
      <c r="D25" s="6"/>
      <c r="E25" s="6"/>
      <c r="F25" s="6"/>
      <c r="G25" s="6"/>
      <c r="H25" s="6"/>
      <c r="I25" s="6"/>
      <c r="M25" s="4"/>
      <c r="N25" s="4"/>
    </row>
    <row r="26" spans="1:14" ht="18">
      <c r="A26" s="6"/>
      <c r="B26" s="24" t="s">
        <v>28</v>
      </c>
      <c r="C26" s="14" t="s">
        <v>29</v>
      </c>
      <c r="D26" s="25" t="s">
        <v>30</v>
      </c>
      <c r="E26" s="6"/>
      <c r="F26" s="6"/>
      <c r="G26" s="6"/>
      <c r="H26" s="6"/>
      <c r="I26" s="6"/>
      <c r="M26" s="2"/>
      <c r="N26" s="3"/>
    </row>
    <row r="27" spans="1:14" ht="17" thickBot="1">
      <c r="A27" s="6"/>
      <c r="B27" s="26">
        <f>(E20 -  (D20 * D27) - (C20 * C27)) / B20</f>
        <v>0.17747163695299839</v>
      </c>
      <c r="C27" s="21">
        <f>(E21 - (D21 * D27) ) / C21</f>
        <v>0.20097244732576988</v>
      </c>
      <c r="D27" s="23">
        <f>E22 / D22</f>
        <v>-7.5364667747163702E-2</v>
      </c>
      <c r="E27" s="6"/>
      <c r="F27" s="6"/>
      <c r="G27" s="6"/>
      <c r="H27" s="6"/>
      <c r="I27" s="6"/>
      <c r="N27" s="5"/>
    </row>
    <row r="28" spans="1:14">
      <c r="A28" s="6"/>
      <c r="B28" s="6"/>
      <c r="C28" s="6"/>
      <c r="D28" s="6"/>
      <c r="E28" s="6"/>
      <c r="F28" s="6"/>
      <c r="G28" s="6"/>
      <c r="H28" s="6"/>
      <c r="I28" s="6"/>
    </row>
    <row r="29" spans="1:14">
      <c r="A29" s="6"/>
      <c r="D29" s="6"/>
      <c r="E29" s="6"/>
      <c r="F29" s="6"/>
      <c r="G29" s="6"/>
      <c r="H29" s="6"/>
      <c r="I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M30" s="3"/>
    </row>
    <row r="31" spans="1:14">
      <c r="A31" s="6"/>
      <c r="B31" s="6"/>
      <c r="C31" s="6"/>
      <c r="D31" s="6"/>
      <c r="E31" s="6"/>
      <c r="F31" s="6"/>
      <c r="G31" s="6"/>
      <c r="H31" s="6"/>
      <c r="I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  <ignoredErrors>
    <ignoredError sqref="B13:E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"/>
  <sheetViews>
    <sheetView zoomScaleNormal="100" workbookViewId="0">
      <selection activeCell="Q4" sqref="Q4"/>
    </sheetView>
  </sheetViews>
  <sheetFormatPr baseColWidth="10" defaultColWidth="11" defaultRowHeight="16"/>
  <cols>
    <col min="1" max="1" width="2.1640625" bestFit="1" customWidth="1"/>
    <col min="8" max="8" width="6.83203125" customWidth="1"/>
    <col min="9" max="9" width="2" customWidth="1"/>
    <col min="15" max="15" width="6.83203125" customWidth="1"/>
    <col min="16" max="16" width="3.1640625" bestFit="1" customWidth="1"/>
    <col min="18" max="18" width="11.1640625" bestFit="1" customWidth="1"/>
  </cols>
  <sheetData>
    <row r="1" spans="1:22">
      <c r="B1" s="6" t="s">
        <v>0</v>
      </c>
      <c r="C1" s="6">
        <f>n!$E$3</f>
        <v>18</v>
      </c>
      <c r="D1" s="6" t="s">
        <v>1</v>
      </c>
      <c r="E1" s="6">
        <v>16</v>
      </c>
    </row>
    <row r="2" spans="1:22" ht="8" customHeight="1" thickBot="1"/>
    <row r="3" spans="1:22" ht="20">
      <c r="A3" s="13" t="s">
        <v>6</v>
      </c>
      <c r="B3" s="14" t="s">
        <v>10</v>
      </c>
      <c r="C3" s="25" t="s">
        <v>9</v>
      </c>
      <c r="I3" s="13" t="s">
        <v>6</v>
      </c>
      <c r="J3" s="14" t="s">
        <v>10</v>
      </c>
      <c r="K3" s="14" t="s">
        <v>9</v>
      </c>
      <c r="L3" s="14" t="s">
        <v>16</v>
      </c>
      <c r="M3" s="14" t="s">
        <v>32</v>
      </c>
      <c r="N3" s="25" t="s">
        <v>33</v>
      </c>
      <c r="P3" s="13" t="s">
        <v>6</v>
      </c>
      <c r="Q3" s="14" t="s">
        <v>34</v>
      </c>
      <c r="R3" s="14" t="s">
        <v>35</v>
      </c>
      <c r="S3" s="15" t="s">
        <v>36</v>
      </c>
      <c r="T3" s="16" t="s">
        <v>27</v>
      </c>
    </row>
    <row r="4" spans="1:22">
      <c r="A4" s="30">
        <v>0</v>
      </c>
      <c r="B4" s="31">
        <v>-1</v>
      </c>
      <c r="C4" s="32">
        <v>1</v>
      </c>
      <c r="I4" s="30">
        <v>0</v>
      </c>
      <c r="J4" s="31">
        <v>-1</v>
      </c>
      <c r="K4" s="31">
        <v>1</v>
      </c>
      <c r="L4" s="31">
        <f>(K5-K4) / ($J5-$J4)</f>
        <v>1</v>
      </c>
      <c r="M4" s="31">
        <f>(L5-L4) / ($J6-$J4)</f>
        <v>-0.31818181818181818</v>
      </c>
      <c r="N4" s="32">
        <f>(M5-M4) / ($J7-$J4)</f>
        <v>3.4838516746411481E-2</v>
      </c>
      <c r="P4" s="17">
        <v>1</v>
      </c>
      <c r="Q4" s="18">
        <v>4</v>
      </c>
      <c r="R4" s="18">
        <f>B4 + B5 + B6 + B7</f>
        <v>33</v>
      </c>
      <c r="S4" s="12">
        <f>(B4^2) + (B5^2) + (B6^2) + (B7^2)</f>
        <v>461</v>
      </c>
      <c r="T4" s="19">
        <f>C4 + C5 + C6 + C7</f>
        <v>18</v>
      </c>
    </row>
    <row r="5" spans="1:22">
      <c r="A5" s="30">
        <v>1</v>
      </c>
      <c r="B5" s="31">
        <f>C1</f>
        <v>18</v>
      </c>
      <c r="C5" s="32">
        <f>E1-5</f>
        <v>11</v>
      </c>
      <c r="I5" s="30">
        <v>1</v>
      </c>
      <c r="J5" s="31">
        <v>6</v>
      </c>
      <c r="K5" s="31">
        <v>8</v>
      </c>
      <c r="L5" s="31">
        <f>(K6-K5) / ($J6-$J5)</f>
        <v>-2.5</v>
      </c>
      <c r="M5" s="31">
        <f>(L6-L5) / ($J7-$J5)</f>
        <v>0.34375</v>
      </c>
      <c r="N5" s="32"/>
      <c r="P5" s="17">
        <v>2</v>
      </c>
      <c r="Q5" s="18">
        <f>B4 + B5 + B6 + B7</f>
        <v>33</v>
      </c>
      <c r="R5" s="18">
        <f>(B4^2) + (B5^2) + (B6^2) + (B7^2)</f>
        <v>461</v>
      </c>
      <c r="S5" s="12">
        <f>(B4^3) + (B5^3) + (B6^3) + (B7^3)</f>
        <v>7047</v>
      </c>
      <c r="T5" s="19">
        <f>(B4*C4) + (B5*C5) + (B6*C6) + (B7*C7)</f>
        <v>225</v>
      </c>
    </row>
    <row r="6" spans="1:22" ht="17" thickBot="1">
      <c r="A6" s="30">
        <v>2</v>
      </c>
      <c r="B6" s="31">
        <v>6</v>
      </c>
      <c r="C6" s="32">
        <v>8</v>
      </c>
      <c r="I6" s="30">
        <v>2</v>
      </c>
      <c r="J6" s="31">
        <v>10</v>
      </c>
      <c r="K6" s="31">
        <v>-2</v>
      </c>
      <c r="L6" s="31">
        <f>(K7-K6) / ($J7-$J6)</f>
        <v>1.625</v>
      </c>
      <c r="M6" s="31"/>
      <c r="N6" s="32"/>
      <c r="P6" s="20">
        <v>3</v>
      </c>
      <c r="Q6" s="21">
        <f>(B4^2) + (B5^2) + (B6^2) + (B7^2)</f>
        <v>461</v>
      </c>
      <c r="R6" s="21">
        <f>(B4^3) + (B5^3) + (B6^3) + (B7^3)</f>
        <v>7047</v>
      </c>
      <c r="S6" s="22">
        <f>(B4^4) + (B5^4) + (B6^4) + (B7^4)</f>
        <v>116273</v>
      </c>
      <c r="T6" s="23">
        <f>((B4^2)*C4) + ((B5^2)*C5) + ((B6^2)*C6) + ((B7^2)*C7)</f>
        <v>3653</v>
      </c>
    </row>
    <row r="7" spans="1:22" ht="17" thickBot="1">
      <c r="A7" s="33">
        <v>3</v>
      </c>
      <c r="B7" s="34">
        <v>10</v>
      </c>
      <c r="C7" s="35">
        <v>-2</v>
      </c>
      <c r="I7" s="33">
        <v>3</v>
      </c>
      <c r="J7" s="34">
        <v>18</v>
      </c>
      <c r="K7" s="34">
        <v>11</v>
      </c>
      <c r="L7" s="34"/>
      <c r="M7" s="34"/>
      <c r="N7" s="35"/>
    </row>
    <row r="9" spans="1:22">
      <c r="B9" s="48" t="s">
        <v>13</v>
      </c>
      <c r="J9" s="48" t="s">
        <v>14</v>
      </c>
      <c r="M9" s="8"/>
      <c r="N9" s="8"/>
      <c r="Q9" s="48" t="s">
        <v>82</v>
      </c>
    </row>
    <row r="10" spans="1:22" ht="17" thickBot="1"/>
    <row r="11" spans="1:22" ht="18">
      <c r="B11" s="13" t="s">
        <v>10</v>
      </c>
      <c r="C11" s="14" t="s">
        <v>31</v>
      </c>
      <c r="D11" s="14" t="s">
        <v>71</v>
      </c>
      <c r="E11" s="14" t="s">
        <v>72</v>
      </c>
      <c r="F11" s="14" t="s">
        <v>73</v>
      </c>
      <c r="G11" s="25" t="s">
        <v>74</v>
      </c>
      <c r="J11" s="27" t="s">
        <v>75</v>
      </c>
      <c r="P11" s="13" t="s">
        <v>6</v>
      </c>
      <c r="Q11" s="14" t="s">
        <v>34</v>
      </c>
      <c r="R11" s="14" t="s">
        <v>35</v>
      </c>
      <c r="S11" s="15" t="s">
        <v>36</v>
      </c>
      <c r="T11" s="16" t="s">
        <v>27</v>
      </c>
      <c r="V11" s="27" t="s">
        <v>76</v>
      </c>
    </row>
    <row r="12" spans="1:22">
      <c r="B12" s="36">
        <v>-1</v>
      </c>
      <c r="C12" s="31">
        <f>($C$4*D12) + ($C$5*E12) + ($C$6*F12) + ($C$7*G12)</f>
        <v>1</v>
      </c>
      <c r="D12" s="64">
        <f>(($B12-$B$5) * ($B12-$B$6) * ($B12-$B$7)) / (($B$4-$B$5) * ($B$4-$B$6) * ($B$4-$B$7))</f>
        <v>1</v>
      </c>
      <c r="E12" s="31">
        <f>(($B12-$B$4) * ($B12-$B$6) * ($B12-$B$7)) / (($B$5-$B$4) * ($B$5-$B$6) * ($B$5-$B$7))</f>
        <v>0</v>
      </c>
      <c r="F12" s="31">
        <f t="shared" ref="F12:F13" si="0">(($B12-$B$4) * ($B12-$B$5) * ($B12-$B$7)) / (($B$6-$B$4) * ($B$6-$B$5) * ($B$6-$B$7))</f>
        <v>0</v>
      </c>
      <c r="G12" s="32">
        <f>(($B12-$B$4) * ($B12-$B$5) * ($B12-$B$6)) / (($B$7-$B$4) * ($B$7-$B$5) * ($B$7-$B$6))</f>
        <v>0</v>
      </c>
      <c r="J12" s="28">
        <f>$K$4 + ($L$4 * ($B12 - $J$4)) + ($M$4 * ($B12 - $J$4) * ($B12 - $J$5)) + ($N$4 * ($B12 - $J$4) * ($B12 - $J$5) * ($B12 - $J$6))</f>
        <v>1</v>
      </c>
      <c r="P12" s="17">
        <v>1</v>
      </c>
      <c r="Q12" s="18">
        <f>Q6</f>
        <v>461</v>
      </c>
      <c r="R12" s="18">
        <f>R6</f>
        <v>7047</v>
      </c>
      <c r="S12" s="12">
        <f>S6</f>
        <v>116273</v>
      </c>
      <c r="T12" s="19">
        <f>T6</f>
        <v>3653</v>
      </c>
      <c r="V12" s="28">
        <f t="shared" ref="V12:V31" si="1">$R$27 + ($S$27 * B12) + ($T$27 * (B12^2))</f>
        <v>2.3456555991634924</v>
      </c>
    </row>
    <row r="13" spans="1:22">
      <c r="B13" s="36">
        <v>0</v>
      </c>
      <c r="C13" s="31">
        <f>($C$4*D13) + ($C$5*E13) + ($C$6*F13) + ($C$7*G13)</f>
        <v>5.9994019138755981</v>
      </c>
      <c r="D13" s="31">
        <f>(($B13-$B$5) * ($B13-$B$6) * ($B13-$B$7)) / (($B$4-$B$5) * ($B$4-$B$6) * ($B$4-$B$7))</f>
        <v>0.73820915926179087</v>
      </c>
      <c r="E13" s="31">
        <f t="shared" ref="E13:E28" si="2">(($B13-$B$4) * ($B13-$B$6) * ($B13-$B$7)) / (($B$5-$B$4) * ($B$5-$B$6) * ($B$5-$B$7))</f>
        <v>3.2894736842105261E-2</v>
      </c>
      <c r="F13" s="31">
        <f t="shared" si="0"/>
        <v>0.5357142857142857</v>
      </c>
      <c r="G13" s="32">
        <f t="shared" ref="G13:G31" si="3">(($B13-$B$4) * ($B13-$B$5) * ($B13-$B$6)) / (($B$7-$B$4) * ($B$7-$B$5) * ($B$7-$B$6))</f>
        <v>-0.30681818181818182</v>
      </c>
      <c r="J13" s="28">
        <f t="shared" ref="J13:J30" si="4">$K$4 + ($L$4 * ($B13 - $J$4)) + ($M$4 * ($B13 - $J$4) * ($B13 - $J$5)) + ($N$4 * ($B13 - $J$4) * ($B13 - $J$5) * ($B13 - $J$6))</f>
        <v>5.9994019138755981</v>
      </c>
      <c r="P13" s="17" t="s">
        <v>8</v>
      </c>
      <c r="Q13" s="18">
        <f>Q5 - (Q6 * ($Q$5 / $Q6))</f>
        <v>0</v>
      </c>
      <c r="R13" s="18">
        <f>R5 - (R6 * ($Q$5 / $Q6))</f>
        <v>-43.449023861171383</v>
      </c>
      <c r="S13" s="12">
        <f>S5 - (S6 * ($Q$5 / $Q6))</f>
        <v>-1276.2299349240784</v>
      </c>
      <c r="T13" s="19">
        <f>T5 - (T6 * ($Q$5 / $Q6))</f>
        <v>-36.494577006507598</v>
      </c>
      <c r="V13" s="28">
        <f t="shared" si="1"/>
        <v>2.1024135560202835</v>
      </c>
    </row>
    <row r="14" spans="1:22" ht="17" thickBot="1">
      <c r="B14" s="36">
        <v>1</v>
      </c>
      <c r="C14" s="31">
        <f t="shared" ref="C14" si="5">($C$4*D14) + ($C$5*E14) + ($C$6*F14) + ($C$7*G14)</f>
        <v>9.3172846889952154</v>
      </c>
      <c r="D14" s="31">
        <f t="shared" ref="D14:D31" si="6">(($B14-$B$5) * ($B14-$B$6) * ($B14-$B$7)) / (($B$4-$B$5) * ($B$4-$B$6) * ($B$4-$B$7))</f>
        <v>0.52289815447710186</v>
      </c>
      <c r="E14" s="31">
        <f>(($B14-$B$4) * ($B14-$B$6) * ($B14-$B$7)) / (($B$5-$B$4) * ($B$5-$B$6) * ($B$5-$B$7))</f>
        <v>4.9342105263157895E-2</v>
      </c>
      <c r="F14" s="31">
        <f>(($B14-$B$4) * ($B14-$B$5) * ($B14-$B$7)) / (($B$6-$B$4) * ($B$6-$B$5) * ($B$6-$B$7))</f>
        <v>0.9107142857142857</v>
      </c>
      <c r="G14" s="32">
        <f t="shared" si="3"/>
        <v>-0.48295454545454547</v>
      </c>
      <c r="J14" s="28">
        <f>$K$4 + ($L$4 * ($B14 - $J$4)) + ($M$4 * ($B14 - $J$4) * ($B14 - $J$5)) + ($N$4 * ($B14 - $J$4) * ($B14 - $J$5) * ($B14 - $J$6))</f>
        <v>9.3172846889952154</v>
      </c>
      <c r="P14" s="20">
        <v>3</v>
      </c>
      <c r="Q14" s="21">
        <f>Q4</f>
        <v>4</v>
      </c>
      <c r="R14" s="21">
        <f>R4</f>
        <v>33</v>
      </c>
      <c r="S14" s="22">
        <f>S4</f>
        <v>461</v>
      </c>
      <c r="T14" s="23">
        <f>T4</f>
        <v>18</v>
      </c>
      <c r="V14" s="28">
        <f t="shared" si="1"/>
        <v>1.9304967485031665</v>
      </c>
    </row>
    <row r="15" spans="1:22" ht="17" thickBot="1">
      <c r="B15" s="36">
        <v>2</v>
      </c>
      <c r="C15" s="31">
        <f>($C$4*D15) + ($C$5*E15) + ($C$6*F15) + ($C$7*G15)</f>
        <v>11.162679425837322</v>
      </c>
      <c r="D15" s="31">
        <f t="shared" si="6"/>
        <v>0.3499658236500342</v>
      </c>
      <c r="E15" s="31">
        <f t="shared" si="2"/>
        <v>5.2631578947368418E-2</v>
      </c>
      <c r="F15" s="31">
        <f>(($B15-$B$4) * ($B15-$B$5) * ($B15-$B$7)) / (($B$6-$B$4) * ($B$6-$B$5) * ($B$6-$B$7))</f>
        <v>1.1428571428571428</v>
      </c>
      <c r="G15" s="32">
        <f t="shared" si="3"/>
        <v>-0.54545454545454541</v>
      </c>
      <c r="J15" s="28">
        <f t="shared" si="4"/>
        <v>11.162679425837322</v>
      </c>
      <c r="V15" s="28">
        <f t="shared" si="1"/>
        <v>1.8299051766121419</v>
      </c>
    </row>
    <row r="16" spans="1:22" ht="18">
      <c r="B16" s="36">
        <v>3</v>
      </c>
      <c r="C16" s="31">
        <f t="shared" ref="C16:C26" si="7">($C$4*D16) + ($C$5*E16) + ($C$6*F16) + ($C$7*G16)</f>
        <v>11.744617224880383</v>
      </c>
      <c r="D16" s="31">
        <f t="shared" si="6"/>
        <v>0.21531100478468901</v>
      </c>
      <c r="E16" s="31">
        <f t="shared" si="2"/>
        <v>4.6052631578947366E-2</v>
      </c>
      <c r="F16" s="31">
        <f t="shared" ref="F16:F28" si="8">(($B16-$B$4) * ($B16-$B$5) * ($B16-$B$7)) / (($B$6-$B$4) * ($B$6-$B$5) * ($B$6-$B$7))</f>
        <v>1.25</v>
      </c>
      <c r="G16" s="32">
        <f t="shared" si="3"/>
        <v>-0.51136363636363635</v>
      </c>
      <c r="J16" s="28">
        <f>$K$4 + ($L$4 * ($B16 - $J$4)) + ($M$4 * ($B16 - $J$4) * ($B16 - $J$5)) + ($N$4 * ($B16 - $J$4) * ($B16 - $J$5) * ($B16 - $J$6))</f>
        <v>11.744617224880383</v>
      </c>
      <c r="P16" s="13" t="s">
        <v>6</v>
      </c>
      <c r="Q16" s="14" t="s">
        <v>34</v>
      </c>
      <c r="R16" s="14" t="s">
        <v>35</v>
      </c>
      <c r="S16" s="15" t="s">
        <v>36</v>
      </c>
      <c r="T16" s="16" t="s">
        <v>27</v>
      </c>
      <c r="V16" s="28">
        <f t="shared" si="1"/>
        <v>1.8006388403472093</v>
      </c>
    </row>
    <row r="17" spans="2:22">
      <c r="B17" s="36">
        <v>4</v>
      </c>
      <c r="C17" s="31">
        <f>($C$4*D17) + ($C$5*E17) + ($C$6*F17) + ($C$7*G17)</f>
        <v>11.27212918660287</v>
      </c>
      <c r="D17" s="31">
        <f t="shared" si="6"/>
        <v>0.11483253588516747</v>
      </c>
      <c r="E17" s="31">
        <f t="shared" si="2"/>
        <v>3.2894736842105261E-2</v>
      </c>
      <c r="F17" s="31">
        <f t="shared" si="8"/>
        <v>1.25</v>
      </c>
      <c r="G17" s="32">
        <f t="shared" si="3"/>
        <v>-0.39772727272727271</v>
      </c>
      <c r="J17" s="28">
        <f>$K$4 + ($L$4 * ($B17 - $J$4)) + ($M$4 * ($B17 - $J$4) * ($B17 - $J$5)) + ($N$4 * ($B17 - $J$4) * ($B17 - $J$5) * ($B17 - $J$6))</f>
        <v>11.272129186602871</v>
      </c>
      <c r="P17" s="17">
        <v>1</v>
      </c>
      <c r="Q17" s="18">
        <f t="shared" ref="Q17:T18" si="9">Q12</f>
        <v>461</v>
      </c>
      <c r="R17" s="18">
        <f t="shared" si="9"/>
        <v>7047</v>
      </c>
      <c r="S17" s="12">
        <f t="shared" si="9"/>
        <v>116273</v>
      </c>
      <c r="T17" s="19">
        <f t="shared" si="9"/>
        <v>3653</v>
      </c>
      <c r="V17" s="28">
        <f t="shared" si="1"/>
        <v>1.842697739708369</v>
      </c>
    </row>
    <row r="18" spans="2:22">
      <c r="B18" s="36">
        <v>5</v>
      </c>
      <c r="C18" s="31">
        <f t="shared" si="7"/>
        <v>9.9542464114832541</v>
      </c>
      <c r="D18" s="31">
        <f t="shared" si="6"/>
        <v>4.4429254955570742E-2</v>
      </c>
      <c r="E18" s="31">
        <f t="shared" si="2"/>
        <v>1.6447368421052631E-2</v>
      </c>
      <c r="F18" s="31">
        <f t="shared" si="8"/>
        <v>1.1607142857142858</v>
      </c>
      <c r="G18" s="32">
        <f t="shared" si="3"/>
        <v>-0.22159090909090909</v>
      </c>
      <c r="J18" s="28">
        <f>$K$4 + ($L$4 * ($B18 - $J$4)) + ($M$4 * ($B18 - $J$4) * ($B18 - $J$5)) + ($N$4 * ($B18 - $J$4) * ($B18 - $J$5) * ($B18 - $J$6))</f>
        <v>9.9542464114832541</v>
      </c>
      <c r="P18" s="17">
        <v>2</v>
      </c>
      <c r="Q18" s="18">
        <f t="shared" si="9"/>
        <v>0</v>
      </c>
      <c r="R18" s="18">
        <f t="shared" si="9"/>
        <v>-43.449023861171383</v>
      </c>
      <c r="S18" s="12">
        <f t="shared" si="9"/>
        <v>-1276.2299349240784</v>
      </c>
      <c r="T18" s="19">
        <f t="shared" si="9"/>
        <v>-36.494577006507598</v>
      </c>
      <c r="V18" s="28">
        <f t="shared" si="1"/>
        <v>1.956081874695621</v>
      </c>
    </row>
    <row r="19" spans="2:22" ht="17" thickBot="1">
      <c r="B19" s="36">
        <v>6</v>
      </c>
      <c r="C19" s="31">
        <f t="shared" si="7"/>
        <v>8</v>
      </c>
      <c r="D19" s="31">
        <f t="shared" si="6"/>
        <v>0</v>
      </c>
      <c r="E19" s="31">
        <f t="shared" si="2"/>
        <v>0</v>
      </c>
      <c r="F19" s="64">
        <f t="shared" si="8"/>
        <v>1</v>
      </c>
      <c r="G19" s="32">
        <f t="shared" si="3"/>
        <v>0</v>
      </c>
      <c r="J19" s="28">
        <f>$K$4 + ($L$4 * ($B19 - $J$4)) + ($M$4 * ($B19 - $J$4) * ($B19 - $J$5)) + ($N$4 * ($B19 - $J$4) * ($B19 - $J$5) * ($B19 - $J$6))</f>
        <v>8</v>
      </c>
      <c r="P19" s="20" t="s">
        <v>7</v>
      </c>
      <c r="Q19" s="21">
        <f>Q14 - (Q12 * ($Q$14 / $Q$12))</f>
        <v>0</v>
      </c>
      <c r="R19" s="21">
        <f>R14 - (R12 * ($Q$14 / $Q$12))</f>
        <v>-28.14533622559653</v>
      </c>
      <c r="S19" s="22">
        <f>S14 - (S12 * ($Q$14 / $Q$12))</f>
        <v>-547.87635574837316</v>
      </c>
      <c r="T19" s="23">
        <f>T14 - (T12 * ($Q$14 / $Q$12))</f>
        <v>-13.696312364425165</v>
      </c>
      <c r="V19" s="28">
        <f t="shared" si="1"/>
        <v>2.1407912453089648</v>
      </c>
    </row>
    <row r="20" spans="2:22" ht="17" thickBot="1">
      <c r="B20" s="36">
        <v>7</v>
      </c>
      <c r="C20" s="31">
        <f t="shared" si="7"/>
        <v>5.6184210526315788</v>
      </c>
      <c r="D20" s="31">
        <f t="shared" si="6"/>
        <v>-2.2556390977443608E-2</v>
      </c>
      <c r="E20" s="31">
        <f t="shared" si="2"/>
        <v>-1.3157894736842105E-2</v>
      </c>
      <c r="F20" s="31">
        <f t="shared" si="8"/>
        <v>0.7857142857142857</v>
      </c>
      <c r="G20" s="32">
        <f t="shared" si="3"/>
        <v>0.25</v>
      </c>
      <c r="J20" s="28">
        <f t="shared" si="4"/>
        <v>5.6184210526315796</v>
      </c>
      <c r="V20" s="28">
        <f t="shared" si="1"/>
        <v>2.3968258515484013</v>
      </c>
    </row>
    <row r="21" spans="2:22" ht="18">
      <c r="B21" s="36">
        <v>8</v>
      </c>
      <c r="C21" s="31">
        <f t="shared" si="7"/>
        <v>3.0185406698564599</v>
      </c>
      <c r="D21" s="31">
        <f t="shared" si="6"/>
        <v>-2.7341079972658919E-2</v>
      </c>
      <c r="E21" s="31">
        <f t="shared" si="2"/>
        <v>-1.9736842105263157E-2</v>
      </c>
      <c r="F21" s="31">
        <f t="shared" si="8"/>
        <v>0.5357142857142857</v>
      </c>
      <c r="G21" s="32">
        <f t="shared" si="3"/>
        <v>0.51136363636363635</v>
      </c>
      <c r="J21" s="28">
        <f t="shared" si="4"/>
        <v>3.018540669856459</v>
      </c>
      <c r="P21" s="13" t="s">
        <v>6</v>
      </c>
      <c r="Q21" s="14" t="s">
        <v>34</v>
      </c>
      <c r="R21" s="14" t="s">
        <v>35</v>
      </c>
      <c r="S21" s="15" t="s">
        <v>36</v>
      </c>
      <c r="T21" s="16" t="s">
        <v>27</v>
      </c>
      <c r="V21" s="28">
        <f t="shared" si="1"/>
        <v>2.7241856934139292</v>
      </c>
    </row>
    <row r="22" spans="2:22">
      <c r="B22" s="36">
        <v>9</v>
      </c>
      <c r="C22" s="31">
        <f t="shared" si="7"/>
        <v>0.40938995215310992</v>
      </c>
      <c r="D22" s="31">
        <f t="shared" si="6"/>
        <v>-1.845522898154477E-2</v>
      </c>
      <c r="E22" s="31">
        <f t="shared" si="2"/>
        <v>-1.6447368421052631E-2</v>
      </c>
      <c r="F22" s="31">
        <f t="shared" si="8"/>
        <v>0.26785714285714285</v>
      </c>
      <c r="G22" s="32">
        <f t="shared" si="3"/>
        <v>0.76704545454545459</v>
      </c>
      <c r="J22" s="28">
        <f t="shared" si="4"/>
        <v>0.40938995215311058</v>
      </c>
      <c r="P22" s="17">
        <v>1</v>
      </c>
      <c r="Q22" s="18">
        <f t="shared" ref="Q22:T23" si="10">Q17</f>
        <v>461</v>
      </c>
      <c r="R22" s="18">
        <f t="shared" si="10"/>
        <v>7047</v>
      </c>
      <c r="S22" s="12">
        <f t="shared" si="10"/>
        <v>116273</v>
      </c>
      <c r="T22" s="19">
        <f t="shared" si="10"/>
        <v>3653</v>
      </c>
      <c r="V22" s="28">
        <f t="shared" si="1"/>
        <v>3.1228707709055499</v>
      </c>
    </row>
    <row r="23" spans="2:22">
      <c r="B23" s="36">
        <v>10</v>
      </c>
      <c r="C23" s="31">
        <f t="shared" si="7"/>
        <v>-2</v>
      </c>
      <c r="D23" s="31">
        <f t="shared" si="6"/>
        <v>0</v>
      </c>
      <c r="E23" s="31">
        <f t="shared" si="2"/>
        <v>0</v>
      </c>
      <c r="F23" s="31">
        <f t="shared" si="8"/>
        <v>0</v>
      </c>
      <c r="G23" s="65">
        <f t="shared" si="3"/>
        <v>1</v>
      </c>
      <c r="J23" s="28">
        <f t="shared" si="4"/>
        <v>-2</v>
      </c>
      <c r="P23" s="17">
        <v>2</v>
      </c>
      <c r="Q23" s="18">
        <f t="shared" si="10"/>
        <v>0</v>
      </c>
      <c r="R23" s="18">
        <f t="shared" si="10"/>
        <v>-43.449023861171383</v>
      </c>
      <c r="S23" s="12">
        <f t="shared" si="10"/>
        <v>-1276.2299349240784</v>
      </c>
      <c r="T23" s="19">
        <f t="shared" si="10"/>
        <v>-36.494577006507598</v>
      </c>
      <c r="V23" s="28">
        <f t="shared" si="1"/>
        <v>3.5928810840232628</v>
      </c>
    </row>
    <row r="24" spans="2:22" ht="17" thickBot="1">
      <c r="B24" s="36">
        <v>11</v>
      </c>
      <c r="C24" s="31">
        <f t="shared" si="7"/>
        <v>-4.0005980861244019</v>
      </c>
      <c r="D24" s="31">
        <f t="shared" si="6"/>
        <v>2.3923444976076555E-2</v>
      </c>
      <c r="E24" s="31">
        <f t="shared" si="2"/>
        <v>3.2894736842105261E-2</v>
      </c>
      <c r="F24" s="31">
        <f t="shared" si="8"/>
        <v>-0.25</v>
      </c>
      <c r="G24" s="32">
        <f t="shared" si="3"/>
        <v>1.1931818181818181</v>
      </c>
      <c r="J24" s="28">
        <f t="shared" si="4"/>
        <v>-4.0005980861244046</v>
      </c>
      <c r="O24" s="6"/>
      <c r="P24" s="20" t="s">
        <v>17</v>
      </c>
      <c r="Q24" s="21">
        <f>Q19 - (Q18 * ($R$19 / $R$18))</f>
        <v>0</v>
      </c>
      <c r="R24" s="21">
        <f>R19 - (R18 * ($R$19 / $R$18))</f>
        <v>0</v>
      </c>
      <c r="S24" s="22">
        <f>S19 - (S18 * ($R$19 / $R$18))</f>
        <v>278.83774338492253</v>
      </c>
      <c r="T24" s="23">
        <f>T19 - (T18 * ($R$19 / $R$18))</f>
        <v>9.9440838741887134</v>
      </c>
      <c r="V24" s="28">
        <f t="shared" si="1"/>
        <v>4.1342166327670675</v>
      </c>
    </row>
    <row r="25" spans="2:22" ht="17" thickBot="1">
      <c r="B25" s="36">
        <v>12</v>
      </c>
      <c r="C25" s="31">
        <f t="shared" si="7"/>
        <v>-5.383373205741627</v>
      </c>
      <c r="D25" s="31">
        <f t="shared" si="6"/>
        <v>4.9213943950786057E-2</v>
      </c>
      <c r="E25" s="31">
        <f t="shared" si="2"/>
        <v>8.5526315789473686E-2</v>
      </c>
      <c r="F25" s="31">
        <f t="shared" si="8"/>
        <v>-0.4642857142857143</v>
      </c>
      <c r="G25" s="32">
        <f t="shared" si="3"/>
        <v>1.3295454545454546</v>
      </c>
      <c r="J25" s="28">
        <f t="shared" si="4"/>
        <v>-5.3833732057416288</v>
      </c>
      <c r="O25" s="6"/>
      <c r="V25" s="28">
        <f t="shared" si="1"/>
        <v>4.7468774171369645</v>
      </c>
    </row>
    <row r="26" spans="2:22" ht="18">
      <c r="B26" s="36">
        <v>13</v>
      </c>
      <c r="C26" s="31">
        <f t="shared" si="7"/>
        <v>-5.9392942583732058</v>
      </c>
      <c r="D26" s="31">
        <f t="shared" si="6"/>
        <v>7.1770334928229665E-2</v>
      </c>
      <c r="E26" s="31">
        <f t="shared" si="2"/>
        <v>0.16118421052631579</v>
      </c>
      <c r="F26" s="31">
        <f t="shared" si="8"/>
        <v>-0.625</v>
      </c>
      <c r="G26" s="32">
        <f t="shared" si="3"/>
        <v>1.3920454545454546</v>
      </c>
      <c r="J26" s="28">
        <f t="shared" si="4"/>
        <v>-5.939294258373204</v>
      </c>
      <c r="Q26" s="50"/>
      <c r="R26" s="14" t="s">
        <v>37</v>
      </c>
      <c r="S26" s="14" t="s">
        <v>38</v>
      </c>
      <c r="T26" s="25" t="s">
        <v>39</v>
      </c>
      <c r="V26" s="28">
        <f t="shared" si="1"/>
        <v>5.4308634371329543</v>
      </c>
    </row>
    <row r="27" spans="2:22">
      <c r="B27" s="36">
        <v>14</v>
      </c>
      <c r="C27" s="31">
        <f>($C$4*D27) + ($C$5*E27) + ($C$6*F27) + ($C$7*G27)</f>
        <v>-5.4593301435406705</v>
      </c>
      <c r="D27" s="31">
        <f>(($B27-$B$5) * ($B27-$B$6) * ($B27-$B$7)) / (($B$4-$B$5) * ($B$4-$B$6) * ($B$4-$B$7))</f>
        <v>8.7491455912508551E-2</v>
      </c>
      <c r="E27" s="31">
        <f>(($B27-$B$4) * ($B27-$B$6) * ($B27-$B$7)) / (($B$5-$B$4) * ($B$5-$B$6) * ($B$5-$B$7))</f>
        <v>0.26315789473684209</v>
      </c>
      <c r="F27" s="31">
        <f t="shared" si="8"/>
        <v>-0.7142857142857143</v>
      </c>
      <c r="G27" s="32">
        <f>(($B27-$B$4) * ($B27-$B$5) * ($B27-$B$6)) / (($B$7-$B$4) * ($B$7-$B$5) * ($B$7-$B$6))</f>
        <v>1.3636363636363635</v>
      </c>
      <c r="J27" s="28">
        <f t="shared" si="4"/>
        <v>-5.4593301435406687</v>
      </c>
      <c r="Q27" s="36"/>
      <c r="R27" s="18">
        <f xml:space="preserve"> (T22 - (S22 * T27) - (R22 * S27)) / Q22</f>
        <v>2.1024135560202835</v>
      </c>
      <c r="S27" s="18">
        <f>(T23 - (S23 * T27)) / R23</f>
        <v>-0.20757942533016296</v>
      </c>
      <c r="T27" s="19">
        <f>T24 / S24</f>
        <v>3.5662617813046089E-2</v>
      </c>
      <c r="V27" s="28">
        <f t="shared" si="1"/>
        <v>6.186174692755035</v>
      </c>
    </row>
    <row r="28" spans="2:22">
      <c r="B28" s="36">
        <v>15</v>
      </c>
      <c r="C28" s="31">
        <f>($C$4*D28) + ($C$5*E28) + ($C$6*F28) + ($C$7*G28)</f>
        <v>-3.7344497607655502</v>
      </c>
      <c r="D28" s="31">
        <f t="shared" si="6"/>
        <v>9.2276144907723859E-2</v>
      </c>
      <c r="E28" s="31">
        <f t="shared" si="2"/>
        <v>0.39473684210526316</v>
      </c>
      <c r="F28" s="31">
        <f t="shared" si="8"/>
        <v>-0.7142857142857143</v>
      </c>
      <c r="G28" s="32">
        <f t="shared" si="3"/>
        <v>1.2272727272727273</v>
      </c>
      <c r="J28" s="28">
        <f t="shared" si="4"/>
        <v>-3.7344497607655533</v>
      </c>
      <c r="Q28" s="36" t="s">
        <v>77</v>
      </c>
      <c r="R28" s="31">
        <v>2.1023999999999998</v>
      </c>
      <c r="S28" s="31">
        <v>-0.20760000000000001</v>
      </c>
      <c r="T28" s="19">
        <v>3.56E-2</v>
      </c>
      <c r="V28" s="28">
        <f t="shared" si="1"/>
        <v>7.0128111840032084</v>
      </c>
    </row>
    <row r="29" spans="2:22" ht="17" thickBot="1">
      <c r="B29" s="36">
        <v>16</v>
      </c>
      <c r="C29" s="31">
        <f t="shared" ref="C29" si="11">($C$4*D29) + ($C$5*E29) + ($C$6*F29) + ($C$7*G29)</f>
        <v>-0.55562200956937802</v>
      </c>
      <c r="D29" s="31">
        <f t="shared" si="6"/>
        <v>8.2023239917976762E-2</v>
      </c>
      <c r="E29" s="31">
        <f>(($B29-$B$4) * ($B29-$B$6) * ($B29-$B$7)) / (($B$5-$B$4) * ($B$5-$B$6) * ($B$5-$B$7))</f>
        <v>0.55921052631578949</v>
      </c>
      <c r="F29" s="31">
        <f>(($B29-$B$4) * ($B29-$B$5) * ($B29-$B$7)) / (($B$6-$B$4) * ($B$6-$B$5) * ($B$6-$B$7))</f>
        <v>-0.6071428571428571</v>
      </c>
      <c r="G29" s="32">
        <f t="shared" si="3"/>
        <v>0.96590909090909094</v>
      </c>
      <c r="J29" s="28">
        <f t="shared" si="4"/>
        <v>-0.55562200956938312</v>
      </c>
      <c r="Q29" s="37" t="s">
        <v>58</v>
      </c>
      <c r="R29" s="34">
        <f>ABS(R27-R28)</f>
        <v>1.3556020283633785E-5</v>
      </c>
      <c r="S29" s="34">
        <f t="shared" ref="S29:T29" si="12">ABS(S27-S28)</f>
        <v>2.057466983704237E-5</v>
      </c>
      <c r="T29" s="35">
        <f t="shared" si="12"/>
        <v>6.261781304608971E-5</v>
      </c>
      <c r="V29" s="28">
        <f t="shared" si="1"/>
        <v>7.9107729108774745</v>
      </c>
    </row>
    <row r="30" spans="2:22">
      <c r="B30" s="36">
        <v>17</v>
      </c>
      <c r="C30" s="31">
        <f>($C$4*D30) + ($C$5*E30) + ($C$6*F30) + ($C$7*G30)</f>
        <v>4.286184210526315</v>
      </c>
      <c r="D30" s="31">
        <f>(($B30-$B$5) * ($B30-$B$6) * ($B30-$B$7)) / (($B$4-$B$5) * ($B$4-$B$6) * ($B$4-$B$7))</f>
        <v>5.2631578947368418E-2</v>
      </c>
      <c r="E30" s="31">
        <f>(($B30-$B$4) * ($B30-$B$6) * ($B30-$B$7)) / (($B$5-$B$4) * ($B$5-$B$6) * ($B$5-$B$7))</f>
        <v>0.75986842105263153</v>
      </c>
      <c r="F30" s="31">
        <f t="shared" ref="F30:F31" si="13">(($B30-$B$4) * ($B30-$B$5) * ($B30-$B$7)) / (($B$6-$B$4) * ($B$6-$B$5) * ($B$6-$B$7))</f>
        <v>-0.375</v>
      </c>
      <c r="G30" s="32">
        <f>(($B30-$B$4) * ($B30-$B$5) * ($B30-$B$6)) / (($B$7-$B$4) * ($B$7-$B$5) * ($B$7-$B$6))</f>
        <v>0.5625</v>
      </c>
      <c r="J30" s="28">
        <f t="shared" si="4"/>
        <v>4.286184210526315</v>
      </c>
      <c r="V30" s="28">
        <f t="shared" si="1"/>
        <v>8.8800598733778315</v>
      </c>
    </row>
    <row r="31" spans="2:22" ht="17" thickBot="1">
      <c r="B31" s="37">
        <v>18</v>
      </c>
      <c r="C31" s="34">
        <f>($C$4*D31) + ($C$5*E31) + ($C$6*F31) + ($C$7*G31)</f>
        <v>11</v>
      </c>
      <c r="D31" s="34">
        <f t="shared" si="6"/>
        <v>0</v>
      </c>
      <c r="E31" s="66">
        <f t="shared" ref="E31" si="14">(($B31-$B$4) * ($B31-$B$6) * ($B31-$B$7)) / (($B$5-$B$4) * ($B$5-$B$6) * ($B$5-$B$7))</f>
        <v>1</v>
      </c>
      <c r="F31" s="34">
        <f t="shared" si="13"/>
        <v>0</v>
      </c>
      <c r="G31" s="35">
        <f t="shared" si="3"/>
        <v>0</v>
      </c>
      <c r="J31" s="29">
        <f>$K$4 + ($L$4 * ($B31 - $J$4)) + ($M$4 * ($B31 - $J$4) * ($B31 - $J$5)) + ($N$4 * ($B31 - $J$4) * ($B31 - $J$5) * ($B31 - $J$6))</f>
        <v>11.000000000000007</v>
      </c>
      <c r="V31" s="29">
        <f t="shared" si="1"/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zoomScaleNormal="100" workbookViewId="0">
      <selection activeCell="G11" sqref="G11"/>
    </sheetView>
  </sheetViews>
  <sheetFormatPr baseColWidth="10" defaultColWidth="11" defaultRowHeight="16"/>
  <cols>
    <col min="1" max="1" width="12.1640625" bestFit="1" customWidth="1"/>
    <col min="2" max="2" width="5.33203125" bestFit="1" customWidth="1"/>
  </cols>
  <sheetData>
    <row r="1" spans="1:14">
      <c r="D1" t="s">
        <v>19</v>
      </c>
      <c r="E1" t="s">
        <v>20</v>
      </c>
      <c r="F1" t="s">
        <v>22</v>
      </c>
      <c r="G1" s="6" t="s">
        <v>21</v>
      </c>
    </row>
    <row r="2" spans="1:14">
      <c r="D2">
        <v>0.1</v>
      </c>
      <c r="E2">
        <v>1</v>
      </c>
      <c r="F2">
        <v>5</v>
      </c>
      <c r="G2">
        <f>(E2-D2)/F2</f>
        <v>0.18</v>
      </c>
    </row>
    <row r="3" spans="1:14" ht="8" customHeight="1" thickBot="1"/>
    <row r="4" spans="1:14" ht="18">
      <c r="A4" s="50"/>
      <c r="B4" s="14" t="s">
        <v>10</v>
      </c>
      <c r="C4" s="15" t="s">
        <v>18</v>
      </c>
      <c r="D4" s="14" t="s">
        <v>55</v>
      </c>
      <c r="E4" s="14" t="s">
        <v>53</v>
      </c>
      <c r="F4" s="14" t="s">
        <v>54</v>
      </c>
      <c r="G4" s="52" t="s">
        <v>40</v>
      </c>
      <c r="H4" s="46"/>
      <c r="I4" s="46"/>
      <c r="K4" s="24" t="s">
        <v>10</v>
      </c>
      <c r="L4" s="14" t="s">
        <v>18</v>
      </c>
      <c r="M4" s="51" t="s">
        <v>51</v>
      </c>
      <c r="N4" s="52" t="s">
        <v>52</v>
      </c>
    </row>
    <row r="5" spans="1:14">
      <c r="A5" s="36"/>
      <c r="B5" s="31">
        <v>0.1</v>
      </c>
      <c r="C5" s="9">
        <f>B5 / (SIN(3 * B5))^2</f>
        <v>1.1450531251495653</v>
      </c>
      <c r="D5" s="31"/>
      <c r="E5" s="31"/>
      <c r="F5" s="31"/>
      <c r="G5" s="32"/>
      <c r="H5" s="31"/>
      <c r="I5" s="31"/>
      <c r="K5" s="57">
        <v>2.5000000000000001E-2</v>
      </c>
      <c r="L5" s="9">
        <f t="shared" ref="L5:L44" si="0">K5 / (SIN(3 * K5))^2</f>
        <v>4.4527871611549088</v>
      </c>
      <c r="M5" s="31"/>
      <c r="N5" s="32"/>
    </row>
    <row r="6" spans="1:14">
      <c r="A6" s="36"/>
      <c r="B6" s="31">
        <f>B5+$G$2</f>
        <v>0.28000000000000003</v>
      </c>
      <c r="C6" s="9">
        <f t="shared" ref="C6:C10" si="1">B6 / (SIN(3 * B6))^2</f>
        <v>0.50496545505971313</v>
      </c>
      <c r="D6" s="31">
        <f>$G$2 * C5</f>
        <v>0.20610956252692172</v>
      </c>
      <c r="E6" s="31">
        <f>($G$2 * (C5 + C6)) / 2</f>
        <v>0.14850167221883506</v>
      </c>
      <c r="F6" s="31">
        <f>($G$2 * (C5 + (4*C6) + C7)) / 6</f>
        <v>0.10926226120758688</v>
      </c>
      <c r="G6" s="32"/>
      <c r="H6" s="31"/>
      <c r="I6" s="31"/>
      <c r="K6" s="57">
        <v>0.05</v>
      </c>
      <c r="L6" s="9">
        <f t="shared" si="0"/>
        <v>2.2389641575922536</v>
      </c>
      <c r="M6" s="31">
        <f>(L7-L5) / (2 * 0.025)</f>
        <v>-58.921010122432179</v>
      </c>
      <c r="N6" s="32">
        <f>(0.025 * (L5 + L6)) / 2</f>
        <v>8.3646891484339528E-2</v>
      </c>
    </row>
    <row r="7" spans="1:14">
      <c r="A7" s="36"/>
      <c r="B7" s="31">
        <f t="shared" ref="B7:B9" si="2">B6+$G$2</f>
        <v>0.46</v>
      </c>
      <c r="C7" s="9">
        <f t="shared" si="1"/>
        <v>0.4771604281978114</v>
      </c>
      <c r="D7" s="31">
        <f>$G$2 * C6</f>
        <v>9.0893781910748359E-2</v>
      </c>
      <c r="E7" s="31">
        <f>($G$2 * (C6 + C7)) / 2</f>
        <v>8.8391329493177212E-2</v>
      </c>
      <c r="F7" s="31">
        <f>($G$2 * (C6 + (4*C7) + C8)) / 6</f>
        <v>9.41539042327042E-2</v>
      </c>
      <c r="G7" s="32"/>
      <c r="H7" s="31"/>
      <c r="I7" s="31"/>
      <c r="K7" s="57">
        <v>7.4999999999999997E-2</v>
      </c>
      <c r="L7" s="9">
        <f t="shared" si="0"/>
        <v>1.5067366550332997</v>
      </c>
      <c r="M7" s="31">
        <f t="shared" ref="M7:M42" si="3">(L8-L6) / (2 * 0.025)</f>
        <v>-21.878220648853766</v>
      </c>
      <c r="N7" s="32">
        <f>(0.025 * (L6 + L7)) / 2</f>
        <v>4.6821260157819421E-2</v>
      </c>
    </row>
    <row r="8" spans="1:14">
      <c r="A8" s="36"/>
      <c r="B8" s="31">
        <f t="shared" si="2"/>
        <v>0.64</v>
      </c>
      <c r="C8" s="9">
        <f t="shared" si="1"/>
        <v>0.72485630657251499</v>
      </c>
      <c r="D8" s="31">
        <f>$G$2 * C7</f>
        <v>8.5888877075606052E-2</v>
      </c>
      <c r="E8" s="31">
        <f t="shared" ref="E8" si="4">($G$2 * (C7 + C8)) / 2</f>
        <v>0.10818150612932936</v>
      </c>
      <c r="F8" s="31">
        <f t="shared" ref="F8:F9" si="5">($G$2 * (C7 + (4*C8) + C9)) / 6</f>
        <v>0.16327189091862682</v>
      </c>
      <c r="G8" s="32"/>
      <c r="H8" s="31"/>
      <c r="I8" s="31"/>
      <c r="K8" s="57">
        <v>0.1</v>
      </c>
      <c r="L8" s="9">
        <f t="shared" si="0"/>
        <v>1.1450531251495653</v>
      </c>
      <c r="M8" s="31">
        <f t="shared" si="3"/>
        <v>-11.499650839957837</v>
      </c>
      <c r="N8" s="32">
        <f t="shared" ref="N8:N42" si="6">(0.025 * (L7 + L8)) / 2</f>
        <v>3.3147372252285812E-2</v>
      </c>
    </row>
    <row r="9" spans="1:14">
      <c r="A9" s="36"/>
      <c r="B9" s="31">
        <f t="shared" si="2"/>
        <v>0.82000000000000006</v>
      </c>
      <c r="C9" s="9">
        <f t="shared" si="1"/>
        <v>2.0658107094663558</v>
      </c>
      <c r="D9" s="31">
        <f>$G$2 * C8</f>
        <v>0.1304741351830527</v>
      </c>
      <c r="E9" s="31">
        <f>($G$2 * (C8 + C9)) / 2</f>
        <v>0.25116003144349835</v>
      </c>
      <c r="F9" s="31">
        <f t="shared" si="5"/>
        <v>1.7760560251454001</v>
      </c>
      <c r="G9" s="32"/>
      <c r="H9" s="31"/>
      <c r="I9" s="31"/>
      <c r="K9" s="57">
        <v>0.125</v>
      </c>
      <c r="L9" s="9">
        <f t="shared" si="0"/>
        <v>0.93175411303540778</v>
      </c>
      <c r="M9" s="31">
        <f t="shared" si="3"/>
        <v>-7.0444080013425054</v>
      </c>
      <c r="N9" s="32">
        <f t="shared" si="6"/>
        <v>2.5960090477312167E-2</v>
      </c>
    </row>
    <row r="10" spans="1:14">
      <c r="A10" s="36"/>
      <c r="B10" s="31">
        <f>B9+$G$2</f>
        <v>1</v>
      </c>
      <c r="C10" s="9">
        <f t="shared" si="1"/>
        <v>50.213768360408736</v>
      </c>
      <c r="D10" s="31">
        <f>$G$2 * C9</f>
        <v>0.37184592770394403</v>
      </c>
      <c r="E10" s="31">
        <f>($G$2 * (C9 + C10)) / 2</f>
        <v>4.7051621162887578</v>
      </c>
      <c r="F10" s="10"/>
      <c r="G10" s="53"/>
      <c r="H10" s="31"/>
      <c r="I10" s="31"/>
      <c r="K10" s="57">
        <v>0.15</v>
      </c>
      <c r="L10" s="9">
        <f t="shared" si="0"/>
        <v>0.79283272508243996</v>
      </c>
      <c r="M10" s="31">
        <f t="shared" si="3"/>
        <v>-4.7027641277126948</v>
      </c>
      <c r="N10" s="32">
        <f t="shared" si="6"/>
        <v>2.1557335476473097E-2</v>
      </c>
    </row>
    <row r="11" spans="1:14" ht="17" thickBot="1">
      <c r="A11" s="54" t="s">
        <v>23</v>
      </c>
      <c r="B11" s="55"/>
      <c r="C11" s="56"/>
      <c r="D11" s="55">
        <f>SUM(D5:D10)</f>
        <v>0.88521228440027278</v>
      </c>
      <c r="E11" s="55">
        <f>SUM(E5:E10)</f>
        <v>5.3013966555735976</v>
      </c>
      <c r="F11" s="34">
        <f>SUM(F5:F10)</f>
        <v>2.1427440815043179</v>
      </c>
      <c r="G11" s="35">
        <f>(( G32 * (G35 / (SIN(3 * G35)^2)) ) + ( H32 * (H35 / (SIN(3 * H35)^2)) ) + ( I32 * (I35 / (SIN(3 * I35)^2)) )) * ((E2-D2)/2)</f>
        <v>1.5852327087272966</v>
      </c>
      <c r="H11" s="31"/>
      <c r="I11" s="31"/>
      <c r="K11" s="57">
        <v>0.17499999999999999</v>
      </c>
      <c r="L11" s="9">
        <f t="shared" si="0"/>
        <v>0.69661590664977302</v>
      </c>
      <c r="M11" s="31">
        <f t="shared" si="3"/>
        <v>-3.3104343348306053</v>
      </c>
      <c r="N11" s="32">
        <f t="shared" si="6"/>
        <v>1.8618107896652664E-2</v>
      </c>
    </row>
    <row r="12" spans="1:14">
      <c r="K12" s="57">
        <v>0.2</v>
      </c>
      <c r="L12" s="9">
        <f t="shared" si="0"/>
        <v>0.62731100834090969</v>
      </c>
      <c r="M12" s="31">
        <f t="shared" si="3"/>
        <v>-2.4085318837882408</v>
      </c>
      <c r="N12" s="32">
        <f t="shared" si="6"/>
        <v>1.6549086437383533E-2</v>
      </c>
    </row>
    <row r="13" spans="1:14">
      <c r="K13" s="57">
        <v>0.22500000000000001</v>
      </c>
      <c r="L13" s="9">
        <f t="shared" si="0"/>
        <v>0.57618931246036098</v>
      </c>
      <c r="M13" s="31">
        <f t="shared" si="3"/>
        <v>-1.785001684870442</v>
      </c>
      <c r="N13" s="32">
        <f t="shared" si="6"/>
        <v>1.5043754010015883E-2</v>
      </c>
    </row>
    <row r="14" spans="1:14">
      <c r="A14" s="48" t="s">
        <v>41</v>
      </c>
      <c r="K14" s="57">
        <v>0.25</v>
      </c>
      <c r="L14" s="9">
        <f t="shared" si="0"/>
        <v>0.53806092409738759</v>
      </c>
      <c r="M14" s="31">
        <f t="shared" si="3"/>
        <v>-1.3303036523097234</v>
      </c>
      <c r="N14" s="32">
        <f t="shared" si="6"/>
        <v>1.392812795697186E-2</v>
      </c>
    </row>
    <row r="15" spans="1:14">
      <c r="K15" s="57">
        <v>0.27500000000000002</v>
      </c>
      <c r="L15" s="9">
        <f t="shared" si="0"/>
        <v>0.50967412984487481</v>
      </c>
      <c r="M15" s="31">
        <f t="shared" si="3"/>
        <v>-0.98287793649659561</v>
      </c>
      <c r="N15" s="32">
        <f t="shared" si="6"/>
        <v>1.3096688174278281E-2</v>
      </c>
    </row>
    <row r="16" spans="1:14">
      <c r="K16" s="57">
        <v>0.3</v>
      </c>
      <c r="L16" s="9">
        <f t="shared" si="0"/>
        <v>0.48891702727255781</v>
      </c>
      <c r="M16" s="31">
        <f t="shared" si="3"/>
        <v>-0.70568383154820835</v>
      </c>
      <c r="N16" s="32">
        <f t="shared" si="6"/>
        <v>1.2482389463967909E-2</v>
      </c>
    </row>
    <row r="17" spans="7:14">
      <c r="K17" s="57">
        <v>0.32500000000000001</v>
      </c>
      <c r="L17" s="9">
        <f t="shared" si="0"/>
        <v>0.47438993826746439</v>
      </c>
      <c r="M17" s="31">
        <f t="shared" si="3"/>
        <v>-0.47506364743065244</v>
      </c>
      <c r="N17" s="32">
        <f t="shared" si="6"/>
        <v>1.2041337069250278E-2</v>
      </c>
    </row>
    <row r="18" spans="7:14">
      <c r="K18" s="57">
        <v>0.35</v>
      </c>
      <c r="L18" s="9">
        <f t="shared" si="0"/>
        <v>0.46516384490102519</v>
      </c>
      <c r="M18" s="31">
        <f t="shared" si="3"/>
        <v>-0.27502207454649041</v>
      </c>
      <c r="N18" s="32">
        <f t="shared" si="6"/>
        <v>1.1744422289606121E-2</v>
      </c>
    </row>
    <row r="19" spans="7:14">
      <c r="K19" s="57">
        <v>0.375</v>
      </c>
      <c r="L19" s="9">
        <f t="shared" si="0"/>
        <v>0.46063883454013987</v>
      </c>
      <c r="M19" s="31">
        <f t="shared" si="3"/>
        <v>-9.4080469555489765E-2</v>
      </c>
      <c r="N19" s="32">
        <f t="shared" si="6"/>
        <v>1.1572533493014564E-2</v>
      </c>
    </row>
    <row r="20" spans="7:14">
      <c r="K20" s="57">
        <v>0.4</v>
      </c>
      <c r="L20" s="9">
        <f t="shared" si="0"/>
        <v>0.4604598214232507</v>
      </c>
      <c r="M20" s="31">
        <f t="shared" si="3"/>
        <v>7.6569042908178897E-2</v>
      </c>
      <c r="N20" s="32">
        <f t="shared" si="6"/>
        <v>1.1513733199542383E-2</v>
      </c>
    </row>
    <row r="21" spans="7:14">
      <c r="K21" s="57">
        <v>0.42499999999999999</v>
      </c>
      <c r="L21" s="9">
        <f t="shared" si="0"/>
        <v>0.46446728668554882</v>
      </c>
      <c r="M21" s="31">
        <f t="shared" si="3"/>
        <v>0.24422689662594976</v>
      </c>
      <c r="N21" s="32">
        <f t="shared" si="6"/>
        <v>1.1561588851359994E-2</v>
      </c>
    </row>
    <row r="22" spans="7:14">
      <c r="K22" s="57">
        <v>0.45</v>
      </c>
      <c r="L22" s="9">
        <f t="shared" si="0"/>
        <v>0.47267116625454819</v>
      </c>
      <c r="M22" s="31">
        <f t="shared" si="3"/>
        <v>0.41548819081028587</v>
      </c>
      <c r="N22" s="32">
        <f t="shared" si="6"/>
        <v>1.1714230661751214E-2</v>
      </c>
    </row>
    <row r="23" spans="7:14">
      <c r="K23" s="57">
        <v>0.47499999999999998</v>
      </c>
      <c r="L23" s="9">
        <f t="shared" si="0"/>
        <v>0.48524169622606311</v>
      </c>
      <c r="M23" s="31">
        <f t="shared" si="3"/>
        <v>0.59686582633373009</v>
      </c>
      <c r="N23" s="32">
        <f t="shared" si="6"/>
        <v>1.1973910781007641E-2</v>
      </c>
    </row>
    <row r="24" spans="7:14">
      <c r="K24" s="57">
        <v>0.5</v>
      </c>
      <c r="L24" s="9">
        <f t="shared" si="0"/>
        <v>0.5025144575712347</v>
      </c>
      <c r="M24" s="31">
        <f t="shared" si="3"/>
        <v>0.79535162178293928</v>
      </c>
      <c r="N24" s="32">
        <f t="shared" si="6"/>
        <v>1.2346951922466223E-2</v>
      </c>
    </row>
    <row r="25" spans="7:14">
      <c r="K25" s="57">
        <v>0.52500000000000002</v>
      </c>
      <c r="L25" s="9">
        <f t="shared" si="0"/>
        <v>0.52500927731521008</v>
      </c>
      <c r="M25" s="31">
        <f t="shared" si="3"/>
        <v>1.0190059091276971</v>
      </c>
      <c r="N25" s="32">
        <f t="shared" si="6"/>
        <v>1.284404668608056E-2</v>
      </c>
    </row>
    <row r="26" spans="7:14">
      <c r="K26" s="57">
        <v>0.55000000000000004</v>
      </c>
      <c r="L26" s="9">
        <f t="shared" si="0"/>
        <v>0.55346475302761955</v>
      </c>
      <c r="M26" s="31">
        <f t="shared" si="3"/>
        <v>1.2776644492102118</v>
      </c>
      <c r="N26" s="32">
        <f t="shared" si="6"/>
        <v>1.348092537928537E-2</v>
      </c>
    </row>
    <row r="27" spans="7:14" ht="17" thickBot="1">
      <c r="K27" s="57">
        <v>0.57499999999999996</v>
      </c>
      <c r="L27" s="9">
        <f t="shared" si="0"/>
        <v>0.58889249977572067</v>
      </c>
      <c r="M27" s="31">
        <f t="shared" si="3"/>
        <v>1.5838714119521269</v>
      </c>
      <c r="N27" s="32">
        <f t="shared" si="6"/>
        <v>1.4279465660041752E-2</v>
      </c>
    </row>
    <row r="28" spans="7:14" ht="18">
      <c r="G28" s="24" t="s">
        <v>45</v>
      </c>
      <c r="H28" s="14" t="s">
        <v>46</v>
      </c>
      <c r="I28" s="25" t="s">
        <v>47</v>
      </c>
      <c r="K28" s="57">
        <v>0.6</v>
      </c>
      <c r="L28" s="9">
        <f t="shared" si="0"/>
        <v>0.63265832362522589</v>
      </c>
      <c r="M28" s="31">
        <f t="shared" si="3"/>
        <v>1.9541933455680049</v>
      </c>
      <c r="N28" s="32">
        <f t="shared" si="6"/>
        <v>1.5269385292511834E-2</v>
      </c>
    </row>
    <row r="29" spans="7:14" ht="17" thickBot="1">
      <c r="G29" s="47">
        <v>0</v>
      </c>
      <c r="H29" s="34">
        <f>SQRT(3/5)</f>
        <v>0.7745966692414834</v>
      </c>
      <c r="I29" s="35">
        <f>-SQRT(3/5)</f>
        <v>-0.7745966692414834</v>
      </c>
      <c r="K29" s="57">
        <v>0.625</v>
      </c>
      <c r="L29" s="9">
        <f t="shared" si="0"/>
        <v>0.68660216705412092</v>
      </c>
      <c r="M29" s="31">
        <f t="shared" si="3"/>
        <v>2.4111555386935701</v>
      </c>
      <c r="N29" s="32">
        <f t="shared" si="6"/>
        <v>1.6490756133491834E-2</v>
      </c>
    </row>
    <row r="30" spans="7:14" ht="17" thickBot="1">
      <c r="K30" s="57">
        <v>0.65</v>
      </c>
      <c r="L30" s="9">
        <f t="shared" si="0"/>
        <v>0.7532161005599044</v>
      </c>
      <c r="M30" s="31">
        <f t="shared" si="3"/>
        <v>2.9861983113455493</v>
      </c>
      <c r="N30" s="32">
        <f t="shared" si="6"/>
        <v>1.799772834517532E-2</v>
      </c>
    </row>
    <row r="31" spans="7:14" ht="18">
      <c r="G31" s="24" t="s">
        <v>48</v>
      </c>
      <c r="H31" s="14" t="s">
        <v>49</v>
      </c>
      <c r="I31" s="25" t="s">
        <v>50</v>
      </c>
      <c r="K31" s="57">
        <v>0.67500000000000004</v>
      </c>
      <c r="L31" s="9">
        <f t="shared" si="0"/>
        <v>0.83591208262139838</v>
      </c>
      <c r="M31" s="31">
        <f t="shared" si="3"/>
        <v>3.7243353828881665</v>
      </c>
      <c r="N31" s="32">
        <f t="shared" si="6"/>
        <v>1.9864102289766285E-2</v>
      </c>
    </row>
    <row r="32" spans="7:14" ht="17" thickBot="1">
      <c r="G32" s="47">
        <f>2/2.25</f>
        <v>0.88888888888888884</v>
      </c>
      <c r="H32" s="34">
        <f>2/3.6</f>
        <v>0.55555555555555558</v>
      </c>
      <c r="I32" s="35">
        <f>2/3.6</f>
        <v>0.55555555555555558</v>
      </c>
      <c r="K32" s="57">
        <v>0.7</v>
      </c>
      <c r="L32" s="9">
        <f t="shared" si="0"/>
        <v>0.93943286970431272</v>
      </c>
      <c r="M32" s="31">
        <f t="shared" si="3"/>
        <v>4.6917294938112741</v>
      </c>
      <c r="N32" s="32">
        <f t="shared" si="6"/>
        <v>2.2191811904071393E-2</v>
      </c>
    </row>
    <row r="33" spans="7:14" ht="17" thickBot="1">
      <c r="K33" s="57">
        <v>0.72499999999999998</v>
      </c>
      <c r="L33" s="9">
        <f t="shared" si="0"/>
        <v>1.0704985573119621</v>
      </c>
      <c r="M33" s="31">
        <f t="shared" si="3"/>
        <v>5.9884355014322361</v>
      </c>
      <c r="N33" s="32">
        <f t="shared" si="6"/>
        <v>2.5124142837703436E-2</v>
      </c>
    </row>
    <row r="34" spans="7:14" ht="18">
      <c r="G34" s="24" t="s">
        <v>28</v>
      </c>
      <c r="H34" s="14" t="s">
        <v>29</v>
      </c>
      <c r="I34" s="25" t="s">
        <v>30</v>
      </c>
      <c r="K34" s="57">
        <v>0.75</v>
      </c>
      <c r="L34" s="9">
        <f t="shared" si="0"/>
        <v>1.2388546447759246</v>
      </c>
      <c r="M34" s="31">
        <f t="shared" si="3"/>
        <v>7.7706598555071382</v>
      </c>
      <c r="N34" s="32">
        <f t="shared" si="6"/>
        <v>2.8866915026098585E-2</v>
      </c>
    </row>
    <row r="35" spans="7:14" ht="17" thickBot="1">
      <c r="G35" s="47">
        <f>(($E$2+$D$2) / 2) + (($E$2-$D$2) / 2) * G29</f>
        <v>0.55000000000000004</v>
      </c>
      <c r="H35" s="34">
        <f>(($E$2+$D$2) / 2) + (($E$2-$D$2) / 2) * H29</f>
        <v>0.8985685011586676</v>
      </c>
      <c r="I35" s="35">
        <f>(($E$2+$D$2) / 2) + (($E$2-$D$2) / 2) * I29</f>
        <v>0.20143149884133249</v>
      </c>
      <c r="K35" s="57">
        <v>0.77500000000000002</v>
      </c>
      <c r="L35" s="9">
        <f t="shared" si="0"/>
        <v>1.459031550087319</v>
      </c>
      <c r="M35" s="31">
        <f t="shared" si="3"/>
        <v>10.291361187542266</v>
      </c>
      <c r="N35" s="32">
        <f t="shared" si="6"/>
        <v>3.372357743579054E-2</v>
      </c>
    </row>
    <row r="36" spans="7:14">
      <c r="K36" s="57">
        <v>0.8</v>
      </c>
      <c r="L36" s="9">
        <f t="shared" si="0"/>
        <v>1.7534227041530379</v>
      </c>
      <c r="M36" s="31">
        <f t="shared" si="3"/>
        <v>13.97814365252103</v>
      </c>
      <c r="N36" s="32">
        <f t="shared" si="6"/>
        <v>4.0155678178004466E-2</v>
      </c>
    </row>
    <row r="37" spans="7:14">
      <c r="K37" s="57">
        <v>0.82499999999999996</v>
      </c>
      <c r="L37" s="9">
        <f t="shared" si="0"/>
        <v>2.1579387327133706</v>
      </c>
      <c r="M37" s="31">
        <f t="shared" si="3"/>
        <v>19.59196940128955</v>
      </c>
      <c r="N37" s="32">
        <f t="shared" si="6"/>
        <v>4.8892017960830106E-2</v>
      </c>
    </row>
    <row r="38" spans="7:14">
      <c r="K38" s="57">
        <v>0.85</v>
      </c>
      <c r="L38" s="9">
        <f t="shared" si="0"/>
        <v>2.7330211742175154</v>
      </c>
      <c r="M38" s="31">
        <f t="shared" si="3"/>
        <v>28.575101603701992</v>
      </c>
      <c r="N38" s="32">
        <f t="shared" si="6"/>
        <v>6.1136998836636085E-2</v>
      </c>
    </row>
    <row r="39" spans="7:14">
      <c r="K39" s="57">
        <v>0.875</v>
      </c>
      <c r="L39" s="9">
        <f t="shared" si="0"/>
        <v>3.5866938128984702</v>
      </c>
      <c r="M39" s="31">
        <f t="shared" si="3"/>
        <v>43.886792349159698</v>
      </c>
      <c r="N39" s="32">
        <f t="shared" si="6"/>
        <v>7.8996437338949829E-2</v>
      </c>
    </row>
    <row r="40" spans="7:14">
      <c r="K40" s="57">
        <v>0.9</v>
      </c>
      <c r="L40" s="9">
        <f t="shared" si="0"/>
        <v>4.9273607916755005</v>
      </c>
      <c r="M40" s="31">
        <f t="shared" si="3"/>
        <v>72.261015811858982</v>
      </c>
      <c r="N40" s="32">
        <f t="shared" si="6"/>
        <v>0.10642568255717465</v>
      </c>
    </row>
    <row r="41" spans="7:14">
      <c r="K41" s="57">
        <v>0.92500000000000004</v>
      </c>
      <c r="L41" s="9">
        <f t="shared" si="0"/>
        <v>7.1997446034914194</v>
      </c>
      <c r="M41" s="31">
        <f t="shared" si="3"/>
        <v>131.355623070408</v>
      </c>
      <c r="N41" s="32">
        <f t="shared" si="6"/>
        <v>0.15158881743958652</v>
      </c>
    </row>
    <row r="42" spans="7:14">
      <c r="K42" s="57">
        <v>0.95</v>
      </c>
      <c r="L42" s="9">
        <f t="shared" si="0"/>
        <v>11.4951419451959</v>
      </c>
      <c r="M42" s="31">
        <f t="shared" si="3"/>
        <v>278.2351017994244</v>
      </c>
      <c r="N42" s="32">
        <f t="shared" si="6"/>
        <v>0.23368608185859152</v>
      </c>
    </row>
    <row r="43" spans="7:14">
      <c r="K43" s="57">
        <v>0.97499999999999998</v>
      </c>
      <c r="L43" s="9">
        <f t="shared" si="0"/>
        <v>21.11149969346264</v>
      </c>
      <c r="M43" s="31">
        <f>(L44-L42) / (2 * 0.025)</f>
        <v>774.37252830425678</v>
      </c>
      <c r="N43" s="32">
        <f>(0.025 * (L42 + L43)) / 2</f>
        <v>0.40758302048323181</v>
      </c>
    </row>
    <row r="44" spans="7:14" ht="17" thickBot="1">
      <c r="K44" s="47">
        <v>1</v>
      </c>
      <c r="L44" s="58">
        <f t="shared" si="0"/>
        <v>50.213768360408736</v>
      </c>
      <c r="M44" s="34"/>
      <c r="N44" s="35">
        <f>(0.025 * (L43 + L44)) / 2</f>
        <v>0.89156585067339233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9"/>
  <sheetViews>
    <sheetView zoomScaleNormal="100" workbookViewId="0">
      <selection activeCell="F33" sqref="F33"/>
    </sheetView>
  </sheetViews>
  <sheetFormatPr baseColWidth="10" defaultColWidth="11" defaultRowHeight="16"/>
  <cols>
    <col min="1" max="1" width="2.1640625" bestFit="1" customWidth="1"/>
    <col min="5" max="6" width="12.5" bestFit="1" customWidth="1"/>
  </cols>
  <sheetData>
    <row r="1" spans="1:12">
      <c r="E1" t="s">
        <v>70</v>
      </c>
    </row>
    <row r="2" spans="1:12">
      <c r="E2">
        <v>0.96909999999999996</v>
      </c>
    </row>
    <row r="4" spans="1:12" ht="17" thickBot="1">
      <c r="B4" s="48" t="s">
        <v>62</v>
      </c>
    </row>
    <row r="5" spans="1:12">
      <c r="A5" s="13" t="s">
        <v>6</v>
      </c>
      <c r="B5" s="14" t="s">
        <v>19</v>
      </c>
      <c r="C5" s="14" t="s">
        <v>20</v>
      </c>
      <c r="D5" s="14" t="s">
        <v>59</v>
      </c>
      <c r="E5" s="14" t="s">
        <v>60</v>
      </c>
      <c r="F5" s="14" t="s">
        <v>56</v>
      </c>
      <c r="G5" s="14" t="s">
        <v>10</v>
      </c>
      <c r="H5" s="14" t="s">
        <v>18</v>
      </c>
      <c r="I5" s="14" t="s">
        <v>57</v>
      </c>
      <c r="J5" s="25" t="s">
        <v>58</v>
      </c>
      <c r="K5" s="59"/>
      <c r="L5" s="59"/>
    </row>
    <row r="6" spans="1:12">
      <c r="A6" s="36">
        <v>1</v>
      </c>
      <c r="B6" s="31">
        <v>0.1</v>
      </c>
      <c r="C6" s="31">
        <v>1</v>
      </c>
      <c r="D6" s="31">
        <f>(B6 / SIN(3*B6)^2) - 18</f>
        <v>-16.854946874850434</v>
      </c>
      <c r="E6" s="31">
        <f>(C6 / SIN(3*C6)^2) - 18</f>
        <v>32.213768360408736</v>
      </c>
      <c r="F6" s="31">
        <f>D6*E6</f>
        <v>-542.96135435342705</v>
      </c>
      <c r="G6" s="31">
        <f t="shared" ref="G6:G11" si="0">(B6+C6) / 2</f>
        <v>0.55000000000000004</v>
      </c>
      <c r="H6" s="31">
        <f>(G6 / SIN(3*G6)^2) - 18</f>
        <v>-17.446535246972381</v>
      </c>
      <c r="I6" s="31">
        <f>D6 * H6</f>
        <v>294.06042473792508</v>
      </c>
      <c r="J6" s="32">
        <f>ABS(G6-$E$2)</f>
        <v>0.41909999999999992</v>
      </c>
      <c r="K6" s="31"/>
    </row>
    <row r="7" spans="1:12">
      <c r="A7" s="36">
        <v>2</v>
      </c>
      <c r="B7" s="31">
        <f>IF(I6 &gt; 0, G6, B6)</f>
        <v>0.55000000000000004</v>
      </c>
      <c r="C7" s="31">
        <f>IF(I6 &lt;= 0, G6, C6)</f>
        <v>1</v>
      </c>
      <c r="D7" s="31">
        <f t="shared" ref="D7:D11" si="1">(B7 / SIN(3*B7)^2) - 18</f>
        <v>-17.446535246972381</v>
      </c>
      <c r="E7" s="31">
        <f t="shared" ref="E7:E11" si="2">(C7 / SIN(3*C7)^2) - 18</f>
        <v>32.213768360408736</v>
      </c>
      <c r="F7" s="31">
        <f t="shared" ref="F7:F11" si="3">D7*E7</f>
        <v>-562.01864513767475</v>
      </c>
      <c r="G7" s="31">
        <f t="shared" si="0"/>
        <v>0.77500000000000002</v>
      </c>
      <c r="H7" s="31">
        <f t="shared" ref="H7:H11" si="4">(G7 / SIN(3*G7)^2) - 18</f>
        <v>-16.540968449912683</v>
      </c>
      <c r="I7" s="31">
        <f t="shared" ref="I7:I11" si="5">D7 * H7</f>
        <v>288.58258908045974</v>
      </c>
      <c r="J7" s="32">
        <f t="shared" ref="J7:J11" si="6">ABS(G7-$E$2)</f>
        <v>0.19409999999999994</v>
      </c>
      <c r="K7" s="31"/>
      <c r="L7" s="31"/>
    </row>
    <row r="8" spans="1:12">
      <c r="A8" s="36">
        <v>3</v>
      </c>
      <c r="B8" s="31">
        <f>IF(I7 &gt; 0, G7, B7)</f>
        <v>0.77500000000000002</v>
      </c>
      <c r="C8" s="31">
        <f t="shared" ref="C8:C11" si="7">IF(I7 &lt;= 0, G7, C7)</f>
        <v>1</v>
      </c>
      <c r="D8" s="31">
        <f t="shared" si="1"/>
        <v>-16.540968449912683</v>
      </c>
      <c r="E8" s="31">
        <f t="shared" si="2"/>
        <v>32.213768360408736</v>
      </c>
      <c r="F8" s="31">
        <f t="shared" si="3"/>
        <v>-532.84692610231627</v>
      </c>
      <c r="G8" s="31">
        <f t="shared" si="0"/>
        <v>0.88749999999999996</v>
      </c>
      <c r="H8" s="31">
        <f t="shared" si="4"/>
        <v>-13.823474163873824</v>
      </c>
      <c r="I8" s="31">
        <f t="shared" si="5"/>
        <v>228.65365001282001</v>
      </c>
      <c r="J8" s="32">
        <f t="shared" si="6"/>
        <v>8.1600000000000006E-2</v>
      </c>
      <c r="K8" s="31"/>
      <c r="L8" s="31"/>
    </row>
    <row r="9" spans="1:12">
      <c r="A9" s="36">
        <v>4</v>
      </c>
      <c r="B9" s="31">
        <f>IF(I8 &gt; 0, G8, B8)</f>
        <v>0.88749999999999996</v>
      </c>
      <c r="C9" s="31">
        <f t="shared" si="7"/>
        <v>1</v>
      </c>
      <c r="D9" s="31">
        <f t="shared" si="1"/>
        <v>-13.823474163873824</v>
      </c>
      <c r="E9" s="31">
        <f t="shared" si="2"/>
        <v>32.213768360408736</v>
      </c>
      <c r="F9" s="31">
        <f t="shared" si="3"/>
        <v>-445.30619465112619</v>
      </c>
      <c r="G9" s="31">
        <f t="shared" si="0"/>
        <v>0.94374999999999998</v>
      </c>
      <c r="H9" s="31">
        <f t="shared" si="4"/>
        <v>-7.8804375433226515</v>
      </c>
      <c r="I9" s="31">
        <f t="shared" si="5"/>
        <v>108.93502478014199</v>
      </c>
      <c r="J9" s="32">
        <f t="shared" si="6"/>
        <v>2.5349999999999984E-2</v>
      </c>
      <c r="K9" s="31"/>
      <c r="L9" s="31"/>
    </row>
    <row r="10" spans="1:12">
      <c r="A10" s="36">
        <v>5</v>
      </c>
      <c r="B10" s="31">
        <f>IF(I9 &gt; 0, G9, B9)</f>
        <v>0.94374999999999998</v>
      </c>
      <c r="C10" s="31">
        <f>IF(I9 &lt;= 0, G9, C9)</f>
        <v>1</v>
      </c>
      <c r="D10" s="31">
        <f t="shared" si="1"/>
        <v>-7.8804375433226515</v>
      </c>
      <c r="E10" s="31">
        <f t="shared" si="2"/>
        <v>32.213768360408736</v>
      </c>
      <c r="F10" s="31">
        <f t="shared" si="3"/>
        <v>-253.85858959926438</v>
      </c>
      <c r="G10" s="31">
        <f t="shared" si="0"/>
        <v>0.97187500000000004</v>
      </c>
      <c r="H10" s="31">
        <f t="shared" si="4"/>
        <v>1.3607587314185636</v>
      </c>
      <c r="I10" s="31">
        <f t="shared" si="5"/>
        <v>-10.723374194474953</v>
      </c>
      <c r="J10" s="32">
        <f t="shared" si="6"/>
        <v>2.775000000000083E-3</v>
      </c>
      <c r="K10" s="31"/>
      <c r="L10" s="31"/>
    </row>
    <row r="11" spans="1:12" ht="17" thickBot="1">
      <c r="A11" s="37">
        <v>6</v>
      </c>
      <c r="B11" s="34">
        <f>IF(I10 &gt; 0, G10, B10)</f>
        <v>0.94374999999999998</v>
      </c>
      <c r="C11" s="34">
        <f t="shared" si="7"/>
        <v>0.97187500000000004</v>
      </c>
      <c r="D11" s="34">
        <f t="shared" si="1"/>
        <v>-7.8804375433226515</v>
      </c>
      <c r="E11" s="34">
        <f t="shared" si="2"/>
        <v>1.3607587314185636</v>
      </c>
      <c r="F11" s="34">
        <f t="shared" si="3"/>
        <v>-10.723374194474953</v>
      </c>
      <c r="G11" s="60">
        <f t="shared" si="0"/>
        <v>0.95781249999999996</v>
      </c>
      <c r="H11" s="34">
        <f t="shared" si="4"/>
        <v>-4.355962590327886</v>
      </c>
      <c r="I11" s="34">
        <f t="shared" si="5"/>
        <v>34.326891134128857</v>
      </c>
      <c r="J11" s="63">
        <f t="shared" si="6"/>
        <v>1.1287500000000006E-2</v>
      </c>
      <c r="K11" s="31"/>
      <c r="L11" s="31"/>
    </row>
    <row r="12" spans="1:12">
      <c r="C12" s="31"/>
      <c r="D12" s="31"/>
      <c r="E12" s="31"/>
      <c r="F12" s="31"/>
    </row>
    <row r="13" spans="1:12" ht="17" thickBot="1">
      <c r="B13" s="48" t="s">
        <v>63</v>
      </c>
    </row>
    <row r="14" spans="1:12">
      <c r="A14" s="13" t="s">
        <v>6</v>
      </c>
      <c r="B14" s="14" t="s">
        <v>19</v>
      </c>
      <c r="C14" s="14" t="s">
        <v>20</v>
      </c>
      <c r="D14" s="14" t="s">
        <v>59</v>
      </c>
      <c r="E14" s="14" t="s">
        <v>60</v>
      </c>
      <c r="F14" s="14" t="s">
        <v>56</v>
      </c>
      <c r="G14" s="14" t="s">
        <v>10</v>
      </c>
      <c r="H14" s="14" t="s">
        <v>18</v>
      </c>
      <c r="I14" s="14" t="s">
        <v>57</v>
      </c>
      <c r="J14" s="25" t="s">
        <v>58</v>
      </c>
    </row>
    <row r="15" spans="1:12">
      <c r="A15" s="36">
        <v>1</v>
      </c>
      <c r="B15" s="31">
        <v>0.1</v>
      </c>
      <c r="C15" s="31">
        <v>1</v>
      </c>
      <c r="D15" s="67">
        <f>(B15 / SIN(3*B15)^2) - 18</f>
        <v>-16.854946874850434</v>
      </c>
      <c r="E15" s="67">
        <f>(C15 / SIN(3*C15)^2) - 18</f>
        <v>32.213768360408736</v>
      </c>
      <c r="F15" s="67">
        <f>D15*E15</f>
        <v>-542.96135435342705</v>
      </c>
      <c r="G15" s="67">
        <f>C15 - ((C15-B15) / (E15-D15)) * E15</f>
        <v>0.40914712387792707</v>
      </c>
      <c r="H15" s="67">
        <f>(G15 / SIN(3*G15)^2) - 18</f>
        <v>-17.538556595607343</v>
      </c>
      <c r="I15" s="67">
        <f>D15 * H15</f>
        <v>295.61143968051942</v>
      </c>
      <c r="J15" s="32">
        <f>ABS(G15-$E$2)</f>
        <v>0.5599528761220729</v>
      </c>
    </row>
    <row r="16" spans="1:12">
      <c r="A16" s="36">
        <v>2</v>
      </c>
      <c r="B16" s="31">
        <f>IF(I15 &gt; 0, G15, B15)</f>
        <v>0.40914712387792707</v>
      </c>
      <c r="C16" s="31">
        <f>IF(I15 &lt;= 0, G15, C15)</f>
        <v>1</v>
      </c>
      <c r="D16" s="67">
        <f t="shared" ref="D16:D19" si="8">(B16 / SIN(3*B16)^2) - 18</f>
        <v>-17.538556595607343</v>
      </c>
      <c r="E16" s="67">
        <f t="shared" ref="E16:E20" si="9">(C16 / SIN(3*C16)^2) - 18</f>
        <v>32.213768360408736</v>
      </c>
      <c r="F16" s="67">
        <f t="shared" ref="F16:F20" si="10">D16*E16</f>
        <v>-564.98299954681374</v>
      </c>
      <c r="G16" s="67">
        <f>C16 - ((C16-B16) / (E16-D16)) * E16</f>
        <v>0.61743300030089987</v>
      </c>
      <c r="H16" s="67">
        <f t="shared" ref="H16:H20" si="11">(G16 / SIN(3*G16)^2) - 18</f>
        <v>-17.330933421600562</v>
      </c>
      <c r="I16" s="67">
        <f t="shared" ref="I16:I20" si="12">D16 * H16</f>
        <v>303.95955666944428</v>
      </c>
      <c r="J16" s="32">
        <f t="shared" ref="J16:J19" si="13">ABS(G16-$E$2)</f>
        <v>0.35166699969910009</v>
      </c>
    </row>
    <row r="17" spans="1:13">
      <c r="A17" s="36">
        <v>3</v>
      </c>
      <c r="B17" s="31">
        <f>IF(I16 &gt; 0, G16, B16)</f>
        <v>0.61743300030089987</v>
      </c>
      <c r="C17" s="31">
        <f t="shared" ref="C17:C20" si="14">IF(I16 &lt;= 0, G16, C16)</f>
        <v>1</v>
      </c>
      <c r="D17" s="67">
        <f t="shared" si="8"/>
        <v>-17.330933421600562</v>
      </c>
      <c r="E17" s="67">
        <f t="shared" si="9"/>
        <v>32.213768360408736</v>
      </c>
      <c r="F17" s="67">
        <f t="shared" si="10"/>
        <v>-558.29467471310647</v>
      </c>
      <c r="G17" s="67">
        <f t="shared" ref="G17:G20" si="15">C17 - ((C17-B17) / (E17-D17)) * E17</f>
        <v>0.75125645594019019</v>
      </c>
      <c r="H17" s="67">
        <f t="shared" si="11"/>
        <v>-16.751464791966836</v>
      </c>
      <c r="I17" s="67">
        <f t="shared" si="12"/>
        <v>290.31852102386313</v>
      </c>
      <c r="J17" s="32">
        <f t="shared" si="13"/>
        <v>0.21784354405980977</v>
      </c>
    </row>
    <row r="18" spans="1:13">
      <c r="A18" s="36">
        <v>4</v>
      </c>
      <c r="B18" s="31">
        <f>IF(I17 &gt; 0, G17, B17)</f>
        <v>0.75125645594019019</v>
      </c>
      <c r="C18" s="31">
        <f t="shared" si="14"/>
        <v>1</v>
      </c>
      <c r="D18" s="67">
        <f t="shared" si="8"/>
        <v>-16.751464791966836</v>
      </c>
      <c r="E18" s="67">
        <f t="shared" si="9"/>
        <v>32.213768360408736</v>
      </c>
      <c r="F18" s="67">
        <f t="shared" si="10"/>
        <v>-539.6278065059621</v>
      </c>
      <c r="G18" s="67">
        <f t="shared" si="15"/>
        <v>0.83635395169968496</v>
      </c>
      <c r="H18" s="67">
        <f t="shared" si="11"/>
        <v>-15.60701954299223</v>
      </c>
      <c r="I18" s="67">
        <f t="shared" si="12"/>
        <v>261.44043838197268</v>
      </c>
      <c r="J18" s="32">
        <f t="shared" si="13"/>
        <v>0.132746048300315</v>
      </c>
    </row>
    <row r="19" spans="1:13">
      <c r="A19" s="36">
        <v>5</v>
      </c>
      <c r="B19" s="31">
        <f>IF(I18 &gt; 0, G18, B18)</f>
        <v>0.83635395169968496</v>
      </c>
      <c r="C19" s="31">
        <f t="shared" si="14"/>
        <v>1</v>
      </c>
      <c r="D19" s="67">
        <f t="shared" si="8"/>
        <v>-15.60701954299223</v>
      </c>
      <c r="E19" s="67">
        <f t="shared" si="9"/>
        <v>32.213768360408736</v>
      </c>
      <c r="F19" s="67">
        <f t="shared" si="10"/>
        <v>-502.76091235432392</v>
      </c>
      <c r="G19" s="67">
        <f t="shared" si="15"/>
        <v>0.88976225352682459</v>
      </c>
      <c r="H19" s="67">
        <f t="shared" si="11"/>
        <v>-13.701034743086558</v>
      </c>
      <c r="I19" s="67">
        <f t="shared" si="12"/>
        <v>213.83231699456744</v>
      </c>
      <c r="J19" s="32">
        <f t="shared" si="13"/>
        <v>7.9337746473175375E-2</v>
      </c>
    </row>
    <row r="20" spans="1:13" ht="17" thickBot="1">
      <c r="A20" s="37">
        <v>6</v>
      </c>
      <c r="B20" s="34">
        <f>IF(I19 &gt; 0, G19, B19)</f>
        <v>0.88976225352682459</v>
      </c>
      <c r="C20" s="34">
        <f t="shared" si="14"/>
        <v>1</v>
      </c>
      <c r="D20" s="68">
        <f>(B20 / SIN(3*B20)^2) - 18</f>
        <v>-13.701034743086558</v>
      </c>
      <c r="E20" s="68">
        <f t="shared" si="9"/>
        <v>32.213768360408736</v>
      </c>
      <c r="F20" s="68">
        <f t="shared" si="10"/>
        <v>-441.36195951170259</v>
      </c>
      <c r="G20" s="69">
        <f t="shared" si="15"/>
        <v>0.92265733512009762</v>
      </c>
      <c r="H20" s="68">
        <f t="shared" si="11"/>
        <v>-11.074013518440953</v>
      </c>
      <c r="I20" s="68">
        <f t="shared" si="12"/>
        <v>151.72544396156971</v>
      </c>
      <c r="J20" s="63">
        <f>ABS(G20-$E$2)</f>
        <v>4.644266487990234E-2</v>
      </c>
    </row>
    <row r="22" spans="1:13" ht="17" thickBot="1">
      <c r="B22" s="48" t="s">
        <v>64</v>
      </c>
    </row>
    <row r="23" spans="1:13" ht="18">
      <c r="A23" s="13" t="s">
        <v>6</v>
      </c>
      <c r="B23" s="14" t="s">
        <v>10</v>
      </c>
      <c r="C23" s="14" t="s">
        <v>18</v>
      </c>
      <c r="D23" s="14" t="s">
        <v>51</v>
      </c>
      <c r="E23" s="51" t="s">
        <v>61</v>
      </c>
      <c r="F23" s="25" t="s">
        <v>58</v>
      </c>
    </row>
    <row r="24" spans="1:13">
      <c r="A24" s="36">
        <v>1</v>
      </c>
      <c r="B24" s="31">
        <v>1</v>
      </c>
      <c r="C24" s="31">
        <f>(B24 / SIN(3 * B24)^2) - 18</f>
        <v>32.213768360408736</v>
      </c>
      <c r="D24" s="31">
        <f>(SIN(3 * B24) - 6 * B24 * COS(3 * B24)) / SIN(3 * B24)^3</f>
        <v>2163.787368005409</v>
      </c>
      <c r="E24" s="31">
        <f>B24 - (C24 / D24)</f>
        <v>0.98511232257072301</v>
      </c>
      <c r="F24" s="32">
        <f>ABS(E24-$E$2)</f>
        <v>1.6012322570723048E-2</v>
      </c>
    </row>
    <row r="25" spans="1:13">
      <c r="A25" s="36">
        <v>2</v>
      </c>
      <c r="B25" s="31">
        <f>E24</f>
        <v>0.98511232257072301</v>
      </c>
      <c r="C25" s="31">
        <f t="shared" ref="C25:C29" si="16">(B25 / SIN(3 * B25)^2) - 18</f>
        <v>10.727283192284453</v>
      </c>
      <c r="D25" s="31">
        <f>(SIN(3 * B25) - 6 * B25 * COS(3 * B25)) / SIN(3 * B25)^3</f>
        <v>943.84978695854818</v>
      </c>
      <c r="E25" s="31">
        <f>B25 - (C25 / D25)</f>
        <v>0.97374686660462917</v>
      </c>
      <c r="F25" s="32">
        <f t="shared" ref="F25:F29" si="17">ABS(E25-$E$2)</f>
        <v>4.6468666046292073E-3</v>
      </c>
    </row>
    <row r="26" spans="1:13">
      <c r="A26" s="36">
        <v>3</v>
      </c>
      <c r="B26" s="31">
        <f t="shared" ref="B26:B29" si="18">E25</f>
        <v>0.97374686660462917</v>
      </c>
      <c r="C26" s="31">
        <f t="shared" si="16"/>
        <v>2.3822601182444103</v>
      </c>
      <c r="D26" s="31">
        <f t="shared" ref="D26:D29" si="19">(SIN(3 * B26) - 6 * B26 * COS(3 * B26)) / SIN(3 * B26)^3</f>
        <v>566.91172670531239</v>
      </c>
      <c r="E26" s="31">
        <f t="shared" ref="E26:E29" si="20">B26 - (C26 / D26)</f>
        <v>0.96954469542695876</v>
      </c>
      <c r="F26" s="32">
        <f t="shared" si="17"/>
        <v>4.446954269587966E-4</v>
      </c>
    </row>
    <row r="27" spans="1:13">
      <c r="A27" s="36">
        <v>4</v>
      </c>
      <c r="B27" s="31">
        <f t="shared" si="18"/>
        <v>0.96954469542695876</v>
      </c>
      <c r="C27" s="31">
        <f t="shared" si="16"/>
        <v>0.19202588206331583</v>
      </c>
      <c r="D27" s="31">
        <f t="shared" si="19"/>
        <v>478.80417551764475</v>
      </c>
      <c r="E27" s="31">
        <f t="shared" si="20"/>
        <v>0.96914364236208994</v>
      </c>
      <c r="F27" s="32">
        <f t="shared" si="17"/>
        <v>4.3642362089979514E-5</v>
      </c>
    </row>
    <row r="28" spans="1:13">
      <c r="A28" s="36">
        <v>5</v>
      </c>
      <c r="B28" s="31">
        <f t="shared" si="18"/>
        <v>0.96914364236208994</v>
      </c>
      <c r="C28" s="31">
        <f t="shared" si="16"/>
        <v>1.4956682158100421E-3</v>
      </c>
      <c r="D28" s="31">
        <f t="shared" si="19"/>
        <v>471.37115832991515</v>
      </c>
      <c r="E28" s="31">
        <f t="shared" si="20"/>
        <v>0.96914046934611431</v>
      </c>
      <c r="F28" s="32">
        <f t="shared" si="17"/>
        <v>4.0469346114346827E-5</v>
      </c>
    </row>
    <row r="29" spans="1:13" ht="17" thickBot="1">
      <c r="A29" s="37">
        <v>6</v>
      </c>
      <c r="B29" s="34">
        <f t="shared" si="18"/>
        <v>0.96914046934611431</v>
      </c>
      <c r="C29" s="34">
        <f t="shared" si="16"/>
        <v>9.2330999734713259E-8</v>
      </c>
      <c r="D29" s="34">
        <f t="shared" si="19"/>
        <v>471.31296228744225</v>
      </c>
      <c r="E29" s="60">
        <f t="shared" si="20"/>
        <v>0.96914046915021268</v>
      </c>
      <c r="F29" s="63">
        <f t="shared" si="17"/>
        <v>4.0469150212718574E-5</v>
      </c>
    </row>
    <row r="30" spans="1:13">
      <c r="M30" s="31"/>
    </row>
    <row r="31" spans="1:13" ht="17" thickBot="1">
      <c r="B31" s="61" t="s">
        <v>65</v>
      </c>
    </row>
    <row r="32" spans="1:13">
      <c r="A32" s="13" t="s">
        <v>6</v>
      </c>
      <c r="B32" s="14" t="s">
        <v>10</v>
      </c>
      <c r="C32" s="14" t="s">
        <v>67</v>
      </c>
      <c r="D32" s="14" t="s">
        <v>68</v>
      </c>
      <c r="E32" s="25" t="s">
        <v>58</v>
      </c>
      <c r="F32" s="62" t="s">
        <v>69</v>
      </c>
    </row>
    <row r="33" spans="1:6" ht="17" thickBot="1">
      <c r="A33" s="36">
        <v>1</v>
      </c>
      <c r="B33" s="31">
        <v>1</v>
      </c>
      <c r="C33" s="31">
        <f>$F$33 * ((B33 / SIN(3 * B33)^2) - 18) + B33</f>
        <v>0.97100760847563217</v>
      </c>
      <c r="D33" s="31">
        <f>ABS($F$33 * ((SIN(3 * B33) - 6 * B33 * COS(3 * B33)) / SIN(3 * B33)^3) + 1)</f>
        <v>0.94740863120486796</v>
      </c>
      <c r="E33" s="32">
        <f>ABS(C33-$E$2)</f>
        <v>1.9076084756322054E-3</v>
      </c>
      <c r="F33" s="29">
        <v>-8.9999999999999998E-4</v>
      </c>
    </row>
    <row r="34" spans="1:6">
      <c r="A34" s="36">
        <v>2</v>
      </c>
      <c r="B34" s="31">
        <f>C33</f>
        <v>0.97100760847563217</v>
      </c>
      <c r="C34" s="31">
        <f t="shared" ref="C34:C38" si="21">$F$33 * ((B34 / SIN(3 * B34)^2) - 18) + B34</f>
        <v>0.97018587949973012</v>
      </c>
      <c r="D34" s="31">
        <f t="shared" ref="D34:D38" si="22">ABS($F$33 * ((SIN(3 * B34) - 6 * B34 * COS(3 * B34)) / SIN(3 * B34)^3) + 1)</f>
        <v>0.54345506599947502</v>
      </c>
      <c r="E34" s="32">
        <f t="shared" ref="E34:E38" si="23">ABS(C34-$E$2)</f>
        <v>1.085879499730158E-3</v>
      </c>
    </row>
    <row r="35" spans="1:6">
      <c r="A35" s="36">
        <v>3</v>
      </c>
      <c r="B35" s="31">
        <f>C34</f>
        <v>0.97018587949973012</v>
      </c>
      <c r="C35" s="31">
        <f t="shared" si="21"/>
        <v>0.96973325147722211</v>
      </c>
      <c r="D35" s="31">
        <f t="shared" si="22"/>
        <v>0.55808759430699606</v>
      </c>
      <c r="E35" s="32">
        <f t="shared" si="23"/>
        <v>6.3325147722215203E-4</v>
      </c>
    </row>
    <row r="36" spans="1:6">
      <c r="A36" s="36">
        <v>4</v>
      </c>
      <c r="B36" s="31">
        <f>C35</f>
        <v>0.96973325147722211</v>
      </c>
      <c r="C36" s="31">
        <f t="shared" si="21"/>
        <v>0.9694788743130982</v>
      </c>
      <c r="D36" s="31">
        <f t="shared" si="22"/>
        <v>0.56588271374373034</v>
      </c>
      <c r="E36" s="32">
        <f t="shared" si="23"/>
        <v>3.7887431309824304E-4</v>
      </c>
    </row>
    <row r="37" spans="1:6">
      <c r="A37" s="36">
        <v>5</v>
      </c>
      <c r="B37" s="31">
        <f t="shared" ref="B37" si="24">C36</f>
        <v>0.9694788743130982</v>
      </c>
      <c r="C37" s="31">
        <f t="shared" si="21"/>
        <v>0.96933437843303438</v>
      </c>
      <c r="D37" s="31">
        <f t="shared" si="22"/>
        <v>0.57018370516677319</v>
      </c>
      <c r="E37" s="32">
        <f t="shared" si="23"/>
        <v>2.3437843303442119E-4</v>
      </c>
    </row>
    <row r="38" spans="1:6" ht="17" thickBot="1">
      <c r="A38" s="37">
        <v>6</v>
      </c>
      <c r="B38" s="34">
        <f>C37</f>
        <v>0.96933437843303438</v>
      </c>
      <c r="C38" s="60">
        <f t="shared" si="21"/>
        <v>0.96925181432374308</v>
      </c>
      <c r="D38" s="34">
        <f t="shared" si="22"/>
        <v>0.57260170246590514</v>
      </c>
      <c r="E38" s="63">
        <f t="shared" si="23"/>
        <v>1.5181432374311576E-4</v>
      </c>
    </row>
    <row r="42" spans="1:6">
      <c r="D42" s="31"/>
    </row>
    <row r="43" spans="1:6">
      <c r="D43" s="31"/>
    </row>
    <row r="44" spans="1:6">
      <c r="D44" s="31"/>
    </row>
    <row r="45" spans="1:6">
      <c r="D45" s="31"/>
    </row>
    <row r="46" spans="1:6">
      <c r="D46" s="31"/>
    </row>
    <row r="47" spans="1:6">
      <c r="D47" s="31"/>
    </row>
    <row r="48" spans="1:6">
      <c r="D48" s="31"/>
    </row>
    <row r="49" spans="4:4">
      <c r="D49" s="31"/>
    </row>
    <row r="50" spans="4:4">
      <c r="D50" s="31"/>
    </row>
    <row r="51" spans="4:4">
      <c r="D51" s="31"/>
    </row>
    <row r="52" spans="4:4">
      <c r="D52" s="31"/>
    </row>
    <row r="53" spans="4:4">
      <c r="D53" s="31"/>
    </row>
    <row r="54" spans="4:4">
      <c r="D54" s="31"/>
    </row>
    <row r="55" spans="4:4">
      <c r="D55" s="31"/>
    </row>
    <row r="56" spans="4:4">
      <c r="D56" s="31"/>
    </row>
    <row r="57" spans="4:4">
      <c r="D57" s="31"/>
    </row>
    <row r="58" spans="4:4">
      <c r="D58" s="31"/>
    </row>
    <row r="59" spans="4:4">
      <c r="D59" s="31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5173370-5E06-E443-BCC1-6B58FD69B80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F6:F11</xm:sqref>
        </x14:conditionalFormatting>
        <x14:conditionalFormatting xmlns:xm="http://schemas.microsoft.com/office/excel/2006/main">
          <x14:cfRule type="iconSet" priority="7" id="{EC94A2EB-F3CC-CC44-BB8E-DFCFADCDDC7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F15:F20</xm:sqref>
        </x14:conditionalFormatting>
        <x14:conditionalFormatting xmlns:xm="http://schemas.microsoft.com/office/excel/2006/main">
          <x14:cfRule type="iconSet" priority="1" id="{01FAF5B1-2F90-CF4F-AF00-2D286BFBB6D3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D33:D38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B6" sqref="B6"/>
    </sheetView>
  </sheetViews>
  <sheetFormatPr baseColWidth="10" defaultColWidth="11" defaultRowHeight="16"/>
  <cols>
    <col min="1" max="1" width="2.1640625" customWidth="1"/>
  </cols>
  <sheetData>
    <row r="1" spans="1:5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</row>
    <row r="2" spans="1:5">
      <c r="B2" t="s">
        <v>78</v>
      </c>
      <c r="C2">
        <v>5</v>
      </c>
      <c r="D2" t="s">
        <v>79</v>
      </c>
      <c r="E2">
        <v>10</v>
      </c>
    </row>
    <row r="3" spans="1:5">
      <c r="B3" t="s">
        <v>80</v>
      </c>
    </row>
    <row r="6" spans="1:5">
      <c r="B6" s="48" t="s">
        <v>81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7B10-F864-AE44-AF3B-9F3B11E0E52B}">
  <dimension ref="A1"/>
  <sheetViews>
    <sheetView tabSelected="1" zoomScale="160" zoomScaleNormal="100" workbookViewId="0">
      <selection activeCell="D9" sqref="D9"/>
    </sheetView>
  </sheetViews>
  <sheetFormatPr baseColWidth="10" defaultRowHeight="16"/>
  <cols>
    <col min="1" max="1" width="2" customWidth="1"/>
  </cols>
  <sheetData>
    <row r="1" ht="7" customHeight="1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170A-C652-FA47-9FFF-04CC55CB7F02}">
  <dimension ref="B1:B9"/>
  <sheetViews>
    <sheetView zoomScale="160" zoomScaleNormal="160" workbookViewId="0">
      <selection activeCell="B9" sqref="B9"/>
    </sheetView>
  </sheetViews>
  <sheetFormatPr baseColWidth="10" defaultRowHeight="16"/>
  <cols>
    <col min="1" max="1" width="2" customWidth="1"/>
  </cols>
  <sheetData>
    <row r="1" spans="2:2" ht="8" customHeight="1"/>
    <row r="2" spans="2:2">
      <c r="B2" t="s">
        <v>83</v>
      </c>
    </row>
    <row r="9" spans="2:2">
      <c r="B9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</vt:lpstr>
      <vt:lpstr>1. Метод Гаусса</vt:lpstr>
      <vt:lpstr>2. Интерполяция и аппроксимация</vt:lpstr>
      <vt:lpstr>3. Инт. и диф. функции</vt:lpstr>
      <vt:lpstr>4. Нелинейное уравнение</vt:lpstr>
      <vt:lpstr>5. Диф. уравнение</vt:lpstr>
      <vt:lpstr>IV-3. Мин. Функции при огр.</vt:lpstr>
      <vt:lpstr>II-3. Решение ОДУ</vt:lpstr>
    </vt:vector>
  </TitlesOfParts>
  <Manager/>
  <Company>https://github.com/DV1X3R/tti-computer-science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Numerical Methods Homework</dc:title>
  <dc:subject/>
  <dc:creator>Denis Purvinsh (DV1X3R)</dc:creator>
  <cp:keywords/>
  <dc:description>4502BD Forever :)</dc:description>
  <cp:lastModifiedBy>Microsoft Office User</cp:lastModifiedBy>
  <dcterms:created xsi:type="dcterms:W3CDTF">2018-12-04T09:10:15Z</dcterms:created>
  <dcterms:modified xsi:type="dcterms:W3CDTF">2018-12-26T18:10:14Z</dcterms:modified>
  <cp:category/>
</cp:coreProperties>
</file>