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e25b0f41ee1d8f0f/Documents/Work/Perkins Eastman-Docs/Design Intelligence Group/Website Building/K12_School_Sizing/"/>
    </mc:Choice>
  </mc:AlternateContent>
  <xr:revisionPtr revIDLastSave="52" documentId="8_{704F895F-8A33-4584-AE83-90A2A58CCCFB}" xr6:coauthVersionLast="47" xr6:coauthVersionMax="47" xr10:uidLastSave="{C92D0FB7-821D-4B87-847A-8E04A52950DD}"/>
  <bookViews>
    <workbookView xWindow="10320" yWindow="12852" windowWidth="23256" windowHeight="12576" xr2:uid="{F7CB5628-DB63-49D5-B647-40BCEB6172AB}"/>
  </bookViews>
  <sheets>
    <sheet name="High_School_Space_Summary" sheetId="12" r:id="rId1"/>
    <sheet name="Academic_Section_Size" sheetId="13" r:id="rId2"/>
    <sheet name="Instruction_Cycles" sheetId="16" r:id="rId3"/>
    <sheet name="Student_Number_Input" sheetId="15" r:id="rId4"/>
    <sheet name="Special_Education_Student_Input" sheetId="14" r:id="rId5"/>
    <sheet name="Space_Standard_Input" sheetId="11" r:id="rId6"/>
  </sheets>
  <definedNames>
    <definedName name="ExternalData_1" localSheetId="1" hidden="1">Academic_Section_Size!$A$1:$E$12</definedName>
    <definedName name="_xlnm.Print_Area" localSheetId="0">High_School_Space_Summary!$A$1:$R$94</definedName>
    <definedName name="_xlnm.Print_Titles" localSheetId="0">High_School_Space_Summary!$1:$1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 i="12" l="1" a="1"/>
  <c r="P16" i="12" s="1"/>
  <c r="P21" i="12" a="1"/>
  <c r="P21" i="12" s="1"/>
  <c r="O30" i="12" a="1"/>
  <c r="O30" i="12" s="1"/>
  <c r="P6" i="12" l="1" a="1"/>
  <c r="P6" i="12" s="1"/>
  <c r="P14" i="12" a="1"/>
  <c r="P14" i="12" s="1"/>
  <c r="O67" i="12" a="1"/>
  <c r="O67" i="12" s="1"/>
  <c r="O66" i="12" a="1"/>
  <c r="O66" i="12" s="1"/>
  <c r="O61" i="12" a="1"/>
  <c r="O61" i="12" s="1"/>
  <c r="O60" i="12" a="1"/>
  <c r="O60" i="12" s="1"/>
  <c r="O59" i="12" a="1"/>
  <c r="O59" i="12" s="1"/>
  <c r="O46" i="12" a="1"/>
  <c r="O46" i="12" s="1"/>
  <c r="O41" i="12" a="1"/>
  <c r="O41" i="12" s="1"/>
  <c r="O40" i="12" a="1"/>
  <c r="O40" i="12" s="1"/>
  <c r="O38" i="12" a="1"/>
  <c r="O38" i="12" s="1"/>
  <c r="O34" i="12" a="1"/>
  <c r="O34" i="12" s="1"/>
  <c r="O32" i="12" a="1"/>
  <c r="O32" i="12" s="1"/>
  <c r="O37" i="12" a="1"/>
  <c r="O37" i="12" s="1"/>
  <c r="O26" i="12" a="1"/>
  <c r="O26" i="12" s="1"/>
  <c r="P13" i="12" a="1"/>
  <c r="P13" i="12" s="1"/>
  <c r="P12" i="12" a="1"/>
  <c r="P12" i="12" s="1"/>
  <c r="P17" i="12" a="1"/>
  <c r="P17" i="12" s="1"/>
  <c r="G2" i="13"/>
  <c r="Q72" i="12" a="1"/>
  <c r="Q72" i="12" s="1"/>
  <c r="P56"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M2" i="12"/>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L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Q68" i="12"/>
  <c r="Q65" i="12"/>
  <c r="Q64" i="12"/>
  <c r="Q63" i="12"/>
  <c r="Q62" i="12"/>
  <c r="Q58" i="12"/>
  <c r="Q57" i="12"/>
  <c r="Q55" i="12"/>
  <c r="Q54" i="12"/>
  <c r="Q52" i="12"/>
  <c r="Q51" i="12"/>
  <c r="Q50" i="12"/>
  <c r="Q49" i="12"/>
  <c r="Q48" i="12"/>
  <c r="Q47" i="12"/>
  <c r="Q43" i="12"/>
  <c r="Q42" i="12"/>
  <c r="Q39" i="12"/>
  <c r="Q36" i="12"/>
  <c r="Q35" i="12"/>
  <c r="Q33" i="12"/>
  <c r="Q29" i="12"/>
  <c r="Q28" i="12"/>
  <c r="Q27" i="12"/>
  <c r="Q25" i="12"/>
  <c r="Q24" i="12"/>
  <c r="Q23" i="12"/>
  <c r="Q20" i="12"/>
  <c r="Q18" i="12"/>
  <c r="P10" i="12"/>
  <c r="Q10" i="12" s="1"/>
  <c r="Q8" i="12"/>
  <c r="N68" i="12" l="1"/>
  <c r="N36" i="12"/>
  <c r="Q46" i="12"/>
  <c r="N69" i="12"/>
  <c r="N37" i="12"/>
  <c r="N44" i="12"/>
  <c r="N28" i="12"/>
  <c r="N63" i="12"/>
  <c r="N47" i="12"/>
  <c r="N31" i="12"/>
  <c r="N35" i="12"/>
  <c r="N7" i="12"/>
  <c r="N5" i="12"/>
  <c r="N67" i="12"/>
  <c r="N66" i="12"/>
  <c r="N60" i="12"/>
  <c r="N55" i="12"/>
  <c r="N53" i="12"/>
  <c r="N52" i="12"/>
  <c r="N51" i="12"/>
  <c r="N50" i="12"/>
  <c r="N39" i="12"/>
  <c r="N34" i="12"/>
  <c r="N23" i="12"/>
  <c r="N21" i="12"/>
  <c r="N20" i="12"/>
  <c r="N19" i="12"/>
  <c r="N18" i="12"/>
  <c r="N15" i="12"/>
  <c r="N12" i="12"/>
  <c r="N3" i="12"/>
  <c r="N2" i="12"/>
  <c r="N64" i="12"/>
  <c r="N48" i="12"/>
  <c r="N32" i="12"/>
  <c r="N16" i="12"/>
  <c r="N62" i="12"/>
  <c r="N46" i="12"/>
  <c r="N30" i="12"/>
  <c r="N14" i="12"/>
  <c r="N61" i="12"/>
  <c r="N45" i="12"/>
  <c r="N29" i="12"/>
  <c r="N13" i="12"/>
  <c r="N4" i="12"/>
  <c r="Q32" i="12"/>
  <c r="Q12" i="12"/>
  <c r="Q14" i="12"/>
  <c r="Q61" i="12"/>
  <c r="Q16" i="12"/>
  <c r="Q66" i="12"/>
  <c r="Q17" i="12"/>
  <c r="Q21" i="12"/>
  <c r="Q60" i="12"/>
  <c r="Q67" i="12"/>
  <c r="Q26" i="12"/>
  <c r="Q30" i="12"/>
  <c r="Q34" i="12"/>
  <c r="Q37" i="12"/>
  <c r="Q38" i="12"/>
  <c r="Q59" i="12"/>
  <c r="Q40" i="12"/>
  <c r="Q13" i="12"/>
  <c r="P19" i="12"/>
  <c r="Q19" i="12" s="1"/>
  <c r="Q41" i="12"/>
  <c r="Q6" i="12"/>
  <c r="N65" i="12"/>
  <c r="N49" i="12"/>
  <c r="N33" i="12"/>
  <c r="N17" i="12"/>
  <c r="N59" i="12"/>
  <c r="N43" i="12"/>
  <c r="N27" i="12"/>
  <c r="N11" i="12"/>
  <c r="N58" i="12"/>
  <c r="N42" i="12"/>
  <c r="N26" i="12"/>
  <c r="N10" i="12"/>
  <c r="N57" i="12"/>
  <c r="N41" i="12"/>
  <c r="N25" i="12"/>
  <c r="N9" i="12"/>
  <c r="N56" i="12"/>
  <c r="N40" i="12"/>
  <c r="N24" i="12"/>
  <c r="N8" i="12"/>
  <c r="N54" i="12"/>
  <c r="N38" i="12"/>
  <c r="N22" i="12"/>
  <c r="N6" i="12"/>
  <c r="H71" i="12"/>
  <c r="K71" i="12"/>
  <c r="K73" i="12" s="1"/>
  <c r="E71" i="12"/>
  <c r="E74" i="12" s="1"/>
  <c r="P11" i="12"/>
  <c r="Q11" i="12" s="1"/>
  <c r="P44" i="12" l="1"/>
  <c r="Q44" i="12" s="1"/>
  <c r="P22" i="12"/>
  <c r="P3" i="12" s="1" a="1"/>
  <c r="P3" i="12" s="1"/>
  <c r="Q56" i="12"/>
  <c r="P5" i="12"/>
  <c r="Q5" i="12" s="1"/>
  <c r="P7" i="12"/>
  <c r="Q7" i="12" s="1"/>
  <c r="P15" i="12"/>
  <c r="Q15" i="12" s="1"/>
  <c r="P45" i="12"/>
  <c r="Q45" i="12" s="1"/>
  <c r="P53" i="12"/>
  <c r="Q53" i="12" s="1"/>
  <c r="Q73" i="12"/>
  <c r="Q22" i="12" l="1"/>
  <c r="Q3" i="12"/>
  <c r="P4" i="12" l="1"/>
  <c r="Q4" i="12" s="1"/>
  <c r="Q71" i="12" s="1"/>
  <c r="Q74"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F6C3F1-D6F6-4848-94CF-78EB2286861F}" keepAlive="1" name="Query - K-12_Space_Projections_Core_Academic_Secion_Size" description="Connection to the 'K-12_Space_Projections_Core_Academic_Secion_Size' query in the workbook." type="5" refreshedVersion="8" background="1" saveData="1">
    <dbPr connection="Provider=Microsoft.Mashup.OleDb.1;Data Source=$Workbook$;Location=K-12_Space_Projections_Core_Academic_Secion_Size;Extended Properties=&quot;&quot;" command="SELECT * FROM [K-12_Space_Projections_Core_Academic_Secion_Siz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<sst xmlns="http://schemas.openxmlformats.org/spreadsheetml/2006/main" count="306" uniqueCount="192">
  <si>
    <t>Core_Academic_Spaces</t>
  </si>
  <si>
    <t>ROOM TYPE</t>
  </si>
  <si>
    <t>Existing_Room_NFA</t>
  </si>
  <si>
    <t>Existing_#_Rooms</t>
  </si>
  <si>
    <t>Existing_Area_Totals</t>
  </si>
  <si>
    <t>Proposed_Keep_Room_NFA</t>
  </si>
  <si>
    <t>Proposed_Keep_#_Rooms</t>
  </si>
  <si>
    <t>Proposed_Keep_Area_Totals</t>
  </si>
  <si>
    <t>Proposed_New_Room_NFA</t>
  </si>
  <si>
    <t>Proposed_New_#_Rooms</t>
  </si>
  <si>
    <t>Proposed_New_Area_Totals</t>
  </si>
  <si>
    <t>Totals_Proposed_ROOMNFA</t>
  </si>
  <si>
    <t>Totals_Proposed_#_OF_RMS</t>
  </si>
  <si>
    <t>Totals_Proposed_Area_Totals</t>
  </si>
  <si>
    <t>Guideline_Room_NFA</t>
  </si>
  <si>
    <t>Guideline_#_Rooms</t>
  </si>
  <si>
    <t>Guideline_Area_Totals</t>
  </si>
  <si>
    <t>Comments</t>
  </si>
  <si>
    <t>Enrollment</t>
  </si>
  <si>
    <t>Core Academic Spaces</t>
  </si>
  <si>
    <t>List classrooms of different sizes separately</t>
  </si>
  <si>
    <t xml:space="preserve">Classroom - General </t>
  </si>
  <si>
    <t>825 SF min - 950 SF max</t>
  </si>
  <si>
    <t>Teacher Planning</t>
  </si>
  <si>
    <t>Small Group Seminar (20-30 seats)</t>
  </si>
  <si>
    <t>Science Classroom / Lab</t>
  </si>
  <si>
    <t xml:space="preserve">3 x85% ut=20 Seats-1 per /day/student </t>
  </si>
  <si>
    <t>Prep Room</t>
  </si>
  <si>
    <t>Central Chemical Storage Rm</t>
  </si>
  <si>
    <t>Special Education</t>
  </si>
  <si>
    <t>Self-Contained SPED</t>
  </si>
  <si>
    <t>assumed 8% of pop. in self-contained SPED</t>
  </si>
  <si>
    <t>Self-Contained SPED Toilet</t>
  </si>
  <si>
    <t>Resource Room</t>
  </si>
  <si>
    <t>1/2 size Genl. Clrm.</t>
  </si>
  <si>
    <t>Small Group Room</t>
  </si>
  <si>
    <t>Art &amp; Music</t>
  </si>
  <si>
    <t>Art Classroom - 25 seats</t>
  </si>
  <si>
    <t>Assumed use - 25% Population - 5 times/week</t>
  </si>
  <si>
    <t>Art Workroom w/ Storage &amp; kiln</t>
  </si>
  <si>
    <t>Band - 50 - 100 seats</t>
  </si>
  <si>
    <t>Chorus - 50 - 100 seats</t>
  </si>
  <si>
    <t>Ensemble</t>
  </si>
  <si>
    <t>Music Practice</t>
  </si>
  <si>
    <t>Music Storage</t>
  </si>
  <si>
    <t>Vocations &amp; Technology</t>
  </si>
  <si>
    <t>Tech Clrm. -  (E.G. Drafting, Business)</t>
  </si>
  <si>
    <t>Assumed use - 50% Population - 5 times/week</t>
  </si>
  <si>
    <t>Tech Shop -  (E.G. Consumer, Wood)</t>
  </si>
  <si>
    <t>Health &amp; Physical Education</t>
  </si>
  <si>
    <t xml:space="preserve">Gymnasium </t>
  </si>
  <si>
    <t>PE Alternatives</t>
  </si>
  <si>
    <t>Gym Storeroom</t>
  </si>
  <si>
    <t>Locker Rooms - Boys / Girls w/ Toilets</t>
  </si>
  <si>
    <t>5.6 sf/student total</t>
  </si>
  <si>
    <t>Phys. Ed. Storage</t>
  </si>
  <si>
    <t>Athletic Director's Office</t>
  </si>
  <si>
    <t>Health Instructor's Office w/ Shower &amp; Toilet</t>
  </si>
  <si>
    <t>Media Center</t>
  </si>
  <si>
    <t>Media Center / Reading Room</t>
  </si>
  <si>
    <t>Computer Lab</t>
  </si>
  <si>
    <t>Auditorium / Drama</t>
  </si>
  <si>
    <t>Auditorium</t>
  </si>
  <si>
    <t>2/3 Enrollment @ 10 SF/Seat - 750 seats MAX</t>
  </si>
  <si>
    <t>Stage</t>
  </si>
  <si>
    <t>Auditorium Storage</t>
  </si>
  <si>
    <t>Make-up / Dressing Rooms</t>
  </si>
  <si>
    <t>Controls / Lighting / Projection</t>
  </si>
  <si>
    <t>Dining &amp; Food Service</t>
  </si>
  <si>
    <t>Cafeteria / Student Lounge / Break-out</t>
  </si>
  <si>
    <t xml:space="preserve"> 3 seatings - 15SF per seat</t>
  </si>
  <si>
    <t>Chair / Table Storage</t>
  </si>
  <si>
    <t>Scramble Serving Area</t>
  </si>
  <si>
    <t>Kitchen</t>
  </si>
  <si>
    <t>1600 SF for first 300 + 1 SF/student Add'l</t>
  </si>
  <si>
    <t>Staff Lunch Room</t>
  </si>
  <si>
    <t>20 SF/Occupant</t>
  </si>
  <si>
    <t>Medical</t>
  </si>
  <si>
    <t>Medical Suite Toilet</t>
  </si>
  <si>
    <t>Nurses' Office / Waiting Room</t>
  </si>
  <si>
    <t>Interview Room</t>
  </si>
  <si>
    <t>Examination Room / Resting</t>
  </si>
  <si>
    <t>Administration &amp; Guidance</t>
  </si>
  <si>
    <t>General Office / Waiting Room / Toilet</t>
  </si>
  <si>
    <t>Teachers' Mail and Time Room</t>
  </si>
  <si>
    <t>Duplicating Room</t>
  </si>
  <si>
    <t>Records Room</t>
  </si>
  <si>
    <t>Principal's Office w/ Conference Area</t>
  </si>
  <si>
    <t xml:space="preserve">Principal's Secretary / Waiting  </t>
  </si>
  <si>
    <t>Assistant Principal's Office - AP1</t>
  </si>
  <si>
    <t>Assistant Principal's Office - AP2</t>
  </si>
  <si>
    <t>Supervisory / Spare Office</t>
  </si>
  <si>
    <t>Conference Room</t>
  </si>
  <si>
    <t>Guidance Office</t>
  </si>
  <si>
    <t>Guidance Waiting Room</t>
  </si>
  <si>
    <t>Guidance Storeroom</t>
  </si>
  <si>
    <t>Career Center</t>
  </si>
  <si>
    <t>Teachers' Work Room</t>
  </si>
  <si>
    <t>Custodial &amp; Maintenance</t>
  </si>
  <si>
    <t>Custodian's Office</t>
  </si>
  <si>
    <t>Custodian's Workshop</t>
  </si>
  <si>
    <t>Custodian's Storage</t>
  </si>
  <si>
    <t>Recycling Room / Trash</t>
  </si>
  <si>
    <t>Receiving and General Supply</t>
  </si>
  <si>
    <t>Storeroom</t>
  </si>
  <si>
    <t>Network / Telecom Room</t>
  </si>
  <si>
    <t>Other</t>
  </si>
  <si>
    <t>Other (specify)</t>
  </si>
  <si>
    <t>Total Building Net Floor Area (NFA)</t>
  </si>
  <si>
    <t>Proposed Student Capacity / Enrollment</t>
  </si>
  <si>
    <r>
      <t>Total Building Gross Floor Area (GFA)</t>
    </r>
    <r>
      <rPr>
        <vertAlign val="superscript"/>
        <sz val="10"/>
        <rFont val="Arial"/>
        <family val="2"/>
      </rPr>
      <t>2</t>
    </r>
  </si>
  <si>
    <t>Grossing factor (GFA/NFA)</t>
  </si>
  <si>
    <t>Individual Room Net Floor Area (NFA)</t>
  </si>
  <si>
    <t>Includes the net square footage measured from the inside face of the perimeter walls and includes all specific spaces assigned to a particular program area including such spaces as non-communal toilets and storage rooms.</t>
  </si>
  <si>
    <t>Total Building Gross Floor Area (GFA)</t>
  </si>
  <si>
    <t>Includes the entire building gross square footage measured from the outside face of exterior walls</t>
  </si>
  <si>
    <t>Architect Certification</t>
  </si>
  <si>
    <t>I hereby certify that all of the information provided in this "Proposed Space Summary" is true, complete and accurate and, except as agreed to in writing by the Massachusetts School Building Authority, in accordance with the guidelines, rules, regulations and policies of the Massachusetts School Building Authority to the best of my knowledge and belief. A true statement, made under the penalties of perjury.</t>
  </si>
  <si>
    <t>FileSystemObjectType</t>
  </si>
  <si>
    <t>Id</t>
  </si>
  <si>
    <t>ServerRedirectedEmbedUri</t>
  </si>
  <si>
    <t>ServerRedirectedEmbedUrl</t>
  </si>
  <si>
    <t>ContentTypeId</t>
  </si>
  <si>
    <t>Count</t>
  </si>
  <si>
    <t>Percent_Enrolled</t>
  </si>
  <si>
    <t>Core_Academic_Section_Size</t>
  </si>
  <si>
    <t/>
  </si>
  <si>
    <t>0x0100B7F164E2221EA946A190815C556C67860011135709848C4649A12EC0C169EEA25E</t>
  </si>
  <si>
    <t>Literature</t>
  </si>
  <si>
    <t>Total Enrollment</t>
  </si>
  <si>
    <t>Math</t>
  </si>
  <si>
    <t>History</t>
  </si>
  <si>
    <t>Science</t>
  </si>
  <si>
    <t>Foreign Language</t>
  </si>
  <si>
    <t>Physical Education</t>
  </si>
  <si>
    <t>Visual Art</t>
  </si>
  <si>
    <t>Music</t>
  </si>
  <si>
    <t>Drama</t>
  </si>
  <si>
    <t>Design Technology or Sim</t>
  </si>
  <si>
    <t>Class_Schedule</t>
  </si>
  <si>
    <t>Days per Cycle</t>
  </si>
  <si>
    <t>Period per Cycle</t>
  </si>
  <si>
    <t>Periods Per Day</t>
  </si>
  <si>
    <t>Periods Teacher Teach per Day</t>
  </si>
  <si>
    <t>Lunch Periods</t>
  </si>
  <si>
    <t>Type</t>
  </si>
  <si>
    <t>Special Education Enrollment</t>
  </si>
  <si>
    <t>#-Students</t>
  </si>
  <si>
    <t>Typical Section Size</t>
  </si>
  <si>
    <t>Space_Type</t>
  </si>
  <si>
    <t>SF/Student</t>
  </si>
  <si>
    <t>Min SF</t>
  </si>
  <si>
    <t>Max SF</t>
  </si>
  <si>
    <t>Proposed</t>
  </si>
  <si>
    <t>References</t>
  </si>
  <si>
    <t>Early Childhood Classroom</t>
  </si>
  <si>
    <t>Lower School Classroom</t>
  </si>
  <si>
    <t>Middle School Classroom</t>
  </si>
  <si>
    <t>Upper School Classroom</t>
  </si>
  <si>
    <t>Resource Classroom</t>
  </si>
  <si>
    <t>Specialized Classrooms</t>
  </si>
  <si>
    <t>Seminar Room</t>
  </si>
  <si>
    <t>LS Science</t>
  </si>
  <si>
    <t>MS Science</t>
  </si>
  <si>
    <t>US Science</t>
  </si>
  <si>
    <t>Art - Lower School</t>
  </si>
  <si>
    <t>Art - Upper School 2D</t>
  </si>
  <si>
    <t>Art - Upper School 3D</t>
  </si>
  <si>
    <t>Music - Lower School</t>
  </si>
  <si>
    <t>Music - Band</t>
  </si>
  <si>
    <t>Music - Chorus</t>
  </si>
  <si>
    <t xml:space="preserve">Dance - Aerobics </t>
  </si>
  <si>
    <t>Auditorium/Drama</t>
  </si>
  <si>
    <t>Auditorium - House (per seat)</t>
  </si>
  <si>
    <t>http://theatreprojects.com/files/pdf/sizematters.pdf</t>
  </si>
  <si>
    <t>Auditorium - Stage</t>
  </si>
  <si>
    <t>Orchestra Pit (per musician)</t>
  </si>
  <si>
    <t>Black Box</t>
  </si>
  <si>
    <t>Design Technology</t>
  </si>
  <si>
    <t>Dining &amp; Foodservice</t>
  </si>
  <si>
    <t>Food Lab - Lower School</t>
  </si>
  <si>
    <t>HOS Office</t>
  </si>
  <si>
    <t>AP Office</t>
  </si>
  <si>
    <t>Office</t>
  </si>
  <si>
    <t>Workstation</t>
  </si>
  <si>
    <t>Conference Room - Small</t>
  </si>
  <si>
    <t>Conference Room - Medium</t>
  </si>
  <si>
    <t>Conference Room - Large</t>
  </si>
  <si>
    <t>Fitness Room (per equipment)</t>
  </si>
  <si>
    <t>Bleacher (linear inches per seat)</t>
  </si>
  <si>
    <t>http://preferred-seating.com/blog/how-to-calculate-seating-capacity-for-bleachers/</t>
  </si>
  <si>
    <t>Locker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</si>
</sst>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
    <numFmt numFmtId="166" formatCode="_(* #,##0_);_(* \(#,##0\);_(* &quot;-&quot;??_);_(@_)"/>
    <numFmt numFmtId="167" formatCode="#,##0\ \ "/>
    <numFmt numFmtId="168" formatCode="#,##0.00\ \ "/>
    <numFmt numFmtId="169" formatCode="#,##0.000"/>
    <numFmt numFmtId="170" formatCode="0.0%"/>
  </numFmts>
  <fonts count="15" x14ac:knownFonts="1">
    <font>
      <sz val="10"/>
      <name val="Arial"/>
    </font>
    <font>
      <sz val="10"/>
      <name val="Arial"/>
      <family val="2"/>
    </font>
    <font>
      <sz val="8"/>
      <name val="Arial"/>
      <family val="2"/>
    </font>
    <font>
      <b/>
      <sz val="8"/>
      <name val="Arial"/>
      <family val="2"/>
    </font>
    <font>
      <sz val="8"/>
      <name val="Arial"/>
      <family val="2"/>
    </font>
    <font>
      <u/>
      <sz val="8"/>
      <name val="Arial"/>
      <family val="2"/>
    </font>
    <font>
      <sz val="6"/>
      <name val="Arial"/>
      <family val="2"/>
    </font>
    <font>
      <b/>
      <vertAlign val="superscript"/>
      <sz val="10"/>
      <name val="Arial"/>
      <family val="2"/>
    </font>
    <font>
      <vertAlign val="superscript"/>
      <sz val="10"/>
      <name val="Arial"/>
      <family val="2"/>
    </font>
    <font>
      <b/>
      <i/>
      <sz val="8"/>
      <name val="Arial Narrow"/>
      <family val="2"/>
    </font>
    <font>
      <b/>
      <sz val="10"/>
      <name val="Arial"/>
      <family val="2"/>
    </font>
    <font>
      <sz val="8"/>
      <name val="Arial"/>
    </font>
    <font>
      <u/>
      <sz val="8"/>
      <name val="Arial Narrow"/>
      <family val="2"/>
    </font>
    <font>
      <sz val="8"/>
      <name val="Arial Narrow"/>
      <family val="2"/>
    </font>
    <font>
      <sz val="11"/>
      <color rgb="FF242424"/>
      <name val="Aptos Narrow"/>
      <charset val="1"/>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FFF00"/>
        <bgColor indexed="64"/>
      </patternFill>
    </fill>
    <fill>
      <patternFill patternType="solid">
        <fgColor rgb="FF92D050"/>
        <bgColor indexed="64"/>
      </patternFill>
    </fill>
    <fill>
      <patternFill patternType="solid">
        <fgColor theme="4" tint="-0.249977111117893"/>
        <bgColor indexed="64"/>
      </patternFill>
    </fill>
    <fill>
      <patternFill patternType="solid">
        <fgColor theme="4" tint="-0.499984740745262"/>
        <bgColor indexed="64"/>
      </patternFill>
    </fill>
  </fills>
  <borders count="55">
    <border>
      <left/>
      <right/>
      <top/>
      <bottom/>
      <diagonal/>
    </border>
    <border>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thin">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medium">
        <color indexed="64"/>
      </left>
      <right style="hair">
        <color indexed="64"/>
      </right>
      <top style="medium">
        <color indexed="64"/>
      </top>
      <bottom style="hair">
        <color indexed="64"/>
      </bottom>
      <diagonal/>
    </border>
    <border>
      <left/>
      <right style="hair">
        <color indexed="64"/>
      </right>
      <top/>
      <bottom style="hair">
        <color indexed="64"/>
      </bottom>
      <diagonal/>
    </border>
    <border>
      <left style="medium">
        <color indexed="64"/>
      </left>
      <right style="hair">
        <color indexed="64"/>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medium">
        <color indexed="64"/>
      </left>
      <right style="hair">
        <color indexed="64"/>
      </right>
      <top/>
      <bottom/>
      <diagonal/>
    </border>
    <border>
      <left/>
      <right style="hair">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medium">
        <color indexed="64"/>
      </top>
      <bottom style="hair">
        <color indexed="64"/>
      </bottom>
      <diagonal/>
    </border>
    <border>
      <left style="medium">
        <color indexed="64"/>
      </left>
      <right style="medium">
        <color indexed="64"/>
      </right>
      <top/>
      <bottom/>
      <diagonal/>
    </border>
    <border>
      <left/>
      <right/>
      <top/>
      <bottom style="hair">
        <color indexed="64"/>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hair">
        <color indexed="64"/>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medium">
        <color indexed="64"/>
      </left>
      <right style="medium">
        <color indexed="64"/>
      </right>
      <top style="hair">
        <color indexed="64"/>
      </top>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right/>
      <top style="thin">
        <color indexed="64"/>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style="hair">
        <color indexed="64"/>
      </right>
      <top/>
      <bottom style="medium">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s>
  <cellStyleXfs count="2">
    <xf numFmtId="0" fontId="0" fillId="0" borderId="0"/>
    <xf numFmtId="43" fontId="1" fillId="0" borderId="0" applyFont="0" applyFill="0" applyBorder="0" applyAlignment="0" applyProtection="0"/>
  </cellStyleXfs>
  <cellXfs count="132">
    <xf numFmtId="0" fontId="0" fillId="0" borderId="0" xfId="0"/>
    <xf numFmtId="0" fontId="2" fillId="0" borderId="0" xfId="0" applyFont="1"/>
    <xf numFmtId="3" fontId="2" fillId="0" borderId="0" xfId="0" applyNumberFormat="1" applyFont="1"/>
    <xf numFmtId="0" fontId="2" fillId="0" borderId="0" xfId="0" applyFont="1" applyAlignment="1">
      <alignment horizontal="center" vertical="center" wrapText="1"/>
    </xf>
    <xf numFmtId="0" fontId="4" fillId="0" borderId="0" xfId="0" applyFont="1"/>
    <xf numFmtId="3" fontId="2" fillId="0" borderId="2" xfId="0" applyNumberFormat="1" applyFont="1" applyBorder="1" applyAlignment="1">
      <alignment horizontal="center"/>
    </xf>
    <xf numFmtId="0" fontId="2" fillId="0" borderId="1" xfId="0" applyFont="1" applyBorder="1" applyAlignment="1">
      <alignment wrapText="1"/>
    </xf>
    <xf numFmtId="3" fontId="2" fillId="0" borderId="4" xfId="0" applyNumberFormat="1" applyFont="1" applyBorder="1"/>
    <xf numFmtId="3" fontId="2" fillId="0" borderId="2" xfId="0" quotePrefix="1" applyNumberFormat="1" applyFont="1" applyBorder="1" applyAlignment="1">
      <alignment horizontal="center"/>
    </xf>
    <xf numFmtId="0" fontId="2" fillId="0" borderId="1" xfId="0" applyFont="1" applyBorder="1"/>
    <xf numFmtId="0" fontId="2" fillId="0" borderId="1" xfId="0" applyFont="1" applyBorder="1" applyAlignment="1">
      <alignment horizontal="left" wrapText="1"/>
    </xf>
    <xf numFmtId="0" fontId="3" fillId="2" borderId="9" xfId="0" applyFont="1" applyFill="1" applyBorder="1"/>
    <xf numFmtId="0" fontId="2" fillId="0" borderId="10" xfId="0" applyFont="1" applyBorder="1"/>
    <xf numFmtId="3" fontId="2" fillId="0" borderId="10" xfId="0" applyNumberFormat="1" applyFont="1" applyBorder="1"/>
    <xf numFmtId="0" fontId="3" fillId="2" borderId="13" xfId="0" applyFont="1" applyFill="1" applyBorder="1"/>
    <xf numFmtId="0" fontId="2" fillId="0" borderId="4" xfId="0" applyFont="1" applyBorder="1"/>
    <xf numFmtId="3" fontId="2" fillId="0" borderId="5" xfId="0" applyNumberFormat="1" applyFont="1" applyBorder="1"/>
    <xf numFmtId="0" fontId="2" fillId="2" borderId="4" xfId="0" applyFont="1" applyFill="1" applyBorder="1"/>
    <xf numFmtId="0" fontId="3" fillId="0" borderId="0" xfId="0" applyFont="1"/>
    <xf numFmtId="165" fontId="3" fillId="0" borderId="0" xfId="0" applyNumberFormat="1" applyFont="1"/>
    <xf numFmtId="0" fontId="2" fillId="0" borderId="23" xfId="0" applyFont="1" applyBorder="1"/>
    <xf numFmtId="3" fontId="2" fillId="0" borderId="17" xfId="0" applyNumberFormat="1" applyFont="1" applyBorder="1" applyAlignment="1">
      <alignment horizontal="center"/>
    </xf>
    <xf numFmtId="3" fontId="2" fillId="0" borderId="24" xfId="0" applyNumberFormat="1" applyFont="1" applyBorder="1" applyAlignment="1">
      <alignment horizontal="center"/>
    </xf>
    <xf numFmtId="3" fontId="2" fillId="0" borderId="24" xfId="0" quotePrefix="1" applyNumberFormat="1" applyFont="1" applyBorder="1" applyAlignment="1">
      <alignment horizontal="center"/>
    </xf>
    <xf numFmtId="0" fontId="7" fillId="0" borderId="0" xfId="0" applyFont="1"/>
    <xf numFmtId="0" fontId="2" fillId="0" borderId="29" xfId="0" applyFont="1" applyBorder="1"/>
    <xf numFmtId="0" fontId="2" fillId="0" borderId="30" xfId="0" applyFont="1" applyBorder="1"/>
    <xf numFmtId="3" fontId="2" fillId="0" borderId="31" xfId="0" applyNumberFormat="1" applyFont="1" applyBorder="1"/>
    <xf numFmtId="0" fontId="2" fillId="0" borderId="31" xfId="0" applyFont="1" applyBorder="1"/>
    <xf numFmtId="3" fontId="2" fillId="0" borderId="32" xfId="0" applyNumberFormat="1" applyFont="1" applyBorder="1"/>
    <xf numFmtId="3" fontId="2" fillId="0" borderId="6" xfId="0" applyNumberFormat="1" applyFont="1" applyBorder="1"/>
    <xf numFmtId="3" fontId="2" fillId="0" borderId="35" xfId="0" applyNumberFormat="1" applyFont="1" applyBorder="1"/>
    <xf numFmtId="0" fontId="5" fillId="0" borderId="27" xfId="0" applyFont="1" applyBorder="1" applyAlignment="1">
      <alignment horizontal="center"/>
    </xf>
    <xf numFmtId="0" fontId="9" fillId="0" borderId="37" xfId="0" applyFont="1" applyBorder="1" applyAlignment="1">
      <alignment horizontal="left"/>
    </xf>
    <xf numFmtId="166" fontId="2" fillId="0" borderId="0" xfId="1" applyNumberFormat="1" applyFont="1" applyBorder="1" applyAlignment="1">
      <alignment horizontal="right"/>
    </xf>
    <xf numFmtId="3" fontId="2" fillId="0" borderId="0" xfId="0" applyNumberFormat="1" applyFont="1" applyAlignment="1">
      <alignment vertical="top" wrapText="1"/>
    </xf>
    <xf numFmtId="3" fontId="2" fillId="0" borderId="0" xfId="0" applyNumberFormat="1" applyFont="1" applyAlignment="1">
      <alignment vertical="top"/>
    </xf>
    <xf numFmtId="0" fontId="2" fillId="0" borderId="41" xfId="0" applyFont="1" applyBorder="1"/>
    <xf numFmtId="0" fontId="0" fillId="0" borderId="41" xfId="0" applyBorder="1"/>
    <xf numFmtId="3" fontId="2" fillId="0" borderId="41" xfId="0" applyNumberFormat="1" applyFont="1" applyBorder="1"/>
    <xf numFmtId="3" fontId="2" fillId="0" borderId="26" xfId="0" applyNumberFormat="1" applyFont="1" applyBorder="1" applyAlignment="1">
      <alignment horizontal="center"/>
    </xf>
    <xf numFmtId="166" fontId="2" fillId="0" borderId="0" xfId="1" applyNumberFormat="1" applyFont="1" applyFill="1" applyBorder="1"/>
    <xf numFmtId="164" fontId="2" fillId="0" borderId="5" xfId="0" applyNumberFormat="1" applyFont="1" applyBorder="1"/>
    <xf numFmtId="3" fontId="2" fillId="0" borderId="39" xfId="0" applyNumberFormat="1" applyFont="1" applyBorder="1" applyAlignment="1">
      <alignment horizontal="center"/>
    </xf>
    <xf numFmtId="3" fontId="2" fillId="0" borderId="18" xfId="0" applyNumberFormat="1" applyFont="1" applyBorder="1" applyAlignment="1">
      <alignment horizontal="center"/>
    </xf>
    <xf numFmtId="3" fontId="2" fillId="0" borderId="3" xfId="0" applyNumberFormat="1" applyFont="1" applyBorder="1" applyAlignment="1">
      <alignment horizontal="center"/>
    </xf>
    <xf numFmtId="3" fontId="6" fillId="0" borderId="36" xfId="0" applyNumberFormat="1" applyFont="1" applyBorder="1" applyAlignment="1">
      <alignment horizontal="left"/>
    </xf>
    <xf numFmtId="3" fontId="6" fillId="0" borderId="38" xfId="0" applyNumberFormat="1" applyFont="1" applyBorder="1" applyAlignment="1">
      <alignment horizontal="left"/>
    </xf>
    <xf numFmtId="3" fontId="6" fillId="0" borderId="43" xfId="0" applyNumberFormat="1" applyFont="1" applyBorder="1" applyAlignment="1">
      <alignment horizontal="left"/>
    </xf>
    <xf numFmtId="3" fontId="6" fillId="0" borderId="33" xfId="0" applyNumberFormat="1" applyFont="1" applyBorder="1" applyAlignment="1">
      <alignment horizontal="left"/>
    </xf>
    <xf numFmtId="3" fontId="6" fillId="0" borderId="38" xfId="0" quotePrefix="1" applyNumberFormat="1" applyFont="1" applyBorder="1" applyAlignment="1">
      <alignment horizontal="left"/>
    </xf>
    <xf numFmtId="169" fontId="6" fillId="0" borderId="36" xfId="0" applyNumberFormat="1" applyFont="1" applyBorder="1" applyAlignment="1">
      <alignment horizontal="left"/>
    </xf>
    <xf numFmtId="0" fontId="10" fillId="0" borderId="0" xfId="0" applyFont="1"/>
    <xf numFmtId="0" fontId="1" fillId="0" borderId="0" xfId="0" applyFont="1"/>
    <xf numFmtId="0" fontId="2" fillId="0" borderId="40" xfId="0" applyFont="1" applyBorder="1" applyAlignment="1">
      <alignment horizontal="center"/>
    </xf>
    <xf numFmtId="0" fontId="2" fillId="0" borderId="16" xfId="0" applyFont="1" applyBorder="1" applyAlignment="1">
      <alignment horizontal="center"/>
    </xf>
    <xf numFmtId="0" fontId="2" fillId="0" borderId="3" xfId="0" applyFont="1" applyBorder="1" applyAlignment="1">
      <alignment horizontal="center"/>
    </xf>
    <xf numFmtId="0" fontId="2" fillId="0" borderId="18" xfId="0" applyFont="1" applyBorder="1" applyAlignment="1">
      <alignment horizontal="center"/>
    </xf>
    <xf numFmtId="0" fontId="2" fillId="0" borderId="25" xfId="0" applyFont="1" applyBorder="1" applyAlignment="1">
      <alignment horizontal="center"/>
    </xf>
    <xf numFmtId="3" fontId="2" fillId="0" borderId="24" xfId="0" applyNumberFormat="1" applyFont="1" applyBorder="1" applyAlignment="1">
      <alignment horizontal="right"/>
    </xf>
    <xf numFmtId="3" fontId="2" fillId="0" borderId="2" xfId="0" applyNumberFormat="1" applyFont="1" applyBorder="1" applyAlignment="1">
      <alignment horizontal="right"/>
    </xf>
    <xf numFmtId="0" fontId="2" fillId="0" borderId="42" xfId="0" applyFont="1" applyBorder="1" applyAlignment="1">
      <alignment horizontal="center"/>
    </xf>
    <xf numFmtId="3" fontId="2" fillId="0" borderId="13" xfId="0" applyNumberFormat="1" applyFont="1" applyBorder="1" applyAlignment="1">
      <alignment horizontal="center"/>
    </xf>
    <xf numFmtId="3" fontId="2" fillId="0" borderId="11" xfId="0" applyNumberFormat="1" applyFont="1" applyBorder="1" applyAlignment="1">
      <alignment horizontal="center"/>
    </xf>
    <xf numFmtId="0" fontId="2" fillId="0" borderId="12" xfId="0" applyFont="1" applyBorder="1" applyAlignment="1">
      <alignment horizontal="center"/>
    </xf>
    <xf numFmtId="3" fontId="2" fillId="0" borderId="14" xfId="0" applyNumberFormat="1" applyFont="1" applyBorder="1" applyAlignment="1">
      <alignment horizontal="center"/>
    </xf>
    <xf numFmtId="9" fontId="2" fillId="0" borderId="3" xfId="0" applyNumberFormat="1" applyFont="1" applyBorder="1" applyAlignment="1">
      <alignment horizontal="center"/>
    </xf>
    <xf numFmtId="167" fontId="3" fillId="0" borderId="4" xfId="0" applyNumberFormat="1" applyFont="1" applyBorder="1"/>
    <xf numFmtId="4" fontId="2" fillId="0" borderId="14" xfId="0" applyNumberFormat="1" applyFont="1" applyBorder="1" applyAlignment="1">
      <alignment horizontal="center"/>
    </xf>
    <xf numFmtId="4" fontId="2" fillId="0" borderId="2" xfId="0" applyNumberFormat="1" applyFont="1" applyBorder="1" applyAlignment="1">
      <alignment horizontal="center"/>
    </xf>
    <xf numFmtId="168" fontId="3" fillId="0" borderId="4" xfId="0" applyNumberFormat="1" applyFont="1" applyBorder="1"/>
    <xf numFmtId="0" fontId="3" fillId="0" borderId="0" xfId="0" applyFont="1" applyAlignment="1">
      <alignment horizontal="left"/>
    </xf>
    <xf numFmtId="0" fontId="3" fillId="0" borderId="28" xfId="0" applyFont="1" applyBorder="1" applyAlignment="1">
      <alignment horizontal="left"/>
    </xf>
    <xf numFmtId="3" fontId="3" fillId="0" borderId="0" xfId="0" applyNumberFormat="1" applyFont="1"/>
    <xf numFmtId="0" fontId="2" fillId="0" borderId="27" xfId="0" applyFont="1" applyBorder="1" applyAlignment="1">
      <alignment horizontal="center"/>
    </xf>
    <xf numFmtId="0" fontId="2" fillId="0" borderId="15" xfId="0" applyFont="1" applyBorder="1" applyAlignment="1">
      <alignment horizontal="center"/>
    </xf>
    <xf numFmtId="167" fontId="3" fillId="3" borderId="4" xfId="0" applyNumberFormat="1" applyFont="1" applyFill="1" applyBorder="1"/>
    <xf numFmtId="3" fontId="2" fillId="0" borderId="12" xfId="0" applyNumberFormat="1" applyFont="1" applyBorder="1" applyAlignment="1">
      <alignment horizontal="center"/>
    </xf>
    <xf numFmtId="4" fontId="2" fillId="0" borderId="3" xfId="0" applyNumberFormat="1" applyFont="1" applyBorder="1" applyAlignment="1">
      <alignment horizontal="center"/>
    </xf>
    <xf numFmtId="0" fontId="2" fillId="4" borderId="16" xfId="0" applyFont="1" applyFill="1" applyBorder="1" applyAlignment="1">
      <alignment horizontal="center"/>
    </xf>
    <xf numFmtId="3" fontId="2" fillId="0" borderId="0" xfId="0" applyNumberFormat="1" applyFont="1" applyAlignment="1">
      <alignment wrapText="1"/>
    </xf>
    <xf numFmtId="0" fontId="0" fillId="0" borderId="44" xfId="0" applyBorder="1"/>
    <xf numFmtId="0" fontId="0" fillId="5" borderId="34" xfId="0" applyFill="1" applyBorder="1"/>
    <xf numFmtId="167" fontId="3" fillId="0" borderId="6" xfId="0" applyNumberFormat="1" applyFont="1" applyBorder="1"/>
    <xf numFmtId="164" fontId="2" fillId="0" borderId="6" xfId="0" applyNumberFormat="1" applyFont="1" applyBorder="1"/>
    <xf numFmtId="0" fontId="10" fillId="5" borderId="49" xfId="0" applyFont="1" applyFill="1" applyBorder="1" applyAlignment="1">
      <alignment horizontal="left"/>
    </xf>
    <xf numFmtId="0" fontId="0" fillId="0" borderId="45" xfId="0" applyBorder="1"/>
    <xf numFmtId="0" fontId="0" fillId="0" borderId="50" xfId="0" applyBorder="1"/>
    <xf numFmtId="170" fontId="0" fillId="0" borderId="50" xfId="0" applyNumberFormat="1" applyBorder="1"/>
    <xf numFmtId="0" fontId="0" fillId="0" borderId="52" xfId="0" applyBorder="1"/>
    <xf numFmtId="170" fontId="0" fillId="0" borderId="44" xfId="0" applyNumberFormat="1" applyBorder="1"/>
    <xf numFmtId="0" fontId="0" fillId="0" borderId="53" xfId="0" applyBorder="1"/>
    <xf numFmtId="170" fontId="0" fillId="0" borderId="45" xfId="0" applyNumberFormat="1" applyBorder="1"/>
    <xf numFmtId="0" fontId="0" fillId="0" borderId="54" xfId="0" applyBorder="1"/>
    <xf numFmtId="0" fontId="0" fillId="5" borderId="49" xfId="0" applyFill="1" applyBorder="1"/>
    <xf numFmtId="0" fontId="10" fillId="5" borderId="49" xfId="0" applyFont="1" applyFill="1" applyBorder="1"/>
    <xf numFmtId="0" fontId="12" fillId="0" borderId="7" xfId="0" applyFont="1" applyBorder="1" applyAlignment="1">
      <alignment horizontal="center" wrapText="1"/>
    </xf>
    <xf numFmtId="0" fontId="12" fillId="0" borderId="8" xfId="0" applyFont="1" applyBorder="1" applyAlignment="1">
      <alignment wrapText="1"/>
    </xf>
    <xf numFmtId="3" fontId="2" fillId="0" borderId="46" xfId="0" applyNumberFormat="1" applyFont="1" applyBorder="1" applyAlignment="1">
      <alignment vertical="center" wrapText="1"/>
    </xf>
    <xf numFmtId="0" fontId="13" fillId="0" borderId="51" xfId="0" applyFont="1" applyBorder="1" applyAlignment="1">
      <alignment vertical="center" wrapText="1"/>
    </xf>
    <xf numFmtId="3" fontId="2" fillId="0" borderId="8" xfId="0" applyNumberFormat="1" applyFont="1" applyBorder="1" applyAlignment="1">
      <alignment vertical="center" wrapText="1"/>
    </xf>
    <xf numFmtId="3" fontId="2" fillId="0" borderId="51" xfId="0" applyNumberFormat="1" applyFont="1" applyBorder="1" applyAlignment="1">
      <alignment vertical="center" wrapText="1"/>
    </xf>
    <xf numFmtId="0" fontId="13" fillId="0" borderId="47" xfId="0" applyFont="1" applyBorder="1" applyAlignment="1">
      <alignment vertical="center" wrapText="1"/>
    </xf>
    <xf numFmtId="3" fontId="2" fillId="7" borderId="20" xfId="0" applyNumberFormat="1" applyFont="1" applyFill="1" applyBorder="1" applyAlignment="1">
      <alignment horizontal="center" vertical="center" wrapText="1"/>
    </xf>
    <xf numFmtId="0" fontId="13" fillId="7" borderId="21" xfId="0" applyFont="1" applyFill="1" applyBorder="1" applyAlignment="1">
      <alignment horizontal="center" vertical="center" wrapText="1"/>
    </xf>
    <xf numFmtId="3" fontId="2" fillId="7" borderId="22" xfId="0" applyNumberFormat="1" applyFont="1" applyFill="1" applyBorder="1" applyAlignment="1">
      <alignment horizontal="center" vertical="center" wrapText="1"/>
    </xf>
    <xf numFmtId="3" fontId="2" fillId="6" borderId="46" xfId="0" applyNumberFormat="1" applyFont="1" applyFill="1" applyBorder="1" applyAlignment="1">
      <alignment vertical="center" wrapText="1"/>
    </xf>
    <xf numFmtId="0" fontId="13" fillId="6" borderId="47" xfId="0" applyFont="1" applyFill="1" applyBorder="1" applyAlignment="1">
      <alignment vertical="center" wrapText="1"/>
    </xf>
    <xf numFmtId="3" fontId="2" fillId="6" borderId="8" xfId="0" applyNumberFormat="1" applyFont="1" applyFill="1" applyBorder="1" applyAlignment="1">
      <alignment horizontal="center" vertical="center" wrapText="1"/>
    </xf>
    <xf numFmtId="3" fontId="2" fillId="0" borderId="22" xfId="0" applyNumberFormat="1" applyFont="1" applyBorder="1" applyAlignment="1">
      <alignment horizontal="center" vertical="center" wrapText="1"/>
    </xf>
    <xf numFmtId="0" fontId="14" fillId="0" borderId="0" xfId="0" applyFont="1" applyAlignment="1">
      <alignment wrapText="1"/>
    </xf>
    <xf numFmtId="3" fontId="2" fillId="4" borderId="37" xfId="0" applyNumberFormat="1" applyFont="1" applyFill="1" applyBorder="1"/>
    <xf numFmtId="3" fontId="2" fillId="4" borderId="48" xfId="0" applyNumberFormat="1" applyFont="1" applyFill="1" applyBorder="1"/>
    <xf numFmtId="3" fontId="2" fillId="4" borderId="1" xfId="0" applyNumberFormat="1" applyFont="1" applyFill="1" applyBorder="1"/>
    <xf numFmtId="3" fontId="2" fillId="4" borderId="34" xfId="0" applyNumberFormat="1" applyFont="1" applyFill="1" applyBorder="1"/>
    <xf numFmtId="3" fontId="2" fillId="4" borderId="0" xfId="0" applyNumberFormat="1" applyFont="1" applyFill="1"/>
    <xf numFmtId="0" fontId="2" fillId="4" borderId="3" xfId="0" applyFont="1" applyFill="1" applyBorder="1" applyAlignment="1">
      <alignment horizontal="center"/>
    </xf>
    <xf numFmtId="166" fontId="2" fillId="4" borderId="34" xfId="1" applyNumberFormat="1" applyFont="1" applyFill="1" applyBorder="1"/>
    <xf numFmtId="1" fontId="2" fillId="4" borderId="3" xfId="0" applyNumberFormat="1" applyFont="1" applyFill="1" applyBorder="1" applyAlignment="1">
      <alignment horizontal="center"/>
    </xf>
    <xf numFmtId="3" fontId="2" fillId="4" borderId="2" xfId="0" applyNumberFormat="1" applyFont="1" applyFill="1" applyBorder="1" applyAlignment="1">
      <alignment horizontal="center"/>
    </xf>
    <xf numFmtId="3" fontId="2" fillId="4" borderId="24" xfId="0" applyNumberFormat="1" applyFont="1" applyFill="1" applyBorder="1" applyAlignment="1">
      <alignment horizontal="center"/>
    </xf>
    <xf numFmtId="3" fontId="2" fillId="4" borderId="2" xfId="0" quotePrefix="1" applyNumberFormat="1" applyFont="1" applyFill="1" applyBorder="1" applyAlignment="1">
      <alignment horizontal="center"/>
    </xf>
    <xf numFmtId="3" fontId="2" fillId="4" borderId="23" xfId="0" applyNumberFormat="1" applyFont="1" applyFill="1" applyBorder="1"/>
    <xf numFmtId="3" fontId="2" fillId="4" borderId="4" xfId="0" applyNumberFormat="1" applyFont="1" applyFill="1" applyBorder="1"/>
    <xf numFmtId="3" fontId="2" fillId="4" borderId="19" xfId="0" applyNumberFormat="1" applyFont="1" applyFill="1" applyBorder="1"/>
    <xf numFmtId="3" fontId="2" fillId="4" borderId="4" xfId="0" applyNumberFormat="1" applyFont="1" applyFill="1" applyBorder="1" applyAlignment="1">
      <alignment horizontal="center"/>
    </xf>
    <xf numFmtId="3" fontId="2" fillId="4" borderId="1" xfId="0" quotePrefix="1" applyNumberFormat="1" applyFont="1" applyFill="1" applyBorder="1" applyAlignment="1">
      <alignment horizontal="right"/>
    </xf>
    <xf numFmtId="3" fontId="2" fillId="4" borderId="1" xfId="0" applyNumberFormat="1" applyFont="1" applyFill="1" applyBorder="1" applyAlignment="1">
      <alignment horizontal="center"/>
    </xf>
    <xf numFmtId="3" fontId="2" fillId="4" borderId="19" xfId="0" applyNumberFormat="1" applyFont="1" applyFill="1" applyBorder="1" applyAlignment="1">
      <alignment horizontal="center"/>
    </xf>
    <xf numFmtId="167" fontId="3" fillId="4" borderId="4" xfId="0" applyNumberFormat="1" applyFont="1" applyFill="1" applyBorder="1"/>
    <xf numFmtId="168" fontId="3" fillId="4" borderId="5" xfId="0" applyNumberFormat="1" applyFont="1" applyFill="1" applyBorder="1"/>
    <xf numFmtId="168" fontId="3" fillId="4" borderId="4" xfId="0" applyNumberFormat="1" applyFont="1" applyFill="1" applyBorder="1"/>
  </cellXfs>
  <cellStyles count="2">
    <cellStyle name="Comma" xfId="1" builtinId="3"/>
    <cellStyle name="Normal" xfId="0" builtinId="0"/>
  </cellStyles>
  <dxfs count="33">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
      <border diagonalUp="0" diagonalDown="0">
        <left style="thin">
          <color indexed="64"/>
        </left>
        <right/>
        <top style="hair">
          <color indexed="64"/>
        </top>
        <bottom style="hair">
          <color indexed="64"/>
        </bottom>
        <vertical/>
        <horizontal/>
      </border>
    </dxf>
    <dxf>
      <border outline="0">
        <right style="thin">
          <color indexed="64"/>
        </right>
        <top style="hair">
          <color indexed="64"/>
        </top>
      </border>
    </dxf>
    <dxf>
      <border outline="0">
        <bottom style="hair">
          <color indexed="64"/>
        </bottom>
      </border>
    </dxf>
    <dxf>
      <font>
        <b val="0"/>
        <i val="0"/>
        <strike val="0"/>
        <condense val="0"/>
        <extend val="0"/>
        <outline val="0"/>
        <shadow val="0"/>
        <u val="none"/>
        <vertAlign val="baseline"/>
        <sz val="10"/>
        <color auto="1"/>
        <name val="Arial"/>
        <scheme val="none"/>
      </font>
      <numFmt numFmtId="166" formatCode="_(* #,##0_);_(* \(#,##0\);_(* &quot;-&quot;??_);_(@_)"/>
    </dxf>
    <dxf>
      <border diagonalUp="0" diagonalDown="0">
        <left style="thin">
          <color indexed="64"/>
        </left>
        <right/>
        <top style="hair">
          <color indexed="64"/>
        </top>
        <bottom style="hair">
          <color indexed="64"/>
        </bottom>
        <vertical/>
        <horizontal/>
      </border>
    </dxf>
    <dxf>
      <border outline="0">
        <right style="thin">
          <color indexed="64"/>
        </right>
        <top style="hair">
          <color indexed="64"/>
        </top>
      </border>
    </dxf>
    <dxf>
      <border outline="0">
        <bottom style="hair">
          <color indexed="64"/>
        </bottom>
      </border>
    </dxf>
    <dxf>
      <numFmt numFmtId="170" formatCode="0.0%"/>
      <border diagonalUp="0" diagonalDown="0">
        <left style="thin">
          <color indexed="64"/>
        </left>
        <right/>
        <top style="hair">
          <color indexed="64"/>
        </top>
        <bottom style="hair">
          <color indexed="64"/>
        </bottom>
        <vertical/>
        <horizontal/>
      </border>
    </dxf>
    <dxf>
      <border diagonalUp="0" diagonalDown="0">
        <left style="thin">
          <color indexed="64"/>
        </left>
        <right style="thin">
          <color indexed="64"/>
        </right>
        <top style="hair">
          <color indexed="64"/>
        </top>
        <bottom style="hair">
          <color indexed="64"/>
        </bottom>
        <vertical/>
        <horizontal/>
      </border>
    </dxf>
    <dxf>
      <border outline="0">
        <right style="medium">
          <color indexed="64"/>
        </right>
        <top style="hair">
          <color indexed="64"/>
        </top>
      </border>
    </dxf>
    <dxf>
      <border outline="0">
        <bottom style="hair">
          <color indexed="64"/>
        </bottom>
      </border>
    </dxf>
    <dxf>
      <font>
        <b val="0"/>
        <i val="0"/>
        <strike val="0"/>
        <condense val="0"/>
        <extend val="0"/>
        <outline val="0"/>
        <shadow val="0"/>
        <u val="none"/>
        <vertAlign val="baseline"/>
        <sz val="8"/>
        <color auto="1"/>
        <name val="Arial"/>
        <family val="2"/>
        <scheme val="none"/>
      </font>
      <numFmt numFmtId="166" formatCode="_(* #,##0_);_(* \(#,##0\);_(* &quot;-&quot;??_);_(@_)"/>
      <fill>
        <patternFill patternType="none">
          <fgColor indexed="64"/>
          <bgColor indexed="65"/>
        </patternFill>
      </fill>
      <border diagonalUp="0" diagonalDown="0">
        <left/>
        <right/>
        <top/>
        <bottom style="hair">
          <color indexed="64"/>
        </bottom>
        <vertical/>
        <horizontal/>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dxf>
    <dxf>
      <font>
        <b val="0"/>
        <i val="0"/>
        <strike val="0"/>
        <condense val="0"/>
        <extend val="0"/>
        <outline val="0"/>
        <shadow val="0"/>
        <u val="none"/>
        <vertAlign val="baseline"/>
        <sz val="8"/>
        <color auto="1"/>
        <name val="Arial"/>
        <family val="2"/>
        <scheme val="none"/>
      </font>
      <numFmt numFmtId="3" formatCode="#,##0"/>
    </dxf>
    <dxf>
      <font>
        <b val="0"/>
        <i val="0"/>
        <strike val="0"/>
        <condense val="0"/>
        <extend val="0"/>
        <outline val="0"/>
        <shadow val="0"/>
        <u val="none"/>
        <vertAlign val="baseline"/>
        <sz val="8"/>
        <color auto="1"/>
        <name val="Arial"/>
        <family val="2"/>
        <scheme val="none"/>
      </font>
      <numFmt numFmtId="3" formatCode="#,##0"/>
    </dxf>
    <dxf>
      <font>
        <b val="0"/>
        <i val="0"/>
        <strike val="0"/>
        <condense val="0"/>
        <extend val="0"/>
        <outline val="0"/>
        <shadow val="0"/>
        <u val="none"/>
        <vertAlign val="baseline"/>
        <sz val="8"/>
        <color auto="1"/>
        <name val="Arial"/>
        <family val="2"/>
        <scheme val="none"/>
      </font>
      <numFmt numFmtId="3" formatCode="#,##0"/>
      <border diagonalUp="0" diagonalDown="0">
        <left/>
        <right style="medium">
          <color indexed="64"/>
        </right>
        <top/>
        <bottom style="hair">
          <color indexed="64"/>
        </bottom>
        <vertical/>
        <horizontal/>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fill>
        <patternFill>
          <fgColor indexed="64"/>
          <bgColor rgb="FFFFFF00"/>
        </patternFill>
      </fill>
      <border diagonalUp="0" diagonalDown="0" outline="0">
        <left/>
        <right style="medium">
          <color indexed="64"/>
        </right>
        <top style="hair">
          <color indexed="64"/>
        </top>
        <bottom style="hair">
          <color indexed="64"/>
        </bottom>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fill>
        <patternFill>
          <fgColor indexed="64"/>
          <bgColor rgb="FFFFFF00"/>
        </patternFill>
      </fill>
      <border diagonalUp="0" diagonalDown="0" outline="0">
        <left/>
        <right style="medium">
          <color indexed="64"/>
        </right>
        <top style="hair">
          <color indexed="64"/>
        </top>
        <bottom style="hair">
          <color indexed="64"/>
        </bottom>
      </border>
    </dxf>
    <dxf>
      <font>
        <b val="0"/>
        <i val="0"/>
        <strike val="0"/>
        <condense val="0"/>
        <extend val="0"/>
        <outline val="0"/>
        <shadow val="0"/>
        <u val="none"/>
        <vertAlign val="baseline"/>
        <sz val="8"/>
        <color auto="1"/>
        <name val="Arial"/>
        <family val="2"/>
        <scheme val="none"/>
      </font>
      <alignment horizontal="center" vertical="bottom" textRotation="0" wrapText="0" indent="0" justifyLastLine="0" shrinkToFit="0" readingOrder="0"/>
      <border diagonalUp="0" diagonalDown="0">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numFmt numFmtId="3" formatCode="#,##0"/>
      <alignment horizontal="center" vertical="bottom" textRotation="0" wrapText="0" indent="0" justifyLastLine="0" shrinkToFit="0" readingOrder="0"/>
      <border diagonalUp="0" diagonalDown="0">
        <left style="medium">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8"/>
        <color auto="1"/>
        <name val="Arial"/>
        <family val="2"/>
        <scheme val="none"/>
      </font>
      <border diagonalUp="0" diagonalDown="0">
        <left/>
        <right style="medium">
          <color indexed="64"/>
        </right>
        <top/>
        <bottom style="hair">
          <color indexed="64"/>
        </bottom>
        <vertical/>
        <horizontal/>
      </border>
    </dxf>
    <dxf>
      <font>
        <b val="0"/>
        <i val="0"/>
        <strike val="0"/>
        <condense val="0"/>
        <extend val="0"/>
        <outline val="0"/>
        <shadow val="0"/>
        <u val="none"/>
        <vertAlign val="baseline"/>
        <sz val="8"/>
        <color auto="1"/>
        <name val="Arial"/>
        <family val="2"/>
        <scheme val="none"/>
      </font>
      <border diagonalUp="0" diagonalDown="0">
        <left/>
        <right style="medium">
          <color indexed="64"/>
        </right>
        <top/>
        <bottom style="hair">
          <color indexed="64"/>
        </bottom>
        <vertical/>
        <horizontal/>
      </border>
    </dxf>
    <dxf>
      <border outline="0">
        <top style="medium">
          <color indexed="64"/>
        </top>
        <bottom style="hair">
          <color indexed="64"/>
        </bottom>
      </border>
    </dxf>
    <dxf>
      <border outline="0">
        <bottom style="medium">
          <color indexed="64"/>
        </bottom>
      </border>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889587-CA03-4185-AD6A-9F3BE590D502}" autoFormatId="16" applyNumberFormats="0" applyBorderFormats="0" applyFontFormats="0" applyPatternFormats="0" applyAlignmentFormats="0" applyWidthHeightFormats="0">
  <queryTableRefresh nextId="20">
    <queryTableFields count="5">
      <queryTableField id="1" name="FileSystemObjectType" tableColumnId="1"/>
      <queryTableField id="2" name="Id" tableColumnId="2"/>
      <queryTableField id="3" name="ServerRedirectedEmbedUri" tableColumnId="3"/>
      <queryTableField id="4" name="ServerRedirectedEmbedUrl" tableColumnId="4"/>
      <queryTableField id="5" name="ContentTypeId" tableColumnId="5"/>
    </queryTableFields>
    <queryTableDeletedFields count="14">
      <deletedField name="PowerAppsId"/>
      <deletedField name="ID"/>
      <deletedField name="GUID"/>
      <deletedField name="Title"/>
      <deletedField name="OData__ColorTag"/>
      <deletedField name="ComplianceAssetId"/>
      <deletedField name="Count"/>
      <deletedField name="Percent_Enrolled"/>
      <deletedField name="Modified"/>
      <deletedField name="Created"/>
      <deletedField name="AuthorId"/>
      <deletedField name="EditorId"/>
      <deletedField name="OData__UIVersionString"/>
      <deletedField name="Attachments"/>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A382E1-F13E-4C18-86C1-117C589E40D6}" name="HighSchool_Space_Summary" displayName="HighSchool_Space_Summary" ref="A1:Q69" totalsRowShown="0" headerRowDxfId="32" headerRowBorderDxfId="31" tableBorderDxfId="30">
  <autoFilter ref="A1:Q69" xr:uid="{1EA382E1-F13E-4C18-86C1-117C589E40D6}"/>
  <tableColumns count="17">
    <tableColumn id="1" xr3:uid="{CB8D818A-8FF2-4540-ADE3-5F03E4BEA8AD}" name="Core_Academic_Spaces" dataDxfId="29"/>
    <tableColumn id="2" xr3:uid="{DB8D3205-C155-4342-932C-8ADA22D14DB6}" name="ROOM TYPE" dataDxfId="28"/>
    <tableColumn id="3" xr3:uid="{EEA15DD5-8FFE-44FE-9FD5-904CD519952D}" name="Existing_Room_NFA" dataDxfId="27"/>
    <tableColumn id="4" xr3:uid="{205E713C-91CB-409F-B130-3FC44CA5B15F}" name="Existing_#_Rooms" dataDxfId="26"/>
    <tableColumn id="5" xr3:uid="{C94A9A17-BE03-4F0B-BBAF-01209ED84FB9}" name="Existing_Area_Totals" dataDxfId="25">
      <calculatedColumnFormula>HighSchool_Space_Summary[[#This Row],[Existing_Room_NFA]]*HighSchool_Space_Summary[[#This Row],[Existing_'#_Rooms]]</calculatedColumnFormula>
    </tableColumn>
    <tableColumn id="6" xr3:uid="{8DDD8D19-FCCA-4493-AE0C-6FB7575E648E}" name="Proposed_Keep_Room_NFA" dataDxfId="24"/>
    <tableColumn id="7" xr3:uid="{1D9A5DF1-4686-4F5F-A56D-2E79F672312A}" name="Proposed_Keep_#_Rooms" dataDxfId="23"/>
    <tableColumn id="8" xr3:uid="{8A31CCED-77F1-445C-9E85-F4EC523FDA43}" name="Proposed_Keep_Area_Totals" dataDxfId="22">
      <calculatedColumnFormula>HighSchool_Space_Summary[[#This Row],[Proposed_Keep_Room_NFA]]*HighSchool_Space_Summary[[#This Row],[Proposed_Keep_'#_Rooms]]</calculatedColumnFormula>
    </tableColumn>
    <tableColumn id="9" xr3:uid="{35DC681D-15EB-44DA-857B-1C919F32AD10}" name="Proposed_New_Room_NFA" dataDxfId="21"/>
    <tableColumn id="10" xr3:uid="{42C206C3-86A7-44B5-87E2-42C0A8D6D5DA}" name="Proposed_New_#_Rooms" dataDxfId="20"/>
    <tableColumn id="11" xr3:uid="{8305DBC2-B22B-4FC7-ADAB-E2B4AF6C8EF9}" name="Proposed_New_Area_Totals" dataDxfId="19">
      <calculatedColumnFormula>HighSchool_Space_Summary[[#This Row],[Proposed_New_Room_NFA]]*HighSchool_Space_Summary[[#This Row],[Proposed_New_'#_Rooms]]</calculatedColumnFormula>
    </tableColumn>
    <tableColumn id="17" xr3:uid="{434E8A23-9E58-4745-A062-A9FE59F64BB8}" name="Totals_Proposed_ROOMNFA" dataDxfId="18">
      <calculatedColumnFormula>HighSchool_Space_Summary[[#This Row],[Proposed_Keep_Room_NFA]]+HighSchool_Space_Summary[[#This Row],[Proposed_New_Room_NFA]]</calculatedColumnFormula>
    </tableColumn>
    <tableColumn id="18" xr3:uid="{A4AA7BB6-6052-4C58-8D15-E6E367701FD0}" name="Totals_Proposed_#_OF_RMS" dataDxfId="17">
      <calculatedColumnFormula>HighSchool_Space_Summary[[#This Row],[Proposed_Keep_'#_Rooms]]+HighSchool_Space_Summary[[#This Row],[Proposed_New_'#_Rooms]]</calculatedColumnFormula>
    </tableColumn>
    <tableColumn id="19" xr3:uid="{62D361B1-3120-4667-89BB-317C1CF35271}" name="Totals_Proposed_Area_Totals" dataDxfId="16">
      <calculatedColumnFormula>HighSchool_Space_Summary[[#This Row],[Proposed_Keep_Area_Totals]]+HighSchool_Space_Summary[[#This Row],[Proposed_New_Area_Totals]]</calculatedColumnFormula>
    </tableColumn>
    <tableColumn id="12" xr3:uid="{F05E87C1-1E3E-465D-9174-F8D674691A07}" name="Guideline_Room_NFA" dataDxfId="15"/>
    <tableColumn id="13" xr3:uid="{31C5E785-C2B8-4634-A97C-6D8DF10117D3}" name="Guideline_#_Rooms" dataDxfId="14"/>
    <tableColumn id="14" xr3:uid="{E64E9794-0F7E-4F33-BB3B-9E29164EC1B1}" name="Guideline_Area_Totals" dataDxfId="13"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52FC0E-3D31-478A-B586-BB423336CD5C}" name="K_12_Space_Projections_Core_Academic_Secion_Size" displayName="K_12_Space_Projections_Core_Academic_Secion_Size" ref="A1:E12" tableType="queryTable" totalsRowShown="0">
  <autoFilter ref="A1:E12" xr:uid="{E552FC0E-3D31-478A-B586-BB423336CD5C}"/>
  <tableColumns count="5">
    <tableColumn id="1" xr3:uid="{6491421D-9980-42CF-B20F-6D4617923215}" uniqueName="1" name="FileSystemObjectType" queryTableFieldId="1"/>
    <tableColumn id="2" xr3:uid="{1427FA1B-D563-455A-B625-B153014D73A6}" uniqueName="2" name="Id" queryTableFieldId="2"/>
    <tableColumn id="3" xr3:uid="{310D3E45-128B-4733-A9A4-2F22A99A87E9}" uniqueName="3" name="ServerRedirectedEmbedUri" queryTableFieldId="3"/>
    <tableColumn id="4" xr3:uid="{B8B55004-6871-4E8F-A931-193AF5A15191}" uniqueName="4" name="ServerRedirectedEmbedUrl" queryTableFieldId="4"/>
    <tableColumn id="5" xr3:uid="{E096D468-283D-43E4-91C5-C469030B46B6}" uniqueName="5" name="ContentTypeId"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15060DB-958C-4614-AA99-99030544B45E}" name="Core_Academic_Data" displayName="Core_Academic_Data" ref="F1:H12" totalsRowShown="0" headerRowBorderDxfId="12" tableBorderDxfId="11">
  <autoFilter ref="F1:H12" xr:uid="{389C1889-B544-4FDF-A9A2-39C280849262}"/>
  <tableColumns count="3">
    <tableColumn id="1" xr3:uid="{E168F55F-082B-478B-9F72-6ABCF90F4C38}" name="Core_Academic_Section_Size"/>
    <tableColumn id="2" xr3:uid="{D37F8F59-7876-412D-AFFD-B0C1507200CE}" name="Count" dataDxfId="10"/>
    <tableColumn id="3" xr3:uid="{46797C7E-8B52-49DB-BAD2-EDD7F26DBABE}" name="Percent_Enrolled"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86953F-519C-4720-814B-A840607C222C}" name="Class_Schedule" displayName="Class_Schedule" ref="A1:B6" totalsRowShown="0" headerRowBorderDxfId="8" tableBorderDxfId="7">
  <autoFilter ref="A1:B6" xr:uid="{FB86953F-519C-4720-814B-A840607C222C}"/>
  <tableColumns count="2">
    <tableColumn id="1" xr3:uid="{5FEFB426-401D-416B-BB70-E88976D91950}" name="Class_Schedule"/>
    <tableColumn id="2" xr3:uid="{C972078F-B31C-4595-BA58-B3E6F8AB4478}" name="Count"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EE7EC9-2E1A-41EC-BF74-8355C40E2B95}" name="Enrollment_SQF" displayName="Enrollment_SQF" ref="A1:C2" totalsRowShown="0">
  <autoFilter ref="A1:C2" xr:uid="{FEEE7EC9-2E1A-41EC-BF74-8355C40E2B95}"/>
  <tableColumns count="3">
    <tableColumn id="1" xr3:uid="{A68D5471-70AB-4414-96A6-0B57E3B40162}" name="Type"/>
    <tableColumn id="2" xr3:uid="{ECF271EA-6EB9-4D62-84D5-197AE6341C7F}" name="Total Enrollment" dataDxfId="5" dataCellStyle="Comma"/>
    <tableColumn id="3" xr3:uid="{22FF60FC-70F8-4E34-AAF9-E297EFCA41D6}" name="Special Education Enrollm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DB1CFF-527D-4479-A31A-61C58D716C3D}" name="Special_Education_Enrollment" displayName="Special_Education_Enrollment" ref="A1:B3" totalsRowShown="0" headerRowBorderDxfId="4" tableBorderDxfId="3">
  <autoFilter ref="A1:B3" xr:uid="{19DB1CFF-527D-4479-A31A-61C58D716C3D}"/>
  <tableColumns count="2">
    <tableColumn id="1" xr3:uid="{F98CD51F-E06A-40BC-B372-DFAD5557E9F4}" name="Special Education"/>
    <tableColumn id="2" xr3:uid="{D82EB27A-CF36-4A8F-B58F-4F75A05AB1F1}" name="Count" dataDxfId="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C5CC61-7B97-473A-B991-316923934746}" name="Space_Standards" displayName="Space_Standards" ref="A1:F34" totalsRowShown="0" headerRowDxfId="1">
  <autoFilter ref="A1:F34" xr:uid="{11C5CC61-7B97-473A-B991-316923934746}"/>
  <tableColumns count="6">
    <tableColumn id="6" xr3:uid="{0001278E-E37A-4437-BFD4-E9796ABFA6F8}" name="Space_Type"/>
    <tableColumn id="1" xr3:uid="{DC0966DF-3C34-4155-89B7-9FC1C6CD3785}" name="SF/Student" dataDxfId="0"/>
    <tableColumn id="2" xr3:uid="{0722F851-1D26-45DB-9636-B3480AD9D535}" name="Min SF"/>
    <tableColumn id="3" xr3:uid="{ED6B5B1F-0055-47E1-97EC-D7F6F72299C2}" name="Max SF"/>
    <tableColumn id="4" xr3:uid="{E353300A-3DA6-4716-8077-57BA86AC1086}" name="Proposed"/>
    <tableColumn id="5" xr3:uid="{578AC5F7-B26F-4F08-8FB2-FBEB0C461631}" name="Referen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DC8AF-620C-461D-846E-200514344938}">
  <sheetPr>
    <pageSetUpPr fitToPage="1"/>
  </sheetPr>
  <dimension ref="A1:R95"/>
  <sheetViews>
    <sheetView tabSelected="1" topLeftCell="A24" workbookViewId="0">
      <selection activeCell="R37" sqref="R37"/>
    </sheetView>
  </sheetViews>
  <sheetFormatPr defaultColWidth="9.140625" defaultRowHeight="11.25" x14ac:dyDescent="0.2"/>
  <cols>
    <col min="1" max="1" width="29.5703125" style="18" bestFit="1" customWidth="1"/>
    <col min="2" max="2" width="44" style="1" bestFit="1" customWidth="1"/>
    <col min="3" max="5" width="15.7109375" style="1" hidden="1" customWidth="1"/>
    <col min="6" max="6" width="15.7109375" style="2" hidden="1" customWidth="1"/>
    <col min="7" max="7" width="15.7109375" style="1" hidden="1" customWidth="1"/>
    <col min="8" max="8" width="15.7109375" style="2" hidden="1" customWidth="1"/>
    <col min="9" max="14" width="15.7109375" style="1" hidden="1" customWidth="1"/>
    <col min="15" max="15" width="15.7109375" style="1" customWidth="1"/>
    <col min="16" max="16" width="14.28515625" style="1" bestFit="1" customWidth="1"/>
    <col min="17" max="17" width="15.7109375" style="1" customWidth="1"/>
    <col min="18" max="18" width="32.5703125" style="1" bestFit="1" customWidth="1"/>
    <col min="19" max="16384" width="9.140625" style="1"/>
  </cols>
  <sheetData>
    <row r="1" spans="1:18" s="3" customFormat="1" ht="44.25" customHeight="1" thickBot="1" x14ac:dyDescent="0.3">
      <c r="A1" s="96" t="s">
        <v>0</v>
      </c>
      <c r="B1" s="97" t="s">
        <v>1</v>
      </c>
      <c r="C1" s="98" t="s">
        <v>2</v>
      </c>
      <c r="D1" s="99" t="s">
        <v>3</v>
      </c>
      <c r="E1" s="100" t="s">
        <v>4</v>
      </c>
      <c r="F1" s="101" t="s">
        <v>5</v>
      </c>
      <c r="G1" s="99" t="s">
        <v>6</v>
      </c>
      <c r="H1" s="100" t="s">
        <v>7</v>
      </c>
      <c r="I1" s="98" t="s">
        <v>8</v>
      </c>
      <c r="J1" s="102" t="s">
        <v>9</v>
      </c>
      <c r="K1" s="100" t="s">
        <v>10</v>
      </c>
      <c r="L1" s="103" t="s">
        <v>11</v>
      </c>
      <c r="M1" s="104" t="s">
        <v>12</v>
      </c>
      <c r="N1" s="105" t="s">
        <v>13</v>
      </c>
      <c r="O1" s="106" t="s">
        <v>14</v>
      </c>
      <c r="P1" s="107" t="s">
        <v>15</v>
      </c>
      <c r="Q1" s="108" t="s">
        <v>16</v>
      </c>
      <c r="R1" s="109" t="s">
        <v>17</v>
      </c>
    </row>
    <row r="2" spans="1:18" s="4" customFormat="1" ht="12.75" x14ac:dyDescent="0.25">
      <c r="A2" s="9" t="s">
        <v>19</v>
      </c>
      <c r="B2" s="33" t="s">
        <v>20</v>
      </c>
      <c r="C2" s="43">
        <v>0</v>
      </c>
      <c r="D2" s="55">
        <v>0</v>
      </c>
      <c r="E2" s="113">
        <f>HighSchool_Space_Summary[[#This Row],[Existing_Room_NFA]]*HighSchool_Space_Summary[[#This Row],[Existing_'#_Rooms]]</f>
        <v>0</v>
      </c>
      <c r="F2" s="22">
        <v>0</v>
      </c>
      <c r="G2" s="55">
        <v>0</v>
      </c>
      <c r="H2" s="111">
        <f>HighSchool_Space_Summary[[#This Row],[Proposed_Keep_Room_NFA]]*HighSchool_Space_Summary[[#This Row],[Proposed_Keep_'#_Rooms]]</f>
        <v>0</v>
      </c>
      <c r="I2" s="43"/>
      <c r="J2" s="54"/>
      <c r="K2" s="111">
        <f>HighSchool_Space_Summary[[#This Row],[Proposed_New_Room_NFA]]*HighSchool_Space_Summary[[#This Row],[Proposed_New_'#_Rooms]]</f>
        <v>0</v>
      </c>
      <c r="L2" s="112">
        <f>HighSchool_Space_Summary[[#This Row],[Proposed_Keep_Room_NFA]]+HighSchool_Space_Summary[[#This Row],[Proposed_New_Room_NFA]]</f>
        <v>0</v>
      </c>
      <c r="M2" s="112">
        <f>HighSchool_Space_Summary[[#This Row],[Proposed_Keep_'#_Rooms]]+HighSchool_Space_Summary[[#This Row],[Proposed_New_'#_Rooms]]</f>
        <v>0</v>
      </c>
      <c r="N2" s="112">
        <f>HighSchool_Space_Summary[[#This Row],[Proposed_Keep_Area_Totals]]+HighSchool_Space_Summary[[#This Row],[Proposed_New_Area_Totals]]</f>
        <v>0</v>
      </c>
      <c r="O2" s="43"/>
      <c r="P2" s="54"/>
      <c r="Q2" s="31"/>
      <c r="R2" s="46"/>
    </row>
    <row r="3" spans="1:18" x14ac:dyDescent="0.2">
      <c r="A3" s="9" t="s">
        <v>19</v>
      </c>
      <c r="B3" s="9" t="s">
        <v>21</v>
      </c>
      <c r="C3" s="22">
        <v>850</v>
      </c>
      <c r="D3" s="55">
        <v>15</v>
      </c>
      <c r="E3" s="113">
        <f>HighSchool_Space_Summary[[#This Row],[Existing_Room_NFA]]*HighSchool_Space_Summary[[#This Row],[Existing_'#_Rooms]]</f>
        <v>12750</v>
      </c>
      <c r="F3" s="22">
        <v>850</v>
      </c>
      <c r="G3" s="55">
        <v>15</v>
      </c>
      <c r="H3" s="113">
        <f>HighSchool_Space_Summary[[#This Row],[Proposed_Keep_Room_NFA]]*HighSchool_Space_Summary[[#This Row],[Proposed_Keep_'#_Rooms]]</f>
        <v>12750</v>
      </c>
      <c r="I3" s="22">
        <v>850</v>
      </c>
      <c r="J3" s="55">
        <v>220</v>
      </c>
      <c r="K3" s="113">
        <f>HighSchool_Space_Summary[[#This Row],[Proposed_New_Room_NFA]]*HighSchool_Space_Summary[[#This Row],[Proposed_New_'#_Rooms]]</f>
        <v>187000</v>
      </c>
      <c r="L3" s="114">
        <f>HighSchool_Space_Summary[[#This Row],[Proposed_Keep_Room_NFA]]+HighSchool_Space_Summary[[#This Row],[Proposed_New_Room_NFA]]</f>
        <v>1700</v>
      </c>
      <c r="M3" s="114">
        <f>HighSchool_Space_Summary[[#This Row],[Proposed_Keep_'#_Rooms]]+HighSchool_Space_Summary[[#This Row],[Proposed_New_'#_Rooms]]</f>
        <v>235</v>
      </c>
      <c r="N3" s="114">
        <f>HighSchool_Space_Summary[[#This Row],[Proposed_Keep_Area_Totals]]+HighSchool_Space_Summary[[#This Row],[Proposed_New_Area_Totals]]</f>
        <v>199750</v>
      </c>
      <c r="O3" s="22">
        <v>850</v>
      </c>
      <c r="P3" s="79" cm="1">
        <f t="array" ref="P3">IF(ROUNDUP((P6)/Academic_Section_Size!G3/(Instruction_Cycles!B5/Instruction_Cycles!B4),0)-P6-P14-P21-P22&lt;0,1,ROUNDUP((Enrollment_SQF[Total Enrollment])/Academic_Section_Size!G3/(Instruction_Cycles!B5/Instruction_Cycles!B4),0)-P6-P14-P21-P22)</f>
        <v>1</v>
      </c>
      <c r="Q3" s="117">
        <f t="shared" ref="Q3:Q8" si="0">P3*O3</f>
        <v>850</v>
      </c>
      <c r="R3" s="47" t="s">
        <v>22</v>
      </c>
    </row>
    <row r="4" spans="1:18" x14ac:dyDescent="0.2">
      <c r="A4" s="9" t="s">
        <v>19</v>
      </c>
      <c r="B4" s="9" t="s">
        <v>23</v>
      </c>
      <c r="C4" s="22">
        <v>100</v>
      </c>
      <c r="D4" s="55">
        <v>312</v>
      </c>
      <c r="E4" s="113">
        <f>HighSchool_Space_Summary[[#This Row],[Existing_Room_NFA]]*HighSchool_Space_Summary[[#This Row],[Existing_'#_Rooms]]</f>
        <v>31200</v>
      </c>
      <c r="F4" s="22">
        <v>81</v>
      </c>
      <c r="G4" s="55">
        <v>57</v>
      </c>
      <c r="H4" s="113">
        <f>HighSchool_Space_Summary[[#This Row],[Proposed_Keep_Room_NFA]]*HighSchool_Space_Summary[[#This Row],[Proposed_Keep_'#_Rooms]]</f>
        <v>4617</v>
      </c>
      <c r="I4" s="22">
        <v>19</v>
      </c>
      <c r="J4" s="55">
        <v>57</v>
      </c>
      <c r="K4" s="113">
        <f>HighSchool_Space_Summary[[#This Row],[Proposed_New_Room_NFA]]*HighSchool_Space_Summary[[#This Row],[Proposed_New_'#_Rooms]]</f>
        <v>1083</v>
      </c>
      <c r="L4" s="114">
        <f>HighSchool_Space_Summary[[#This Row],[Proposed_Keep_Room_NFA]]+HighSchool_Space_Summary[[#This Row],[Proposed_New_Room_NFA]]</f>
        <v>100</v>
      </c>
      <c r="M4" s="114">
        <f>HighSchool_Space_Summary[[#This Row],[Proposed_Keep_'#_Rooms]]+HighSchool_Space_Summary[[#This Row],[Proposed_New_'#_Rooms]]</f>
        <v>114</v>
      </c>
      <c r="N4" s="114">
        <f>HighSchool_Space_Summary[[#This Row],[Proposed_Keep_Area_Totals]]+HighSchool_Space_Summary[[#This Row],[Proposed_New_Area_Totals]]</f>
        <v>5700</v>
      </c>
      <c r="O4" s="22">
        <v>100</v>
      </c>
      <c r="P4" s="79">
        <f>P3</f>
        <v>1</v>
      </c>
      <c r="Q4" s="117">
        <f t="shared" si="0"/>
        <v>100</v>
      </c>
      <c r="R4" s="47"/>
    </row>
    <row r="5" spans="1:18" x14ac:dyDescent="0.2">
      <c r="A5" s="9" t="s">
        <v>19</v>
      </c>
      <c r="B5" s="9" t="s">
        <v>24</v>
      </c>
      <c r="C5" s="5">
        <v>36</v>
      </c>
      <c r="D5" s="56">
        <v>8</v>
      </c>
      <c r="E5" s="123">
        <f>HighSchool_Space_Summary[[#This Row],[Existing_Room_NFA]]*HighSchool_Space_Summary[[#This Row],[Existing_'#_Rooms]]</f>
        <v>288</v>
      </c>
      <c r="F5" s="5">
        <v>5</v>
      </c>
      <c r="G5" s="56">
        <v>20</v>
      </c>
      <c r="H5" s="123">
        <f>HighSchool_Space_Summary[[#This Row],[Proposed_Keep_Room_NFA]]*HighSchool_Space_Summary[[#This Row],[Proposed_Keep_'#_Rooms]]</f>
        <v>100</v>
      </c>
      <c r="I5" s="5">
        <v>25</v>
      </c>
      <c r="J5" s="56">
        <v>10</v>
      </c>
      <c r="K5" s="113">
        <f>HighSchool_Space_Summary[[#This Row],[Proposed_New_Room_NFA]]*HighSchool_Space_Summary[[#This Row],[Proposed_New_'#_Rooms]]</f>
        <v>250</v>
      </c>
      <c r="L5" s="114">
        <f>HighSchool_Space_Summary[[#This Row],[Proposed_Keep_Room_NFA]]+HighSchool_Space_Summary[[#This Row],[Proposed_New_Room_NFA]]</f>
        <v>30</v>
      </c>
      <c r="M5" s="114">
        <f>HighSchool_Space_Summary[[#This Row],[Proposed_Keep_'#_Rooms]]+HighSchool_Space_Summary[[#This Row],[Proposed_New_'#_Rooms]]</f>
        <v>30</v>
      </c>
      <c r="N5" s="114">
        <f>HighSchool_Space_Summary[[#This Row],[Proposed_Keep_Area_Totals]]+HighSchool_Space_Summary[[#This Row],[Proposed_New_Area_Totals]]</f>
        <v>350</v>
      </c>
      <c r="O5" s="5">
        <v>500</v>
      </c>
      <c r="P5" s="116">
        <f>ROUNDUP(Q72/500,0)</f>
        <v>4</v>
      </c>
      <c r="Q5" s="117">
        <f t="shared" si="0"/>
        <v>2000</v>
      </c>
      <c r="R5" s="46"/>
    </row>
    <row r="6" spans="1:18" s="4" customFormat="1" ht="12" customHeight="1" x14ac:dyDescent="0.2">
      <c r="A6" s="9" t="s">
        <v>19</v>
      </c>
      <c r="B6" s="9" t="s">
        <v>25</v>
      </c>
      <c r="C6" s="5">
        <v>1440</v>
      </c>
      <c r="D6" s="56">
        <v>2</v>
      </c>
      <c r="E6" s="123">
        <f>HighSchool_Space_Summary[[#This Row],[Existing_Room_NFA]]*HighSchool_Space_Summary[[#This Row],[Existing_'#_Rooms]]</f>
        <v>2880</v>
      </c>
      <c r="F6" s="5">
        <v>1440</v>
      </c>
      <c r="G6" s="56">
        <v>2</v>
      </c>
      <c r="H6" s="123">
        <f>HighSchool_Space_Summary[[#This Row],[Proposed_Keep_Room_NFA]]*HighSchool_Space_Summary[[#This Row],[Proposed_Keep_'#_Rooms]]</f>
        <v>2880</v>
      </c>
      <c r="I6" s="5">
        <v>1440</v>
      </c>
      <c r="J6" s="56">
        <v>11</v>
      </c>
      <c r="K6" s="113">
        <f>HighSchool_Space_Summary[[#This Row],[Proposed_New_Room_NFA]]*HighSchool_Space_Summary[[#This Row],[Proposed_New_'#_Rooms]]</f>
        <v>15840</v>
      </c>
      <c r="L6" s="114">
        <f>HighSchool_Space_Summary[[#This Row],[Proposed_Keep_Room_NFA]]+HighSchool_Space_Summary[[#This Row],[Proposed_New_Room_NFA]]</f>
        <v>2880</v>
      </c>
      <c r="M6" s="114">
        <f>HighSchool_Space_Summary[[#This Row],[Proposed_Keep_'#_Rooms]]+HighSchool_Space_Summary[[#This Row],[Proposed_New_'#_Rooms]]</f>
        <v>13</v>
      </c>
      <c r="N6" s="114">
        <f>HighSchool_Space_Summary[[#This Row],[Proposed_Keep_Area_Totals]]+HighSchool_Space_Summary[[#This Row],[Proposed_New_Area_Totals]]</f>
        <v>18720</v>
      </c>
      <c r="O6" s="5">
        <v>1440</v>
      </c>
      <c r="P6" s="116" cm="1">
        <f t="array" ref="P6">ROUNDUP(((Enrollment_SQF[Total Enrollment]/Academic_Section_Size!G6/(Instruction_Cycles!B5/Instruction_Cycles!B4)))*(Instruction_Cycles!B2/Instruction_Cycles!B3),0)</f>
        <v>11</v>
      </c>
      <c r="Q6" s="117">
        <f t="shared" si="0"/>
        <v>15840</v>
      </c>
      <c r="R6" s="46" t="s">
        <v>26</v>
      </c>
    </row>
    <row r="7" spans="1:18" s="4" customFormat="1" x14ac:dyDescent="0.2">
      <c r="A7" s="9" t="s">
        <v>19</v>
      </c>
      <c r="B7" s="9" t="s">
        <v>27</v>
      </c>
      <c r="C7" s="5"/>
      <c r="D7" s="56"/>
      <c r="E7" s="123">
        <f>HighSchool_Space_Summary[[#This Row],[Existing_Room_NFA]]*HighSchool_Space_Summary[[#This Row],[Existing_'#_Rooms]]</f>
        <v>0</v>
      </c>
      <c r="F7" s="5"/>
      <c r="G7" s="56"/>
      <c r="H7" s="123">
        <f>HighSchool_Space_Summary[[#This Row],[Proposed_Keep_Room_NFA]]*HighSchool_Space_Summary[[#This Row],[Proposed_Keep_'#_Rooms]]</f>
        <v>0</v>
      </c>
      <c r="I7" s="5"/>
      <c r="J7" s="56"/>
      <c r="K7" s="113">
        <f>HighSchool_Space_Summary[[#This Row],[Proposed_New_Room_NFA]]*HighSchool_Space_Summary[[#This Row],[Proposed_New_'#_Rooms]]</f>
        <v>0</v>
      </c>
      <c r="L7" s="114">
        <f>HighSchool_Space_Summary[[#This Row],[Proposed_Keep_Room_NFA]]+HighSchool_Space_Summary[[#This Row],[Proposed_New_Room_NFA]]</f>
        <v>0</v>
      </c>
      <c r="M7" s="114">
        <f>HighSchool_Space_Summary[[#This Row],[Proposed_Keep_'#_Rooms]]+HighSchool_Space_Summary[[#This Row],[Proposed_New_'#_Rooms]]</f>
        <v>0</v>
      </c>
      <c r="N7" s="114">
        <f>HighSchool_Space_Summary[[#This Row],[Proposed_Keep_Area_Totals]]+HighSchool_Space_Summary[[#This Row],[Proposed_New_Area_Totals]]</f>
        <v>0</v>
      </c>
      <c r="O7" s="5">
        <v>200</v>
      </c>
      <c r="P7" s="116">
        <f>ROUNDUP(P6/2,0)</f>
        <v>6</v>
      </c>
      <c r="Q7" s="117">
        <f t="shared" si="0"/>
        <v>1200</v>
      </c>
      <c r="R7" s="46"/>
    </row>
    <row r="8" spans="1:18" s="4" customFormat="1" x14ac:dyDescent="0.2">
      <c r="A8" s="9" t="s">
        <v>19</v>
      </c>
      <c r="B8" s="15" t="s">
        <v>28</v>
      </c>
      <c r="C8" s="21"/>
      <c r="D8" s="57"/>
      <c r="E8" s="124">
        <f>HighSchool_Space_Summary[[#This Row],[Existing_Room_NFA]]*HighSchool_Space_Summary[[#This Row],[Existing_'#_Rooms]]</f>
        <v>0</v>
      </c>
      <c r="F8" s="21"/>
      <c r="G8" s="57"/>
      <c r="H8" s="124">
        <f>HighSchool_Space_Summary[[#This Row],[Proposed_Keep_Room_NFA]]*HighSchool_Space_Summary[[#This Row],[Proposed_Keep_'#_Rooms]]</f>
        <v>0</v>
      </c>
      <c r="I8" s="21"/>
      <c r="J8" s="57"/>
      <c r="K8" s="113">
        <f>HighSchool_Space_Summary[[#This Row],[Proposed_New_Room_NFA]]*HighSchool_Space_Summary[[#This Row],[Proposed_New_'#_Rooms]]</f>
        <v>0</v>
      </c>
      <c r="L8" s="115">
        <f>HighSchool_Space_Summary[[#This Row],[Proposed_Keep_Room_NFA]]+HighSchool_Space_Summary[[#This Row],[Proposed_New_Room_NFA]]</f>
        <v>0</v>
      </c>
      <c r="M8" s="115">
        <f>HighSchool_Space_Summary[[#This Row],[Proposed_Keep_'#_Rooms]]+HighSchool_Space_Summary[[#This Row],[Proposed_New_'#_Rooms]]</f>
        <v>0</v>
      </c>
      <c r="N8" s="115">
        <f>HighSchool_Space_Summary[[#This Row],[Proposed_Keep_Area_Totals]]+HighSchool_Space_Summary[[#This Row],[Proposed_New_Area_Totals]]</f>
        <v>0</v>
      </c>
      <c r="O8" s="21">
        <v>200</v>
      </c>
      <c r="P8" s="57">
        <v>1</v>
      </c>
      <c r="Q8" s="117">
        <f t="shared" si="0"/>
        <v>200</v>
      </c>
      <c r="R8" s="48"/>
    </row>
    <row r="9" spans="1:18" s="4" customFormat="1" ht="12.75" x14ac:dyDescent="0.25">
      <c r="A9" s="9" t="s">
        <v>29</v>
      </c>
      <c r="B9" s="33" t="s">
        <v>20</v>
      </c>
      <c r="C9" s="43"/>
      <c r="D9" s="56"/>
      <c r="E9" s="123">
        <f>HighSchool_Space_Summary[[#This Row],[Existing_Room_NFA]]*HighSchool_Space_Summary[[#This Row],[Existing_'#_Rooms]]</f>
        <v>0</v>
      </c>
      <c r="F9" s="5"/>
      <c r="G9" s="56"/>
      <c r="H9" s="111">
        <f>HighSchool_Space_Summary[[#This Row],[Proposed_Keep_Room_NFA]]*HighSchool_Space_Summary[[#This Row],[Proposed_Keep_'#_Rooms]]</f>
        <v>0</v>
      </c>
      <c r="I9" s="43"/>
      <c r="J9" s="54"/>
      <c r="K9" s="111">
        <f>HighSchool_Space_Summary[[#This Row],[Proposed_New_Room_NFA]]*HighSchool_Space_Summary[[#This Row],[Proposed_New_'#_Rooms]]</f>
        <v>0</v>
      </c>
      <c r="L9" s="112">
        <f>HighSchool_Space_Summary[[#This Row],[Proposed_Keep_Room_NFA]]+HighSchool_Space_Summary[[#This Row],[Proposed_New_Room_NFA]]</f>
        <v>0</v>
      </c>
      <c r="M9" s="112">
        <f>HighSchool_Space_Summary[[#This Row],[Proposed_Keep_'#_Rooms]]+HighSchool_Space_Summary[[#This Row],[Proposed_New_'#_Rooms]]</f>
        <v>0</v>
      </c>
      <c r="N9" s="112">
        <f>HighSchool_Space_Summary[[#This Row],[Proposed_Keep_Area_Totals]]+HighSchool_Space_Summary[[#This Row],[Proposed_New_Area_Totals]]</f>
        <v>0</v>
      </c>
      <c r="O9" s="43"/>
      <c r="P9" s="54"/>
      <c r="Q9" s="31"/>
      <c r="R9" s="46"/>
    </row>
    <row r="10" spans="1:18" x14ac:dyDescent="0.2">
      <c r="A10" s="9" t="s">
        <v>29</v>
      </c>
      <c r="B10" s="6" t="s">
        <v>30</v>
      </c>
      <c r="C10" s="22"/>
      <c r="D10" s="56"/>
      <c r="E10" s="123">
        <f>HighSchool_Space_Summary[[#This Row],[Existing_Room_NFA]]*HighSchool_Space_Summary[[#This Row],[Existing_'#_Rooms]]</f>
        <v>0</v>
      </c>
      <c r="F10" s="5"/>
      <c r="G10" s="56"/>
      <c r="H10" s="113">
        <f>HighSchool_Space_Summary[[#This Row],[Proposed_Keep_Room_NFA]]*HighSchool_Space_Summary[[#This Row],[Proposed_Keep_'#_Rooms]]</f>
        <v>0</v>
      </c>
      <c r="I10" s="22"/>
      <c r="J10" s="55"/>
      <c r="K10" s="113">
        <f>HighSchool_Space_Summary[[#This Row],[Proposed_New_Room_NFA]]*HighSchool_Space_Summary[[#This Row],[Proposed_New_'#_Rooms]]</f>
        <v>0</v>
      </c>
      <c r="L10" s="114">
        <f>HighSchool_Space_Summary[[#This Row],[Proposed_Keep_Room_NFA]]+HighSchool_Space_Summary[[#This Row],[Proposed_New_Room_NFA]]</f>
        <v>0</v>
      </c>
      <c r="M10" s="114">
        <f>HighSchool_Space_Summary[[#This Row],[Proposed_Keep_'#_Rooms]]+HighSchool_Space_Summary[[#This Row],[Proposed_New_'#_Rooms]]</f>
        <v>0</v>
      </c>
      <c r="N10" s="114">
        <f>HighSchool_Space_Summary[[#This Row],[Proposed_Keep_Area_Totals]]+HighSchool_Space_Summary[[#This Row],[Proposed_New_Area_Totals]]</f>
        <v>0</v>
      </c>
      <c r="O10" s="22">
        <v>950</v>
      </c>
      <c r="P10" s="79">
        <f>ROUNDUP(Special_Education_Student_Input!B2/Special_Education_Student_Input!B3,0)</f>
        <v>12</v>
      </c>
      <c r="Q10" s="117">
        <f>P10*O10</f>
        <v>11400</v>
      </c>
      <c r="R10" s="47" t="s">
        <v>31</v>
      </c>
    </row>
    <row r="11" spans="1:18" x14ac:dyDescent="0.2">
      <c r="A11" s="9" t="s">
        <v>29</v>
      </c>
      <c r="B11" s="6" t="s">
        <v>32</v>
      </c>
      <c r="C11" s="5"/>
      <c r="D11" s="56"/>
      <c r="E11" s="123">
        <f>HighSchool_Space_Summary[[#This Row],[Existing_Room_NFA]]*HighSchool_Space_Summary[[#This Row],[Existing_'#_Rooms]]</f>
        <v>0</v>
      </c>
      <c r="F11" s="5"/>
      <c r="G11" s="56"/>
      <c r="H11" s="123">
        <f>HighSchool_Space_Summary[[#This Row],[Proposed_Keep_Room_NFA]]*HighSchool_Space_Summary[[#This Row],[Proposed_Keep_'#_Rooms]]</f>
        <v>0</v>
      </c>
      <c r="I11" s="5"/>
      <c r="J11" s="56"/>
      <c r="K11" s="113">
        <f>HighSchool_Space_Summary[[#This Row],[Proposed_New_Room_NFA]]*HighSchool_Space_Summary[[#This Row],[Proposed_New_'#_Rooms]]</f>
        <v>0</v>
      </c>
      <c r="L11" s="114">
        <f>HighSchool_Space_Summary[[#This Row],[Proposed_Keep_Room_NFA]]+HighSchool_Space_Summary[[#This Row],[Proposed_New_Room_NFA]]</f>
        <v>0</v>
      </c>
      <c r="M11" s="114">
        <f>HighSchool_Space_Summary[[#This Row],[Proposed_Keep_'#_Rooms]]+HighSchool_Space_Summary[[#This Row],[Proposed_New_'#_Rooms]]</f>
        <v>0</v>
      </c>
      <c r="N11" s="114">
        <f>HighSchool_Space_Summary[[#This Row],[Proposed_Keep_Area_Totals]]+HighSchool_Space_Summary[[#This Row],[Proposed_New_Area_Totals]]</f>
        <v>0</v>
      </c>
      <c r="O11" s="5">
        <v>60</v>
      </c>
      <c r="P11" s="116">
        <f>P10</f>
        <v>12</v>
      </c>
      <c r="Q11" s="117">
        <f>P11*O11</f>
        <v>720</v>
      </c>
      <c r="R11" s="46"/>
    </row>
    <row r="12" spans="1:18" s="4" customFormat="1" x14ac:dyDescent="0.2">
      <c r="A12" s="9" t="s">
        <v>29</v>
      </c>
      <c r="B12" s="9" t="s">
        <v>33</v>
      </c>
      <c r="C12" s="5"/>
      <c r="D12" s="56"/>
      <c r="E12" s="123">
        <f>HighSchool_Space_Summary[[#This Row],[Existing_Room_NFA]]*HighSchool_Space_Summary[[#This Row],[Existing_'#_Rooms]]</f>
        <v>0</v>
      </c>
      <c r="F12" s="5"/>
      <c r="G12" s="56"/>
      <c r="H12" s="123">
        <f>HighSchool_Space_Summary[[#This Row],[Proposed_Keep_Room_NFA]]*HighSchool_Space_Summary[[#This Row],[Proposed_Keep_'#_Rooms]]</f>
        <v>0</v>
      </c>
      <c r="I12" s="5"/>
      <c r="J12" s="56"/>
      <c r="K12" s="113">
        <f>HighSchool_Space_Summary[[#This Row],[Proposed_New_Room_NFA]]*HighSchool_Space_Summary[[#This Row],[Proposed_New_'#_Rooms]]</f>
        <v>0</v>
      </c>
      <c r="L12" s="114">
        <f>HighSchool_Space_Summary[[#This Row],[Proposed_Keep_Room_NFA]]+HighSchool_Space_Summary[[#This Row],[Proposed_New_Room_NFA]]</f>
        <v>0</v>
      </c>
      <c r="M12" s="114">
        <f>HighSchool_Space_Summary[[#This Row],[Proposed_Keep_'#_Rooms]]+HighSchool_Space_Summary[[#This Row],[Proposed_New_'#_Rooms]]</f>
        <v>0</v>
      </c>
      <c r="N12" s="114">
        <f>HighSchool_Space_Summary[[#This Row],[Proposed_Keep_Area_Totals]]+HighSchool_Space_Summary[[#This Row],[Proposed_New_Area_Totals]]</f>
        <v>0</v>
      </c>
      <c r="O12" s="5">
        <v>500</v>
      </c>
      <c r="P12" s="118" cm="1">
        <f t="array" ref="P12">2+ROUNDUP(((Enrollment_SQF[Total Enrollment]+Special_Education_Student_Input!B2)-600)/400,0)</f>
        <v>5</v>
      </c>
      <c r="Q12" s="117">
        <f>P12*O12</f>
        <v>2500</v>
      </c>
      <c r="R12" s="46" t="s">
        <v>34</v>
      </c>
    </row>
    <row r="13" spans="1:18" s="4" customFormat="1" x14ac:dyDescent="0.2">
      <c r="A13" s="9" t="s">
        <v>29</v>
      </c>
      <c r="B13" s="9" t="s">
        <v>35</v>
      </c>
      <c r="C13" s="5"/>
      <c r="D13" s="56"/>
      <c r="E13" s="123">
        <f>HighSchool_Space_Summary[[#This Row],[Existing_Room_NFA]]*HighSchool_Space_Summary[[#This Row],[Existing_'#_Rooms]]</f>
        <v>0</v>
      </c>
      <c r="F13" s="5"/>
      <c r="G13" s="56"/>
      <c r="H13" s="123">
        <f>HighSchool_Space_Summary[[#This Row],[Proposed_Keep_Room_NFA]]*HighSchool_Space_Summary[[#This Row],[Proposed_Keep_'#_Rooms]]</f>
        <v>0</v>
      </c>
      <c r="I13" s="5"/>
      <c r="J13" s="56"/>
      <c r="K13" s="113">
        <f>HighSchool_Space_Summary[[#This Row],[Proposed_New_Room_NFA]]*HighSchool_Space_Summary[[#This Row],[Proposed_New_'#_Rooms]]</f>
        <v>0</v>
      </c>
      <c r="L13" s="114">
        <f>HighSchool_Space_Summary[[#This Row],[Proposed_Keep_Room_NFA]]+HighSchool_Space_Summary[[#This Row],[Proposed_New_Room_NFA]]</f>
        <v>0</v>
      </c>
      <c r="M13" s="114">
        <f>HighSchool_Space_Summary[[#This Row],[Proposed_Keep_'#_Rooms]]+HighSchool_Space_Summary[[#This Row],[Proposed_New_'#_Rooms]]</f>
        <v>0</v>
      </c>
      <c r="N13" s="114">
        <f>HighSchool_Space_Summary[[#This Row],[Proposed_Keep_Area_Totals]]+HighSchool_Space_Summary[[#This Row],[Proposed_New_Area_Totals]]</f>
        <v>0</v>
      </c>
      <c r="O13" s="5">
        <v>500</v>
      </c>
      <c r="P13" s="118" cm="1">
        <f t="array" ref="P13">2+ROUNDUP(((Enrollment_SQF[Total Enrollment]+Special_Education_Student_Input!B2)-600)/400,0)</f>
        <v>5</v>
      </c>
      <c r="Q13" s="117">
        <f>P13*O13</f>
        <v>2500</v>
      </c>
      <c r="R13" s="46" t="s">
        <v>34</v>
      </c>
    </row>
    <row r="14" spans="1:18" s="4" customFormat="1" x14ac:dyDescent="0.2">
      <c r="A14" s="9" t="s">
        <v>36</v>
      </c>
      <c r="B14" s="9" t="s">
        <v>37</v>
      </c>
      <c r="C14" s="22"/>
      <c r="D14" s="56"/>
      <c r="E14" s="125">
        <f>HighSchool_Space_Summary[[#This Row],[Existing_Room_NFA]]*HighSchool_Space_Summary[[#This Row],[Existing_'#_Rooms]]</f>
        <v>0</v>
      </c>
      <c r="F14" s="5"/>
      <c r="G14" s="56"/>
      <c r="H14" s="127">
        <f>HighSchool_Space_Summary[[#This Row],[Proposed_Keep_Room_NFA]]*HighSchool_Space_Summary[[#This Row],[Proposed_Keep_'#_Rooms]]</f>
        <v>0</v>
      </c>
      <c r="I14" s="22"/>
      <c r="J14" s="55"/>
      <c r="K14" s="113">
        <f>HighSchool_Space_Summary[[#This Row],[Proposed_New_Room_NFA]]*HighSchool_Space_Summary[[#This Row],[Proposed_New_'#_Rooms]]</f>
        <v>0</v>
      </c>
      <c r="L14" s="114">
        <f>HighSchool_Space_Summary[[#This Row],[Proposed_Keep_Room_NFA]]+HighSchool_Space_Summary[[#This Row],[Proposed_New_Room_NFA]]</f>
        <v>0</v>
      </c>
      <c r="M14" s="114">
        <f>HighSchool_Space_Summary[[#This Row],[Proposed_Keep_'#_Rooms]]+HighSchool_Space_Summary[[#This Row],[Proposed_New_'#_Rooms]]</f>
        <v>0</v>
      </c>
      <c r="N14" s="114">
        <f>HighSchool_Space_Summary[[#This Row],[Proposed_Keep_Area_Totals]]+HighSchool_Space_Summary[[#This Row],[Proposed_New_Area_Totals]]</f>
        <v>0</v>
      </c>
      <c r="O14" s="22">
        <v>1200</v>
      </c>
      <c r="P14" s="79" cm="1">
        <f t="array" ref="P14">ROUNDUP(((Enrollment_SQF[Total Enrollment]*Academic_Section_Size!H9/Academic_Section_Size!G9))*(Instruction_Cycles!B2/Instruction_Cycles!B3),0)</f>
        <v>3</v>
      </c>
      <c r="Q14" s="117">
        <f t="shared" ref="Q14:Q20" si="1">P14*O14</f>
        <v>3600</v>
      </c>
      <c r="R14" s="47" t="s">
        <v>38</v>
      </c>
    </row>
    <row r="15" spans="1:18" s="4" customFormat="1" x14ac:dyDescent="0.2">
      <c r="A15" s="9" t="s">
        <v>36</v>
      </c>
      <c r="B15" s="9" t="s">
        <v>39</v>
      </c>
      <c r="C15" s="5"/>
      <c r="D15" s="56"/>
      <c r="E15" s="125">
        <f>HighSchool_Space_Summary[[#This Row],[Existing_Room_NFA]]*HighSchool_Space_Summary[[#This Row],[Existing_'#_Rooms]]</f>
        <v>0</v>
      </c>
      <c r="F15" s="5"/>
      <c r="G15" s="56"/>
      <c r="H15" s="125">
        <f>HighSchool_Space_Summary[[#This Row],[Proposed_Keep_Room_NFA]]*HighSchool_Space_Summary[[#This Row],[Proposed_Keep_'#_Rooms]]</f>
        <v>0</v>
      </c>
      <c r="I15" s="5"/>
      <c r="J15" s="56"/>
      <c r="K15" s="113">
        <f>HighSchool_Space_Summary[[#This Row],[Proposed_New_Room_NFA]]*HighSchool_Space_Summary[[#This Row],[Proposed_New_'#_Rooms]]</f>
        <v>0</v>
      </c>
      <c r="L15" s="114">
        <f>HighSchool_Space_Summary[[#This Row],[Proposed_Keep_Room_NFA]]+HighSchool_Space_Summary[[#This Row],[Proposed_New_Room_NFA]]</f>
        <v>0</v>
      </c>
      <c r="M15" s="114">
        <f>HighSchool_Space_Summary[[#This Row],[Proposed_Keep_'#_Rooms]]+HighSchool_Space_Summary[[#This Row],[Proposed_New_'#_Rooms]]</f>
        <v>0</v>
      </c>
      <c r="N15" s="114">
        <f>HighSchool_Space_Summary[[#This Row],[Proposed_Keep_Area_Totals]]+HighSchool_Space_Summary[[#This Row],[Proposed_New_Area_Totals]]</f>
        <v>0</v>
      </c>
      <c r="O15" s="5">
        <v>150</v>
      </c>
      <c r="P15" s="116">
        <f>P14</f>
        <v>3</v>
      </c>
      <c r="Q15" s="117">
        <f t="shared" si="1"/>
        <v>450</v>
      </c>
      <c r="R15" s="46"/>
    </row>
    <row r="16" spans="1:18" s="4" customFormat="1" x14ac:dyDescent="0.2">
      <c r="A16" s="9" t="s">
        <v>36</v>
      </c>
      <c r="B16" s="9" t="s">
        <v>40</v>
      </c>
      <c r="C16" s="5"/>
      <c r="D16" s="56"/>
      <c r="E16" s="125">
        <f>HighSchool_Space_Summary[[#This Row],[Existing_Room_NFA]]*HighSchool_Space_Summary[[#This Row],[Existing_'#_Rooms]]</f>
        <v>0</v>
      </c>
      <c r="F16" s="5"/>
      <c r="G16" s="56"/>
      <c r="H16" s="125">
        <f>HighSchool_Space_Summary[[#This Row],[Proposed_Keep_Room_NFA]]*HighSchool_Space_Summary[[#This Row],[Proposed_Keep_'#_Rooms]]</f>
        <v>0</v>
      </c>
      <c r="I16" s="5"/>
      <c r="J16" s="56"/>
      <c r="K16" s="113">
        <f>HighSchool_Space_Summary[[#This Row],[Proposed_New_Room_NFA]]*HighSchool_Space_Summary[[#This Row],[Proposed_New_'#_Rooms]]</f>
        <v>0</v>
      </c>
      <c r="L16" s="114">
        <f>HighSchool_Space_Summary[[#This Row],[Proposed_Keep_Room_NFA]]+HighSchool_Space_Summary[[#This Row],[Proposed_New_Room_NFA]]</f>
        <v>0</v>
      </c>
      <c r="M16" s="114">
        <f>HighSchool_Space_Summary[[#This Row],[Proposed_Keep_'#_Rooms]]+HighSchool_Space_Summary[[#This Row],[Proposed_New_'#_Rooms]]</f>
        <v>0</v>
      </c>
      <c r="N16" s="114">
        <f>HighSchool_Space_Summary[[#This Row],[Proposed_Keep_Area_Totals]]+HighSchool_Space_Summary[[#This Row],[Proposed_New_Area_Totals]]</f>
        <v>0</v>
      </c>
      <c r="O16" s="5">
        <v>1500</v>
      </c>
      <c r="P16" s="79" cm="1">
        <f t="array" ref="P16">ROUNDUP(((Enrollment_SQF[Total Enrollment]*Academic_Section_Size!H10/Academic_Section_Size!G10))*(Instruction_Cycles!B2/Instruction_Cycles!B3),0)</f>
        <v>1</v>
      </c>
      <c r="Q16" s="117">
        <f t="shared" si="1"/>
        <v>1500</v>
      </c>
      <c r="R16" s="46" t="s">
        <v>38</v>
      </c>
    </row>
    <row r="17" spans="1:18" s="4" customFormat="1" x14ac:dyDescent="0.2">
      <c r="A17" s="9" t="s">
        <v>36</v>
      </c>
      <c r="B17" s="9" t="s">
        <v>41</v>
      </c>
      <c r="C17" s="5"/>
      <c r="D17" s="56"/>
      <c r="E17" s="125">
        <f>HighSchool_Space_Summary[[#This Row],[Existing_Room_NFA]]*HighSchool_Space_Summary[[#This Row],[Existing_'#_Rooms]]</f>
        <v>0</v>
      </c>
      <c r="F17" s="5"/>
      <c r="G17" s="56"/>
      <c r="H17" s="125">
        <f>HighSchool_Space_Summary[[#This Row],[Proposed_Keep_Room_NFA]]*HighSchool_Space_Summary[[#This Row],[Proposed_Keep_'#_Rooms]]</f>
        <v>0</v>
      </c>
      <c r="I17" s="5"/>
      <c r="J17" s="56"/>
      <c r="K17" s="113">
        <f>HighSchool_Space_Summary[[#This Row],[Proposed_New_Room_NFA]]*HighSchool_Space_Summary[[#This Row],[Proposed_New_'#_Rooms]]</f>
        <v>0</v>
      </c>
      <c r="L17" s="114">
        <f>HighSchool_Space_Summary[[#This Row],[Proposed_Keep_Room_NFA]]+HighSchool_Space_Summary[[#This Row],[Proposed_New_Room_NFA]]</f>
        <v>0</v>
      </c>
      <c r="M17" s="114">
        <f>HighSchool_Space_Summary[[#This Row],[Proposed_Keep_'#_Rooms]]+HighSchool_Space_Summary[[#This Row],[Proposed_New_'#_Rooms]]</f>
        <v>0</v>
      </c>
      <c r="N17" s="114">
        <f>HighSchool_Space_Summary[[#This Row],[Proposed_Keep_Area_Totals]]+HighSchool_Space_Summary[[#This Row],[Proposed_New_Area_Totals]]</f>
        <v>0</v>
      </c>
      <c r="O17" s="5">
        <v>1500</v>
      </c>
      <c r="P17" s="79" cm="1">
        <f t="array" ref="P17">ROUNDUP(((Enrollment_SQF[Total Enrollment]*Academic_Section_Size!H10/Academic_Section_Size!G10))*(Instruction_Cycles!$B$2/Instruction_Cycles!$B$3),0)</f>
        <v>1</v>
      </c>
      <c r="Q17" s="117">
        <f t="shared" si="1"/>
        <v>1500</v>
      </c>
      <c r="R17" s="46"/>
    </row>
    <row r="18" spans="1:18" s="4" customFormat="1" x14ac:dyDescent="0.2">
      <c r="A18" s="9" t="s">
        <v>36</v>
      </c>
      <c r="B18" s="15" t="s">
        <v>42</v>
      </c>
      <c r="C18" s="45"/>
      <c r="D18" s="56"/>
      <c r="E18" s="125">
        <f>HighSchool_Space_Summary[[#This Row],[Existing_Room_NFA]]*HighSchool_Space_Summary[[#This Row],[Existing_'#_Rooms]]</f>
        <v>0</v>
      </c>
      <c r="F18" s="5"/>
      <c r="G18" s="56"/>
      <c r="H18" s="125">
        <f>HighSchool_Space_Summary[[#This Row],[Proposed_Keep_Room_NFA]]*HighSchool_Space_Summary[[#This Row],[Proposed_Keep_'#_Rooms]]</f>
        <v>0</v>
      </c>
      <c r="I18" s="5"/>
      <c r="J18" s="56"/>
      <c r="K18" s="113">
        <f>HighSchool_Space_Summary[[#This Row],[Proposed_New_Room_NFA]]*HighSchool_Space_Summary[[#This Row],[Proposed_New_'#_Rooms]]</f>
        <v>0</v>
      </c>
      <c r="L18" s="114">
        <f>HighSchool_Space_Summary[[#This Row],[Proposed_Keep_Room_NFA]]+HighSchool_Space_Summary[[#This Row],[Proposed_New_Room_NFA]]</f>
        <v>0</v>
      </c>
      <c r="M18" s="114">
        <f>HighSchool_Space_Summary[[#This Row],[Proposed_Keep_'#_Rooms]]+HighSchool_Space_Summary[[#This Row],[Proposed_New_'#_Rooms]]</f>
        <v>0</v>
      </c>
      <c r="N18" s="114">
        <f>HighSchool_Space_Summary[[#This Row],[Proposed_Keep_Area_Totals]]+HighSchool_Space_Summary[[#This Row],[Proposed_New_Area_Totals]]</f>
        <v>0</v>
      </c>
      <c r="O18" s="5">
        <v>200</v>
      </c>
      <c r="P18" s="56">
        <v>1</v>
      </c>
      <c r="Q18" s="117">
        <f t="shared" si="1"/>
        <v>200</v>
      </c>
      <c r="R18" s="46"/>
    </row>
    <row r="19" spans="1:18" s="4" customFormat="1" x14ac:dyDescent="0.2">
      <c r="A19" s="9" t="s">
        <v>36</v>
      </c>
      <c r="B19" s="9" t="s">
        <v>43</v>
      </c>
      <c r="C19" s="45"/>
      <c r="D19" s="56"/>
      <c r="E19" s="125">
        <f>HighSchool_Space_Summary[[#This Row],[Existing_Room_NFA]]*HighSchool_Space_Summary[[#This Row],[Existing_'#_Rooms]]</f>
        <v>0</v>
      </c>
      <c r="F19" s="5"/>
      <c r="G19" s="56"/>
      <c r="H19" s="125">
        <f>HighSchool_Space_Summary[[#This Row],[Proposed_Keep_Room_NFA]]*HighSchool_Space_Summary[[#This Row],[Proposed_Keep_'#_Rooms]]</f>
        <v>0</v>
      </c>
      <c r="I19" s="5"/>
      <c r="J19" s="56"/>
      <c r="K19" s="113">
        <f>HighSchool_Space_Summary[[#This Row],[Proposed_New_Room_NFA]]*HighSchool_Space_Summary[[#This Row],[Proposed_New_'#_Rooms]]</f>
        <v>0</v>
      </c>
      <c r="L19" s="114">
        <f>HighSchool_Space_Summary[[#This Row],[Proposed_Keep_Room_NFA]]+HighSchool_Space_Summary[[#This Row],[Proposed_New_Room_NFA]]</f>
        <v>0</v>
      </c>
      <c r="M19" s="114">
        <f>HighSchool_Space_Summary[[#This Row],[Proposed_Keep_'#_Rooms]]+HighSchool_Space_Summary[[#This Row],[Proposed_New_'#_Rooms]]</f>
        <v>0</v>
      </c>
      <c r="N19" s="114">
        <f>HighSchool_Space_Summary[[#This Row],[Proposed_Keep_Area_Totals]]+HighSchool_Space_Summary[[#This Row],[Proposed_New_Area_Totals]]</f>
        <v>0</v>
      </c>
      <c r="O19" s="5">
        <v>75</v>
      </c>
      <c r="P19" s="116">
        <f>IF(2+ROUNDUP((Q72-600)/200,0)=-1,0,(2+ROUNDUP((Q72-600)/200,0)))</f>
        <v>7</v>
      </c>
      <c r="Q19" s="117">
        <f t="shared" si="1"/>
        <v>525</v>
      </c>
      <c r="R19" s="46"/>
    </row>
    <row r="20" spans="1:18" s="4" customFormat="1" x14ac:dyDescent="0.2">
      <c r="A20" s="9" t="s">
        <v>36</v>
      </c>
      <c r="B20" s="15" t="s">
        <v>44</v>
      </c>
      <c r="C20" s="44"/>
      <c r="D20" s="56"/>
      <c r="E20" s="125">
        <f>HighSchool_Space_Summary[[#This Row],[Existing_Room_NFA]]*HighSchool_Space_Summary[[#This Row],[Existing_'#_Rooms]]</f>
        <v>0</v>
      </c>
      <c r="F20" s="5"/>
      <c r="G20" s="56"/>
      <c r="H20" s="128">
        <f>HighSchool_Space_Summary[[#This Row],[Proposed_Keep_Room_NFA]]*HighSchool_Space_Summary[[#This Row],[Proposed_Keep_'#_Rooms]]</f>
        <v>0</v>
      </c>
      <c r="I20" s="21"/>
      <c r="J20" s="57"/>
      <c r="K20" s="113">
        <f>HighSchool_Space_Summary[[#This Row],[Proposed_New_Room_NFA]]*HighSchool_Space_Summary[[#This Row],[Proposed_New_'#_Rooms]]</f>
        <v>0</v>
      </c>
      <c r="L20" s="115">
        <f>HighSchool_Space_Summary[[#This Row],[Proposed_Keep_Room_NFA]]+HighSchool_Space_Summary[[#This Row],[Proposed_New_Room_NFA]]</f>
        <v>0</v>
      </c>
      <c r="M20" s="115">
        <f>HighSchool_Space_Summary[[#This Row],[Proposed_Keep_'#_Rooms]]+HighSchool_Space_Summary[[#This Row],[Proposed_New_'#_Rooms]]</f>
        <v>0</v>
      </c>
      <c r="N20" s="115">
        <f>HighSchool_Space_Summary[[#This Row],[Proposed_Keep_Area_Totals]]+HighSchool_Space_Summary[[#This Row],[Proposed_New_Area_Totals]]</f>
        <v>0</v>
      </c>
      <c r="O20" s="21">
        <v>500</v>
      </c>
      <c r="P20" s="57">
        <v>1</v>
      </c>
      <c r="Q20" s="117">
        <f t="shared" si="1"/>
        <v>500</v>
      </c>
      <c r="R20" s="48"/>
    </row>
    <row r="21" spans="1:18" s="4" customFormat="1" x14ac:dyDescent="0.2">
      <c r="A21" s="9" t="s">
        <v>45</v>
      </c>
      <c r="B21" s="9" t="s">
        <v>46</v>
      </c>
      <c r="C21" s="22"/>
      <c r="D21" s="56"/>
      <c r="E21" s="125">
        <f>HighSchool_Space_Summary[[#This Row],[Existing_Room_NFA]]*HighSchool_Space_Summary[[#This Row],[Existing_'#_Rooms]]</f>
        <v>0</v>
      </c>
      <c r="F21" s="5"/>
      <c r="G21" s="56"/>
      <c r="H21" s="127">
        <f>HighSchool_Space_Summary[[#This Row],[Proposed_Keep_Room_NFA]]*HighSchool_Space_Summary[[#This Row],[Proposed_Keep_'#_Rooms]]</f>
        <v>0</v>
      </c>
      <c r="I21" s="22"/>
      <c r="J21" s="55"/>
      <c r="K21" s="113">
        <f>HighSchool_Space_Summary[[#This Row],[Proposed_New_Room_NFA]]*HighSchool_Space_Summary[[#This Row],[Proposed_New_'#_Rooms]]</f>
        <v>0</v>
      </c>
      <c r="L21" s="114">
        <f>HighSchool_Space_Summary[[#This Row],[Proposed_Keep_Room_NFA]]+HighSchool_Space_Summary[[#This Row],[Proposed_New_Room_NFA]]</f>
        <v>0</v>
      </c>
      <c r="M21" s="114">
        <f>HighSchool_Space_Summary[[#This Row],[Proposed_Keep_'#_Rooms]]+HighSchool_Space_Summary[[#This Row],[Proposed_New_'#_Rooms]]</f>
        <v>0</v>
      </c>
      <c r="N21" s="114">
        <f>HighSchool_Space_Summary[[#This Row],[Proposed_Keep_Area_Totals]]+HighSchool_Space_Summary[[#This Row],[Proposed_New_Area_Totals]]</f>
        <v>0</v>
      </c>
      <c r="O21" s="22">
        <v>1200</v>
      </c>
      <c r="P21" s="79" cm="1">
        <f t="array" ref="P21">ROUNDUP(((Enrollment_SQF[Total Enrollment]*Academic_Section_Size!H12/Academic_Section_Size!G12))*(Instruction_Cycles!$B$2/Instruction_Cycles!$B$3),0)</f>
        <v>3</v>
      </c>
      <c r="Q21" s="117">
        <f>P21*O21</f>
        <v>3600</v>
      </c>
      <c r="R21" s="47" t="s">
        <v>47</v>
      </c>
    </row>
    <row r="22" spans="1:18" s="4" customFormat="1" x14ac:dyDescent="0.2">
      <c r="A22" s="9" t="s">
        <v>45</v>
      </c>
      <c r="B22" s="9" t="s">
        <v>48</v>
      </c>
      <c r="C22" s="5"/>
      <c r="D22" s="56"/>
      <c r="E22" s="125">
        <f>HighSchool_Space_Summary[[#This Row],[Existing_Room_NFA]]*HighSchool_Space_Summary[[#This Row],[Existing_'#_Rooms]]</f>
        <v>0</v>
      </c>
      <c r="F22" s="5"/>
      <c r="G22" s="56"/>
      <c r="H22" s="125">
        <f>HighSchool_Space_Summary[[#This Row],[Proposed_Keep_Room_NFA]]*HighSchool_Space_Summary[[#This Row],[Proposed_Keep_'#_Rooms]]</f>
        <v>0</v>
      </c>
      <c r="I22" s="5"/>
      <c r="J22" s="56"/>
      <c r="K22" s="113">
        <f>HighSchool_Space_Summary[[#This Row],[Proposed_New_Room_NFA]]*HighSchool_Space_Summary[[#This Row],[Proposed_New_'#_Rooms]]</f>
        <v>0</v>
      </c>
      <c r="L22" s="114">
        <f>HighSchool_Space_Summary[[#This Row],[Proposed_Keep_Room_NFA]]+HighSchool_Space_Summary[[#This Row],[Proposed_New_Room_NFA]]</f>
        <v>0</v>
      </c>
      <c r="M22" s="114">
        <f>HighSchool_Space_Summary[[#This Row],[Proposed_Keep_'#_Rooms]]+HighSchool_Space_Summary[[#This Row],[Proposed_New_'#_Rooms]]</f>
        <v>0</v>
      </c>
      <c r="N22" s="114">
        <f>HighSchool_Space_Summary[[#This Row],[Proposed_Keep_Area_Totals]]+HighSchool_Space_Summary[[#This Row],[Proposed_New_Area_Totals]]</f>
        <v>0</v>
      </c>
      <c r="O22" s="5">
        <v>2000</v>
      </c>
      <c r="P22" s="116">
        <f>IF(ROUNDUP((($Q$72*0.5/23))*(5/30),0)-1=-1,1,ROUNDUP((($Q$72*0.5/23))*(5/30),0)-1)</f>
        <v>5</v>
      </c>
      <c r="Q22" s="117">
        <f>P22*O22</f>
        <v>10000</v>
      </c>
      <c r="R22" s="46" t="s">
        <v>47</v>
      </c>
    </row>
    <row r="23" spans="1:18" x14ac:dyDescent="0.2">
      <c r="A23" s="9" t="s">
        <v>49</v>
      </c>
      <c r="B23" s="9" t="s">
        <v>50</v>
      </c>
      <c r="C23" s="23"/>
      <c r="D23" s="58"/>
      <c r="E23" s="113">
        <f>HighSchool_Space_Summary[[#This Row],[Existing_Room_NFA]]*HighSchool_Space_Summary[[#This Row],[Existing_'#_Rooms]]</f>
        <v>0</v>
      </c>
      <c r="F23" s="23"/>
      <c r="G23" s="58"/>
      <c r="H23" s="113">
        <f>HighSchool_Space_Summary[[#This Row],[Proposed_Keep_Room_NFA]]*HighSchool_Space_Summary[[#This Row],[Proposed_Keep_'#_Rooms]]</f>
        <v>0</v>
      </c>
      <c r="I23" s="23"/>
      <c r="J23" s="58"/>
      <c r="K23" s="113">
        <f>HighSchool_Space_Summary[[#This Row],[Proposed_New_Room_NFA]]*HighSchool_Space_Summary[[#This Row],[Proposed_New_'#_Rooms]]</f>
        <v>0</v>
      </c>
      <c r="L23" s="114">
        <f>HighSchool_Space_Summary[[#This Row],[Proposed_Keep_Room_NFA]]+HighSchool_Space_Summary[[#This Row],[Proposed_New_Room_NFA]]</f>
        <v>0</v>
      </c>
      <c r="M23" s="114">
        <f>HighSchool_Space_Summary[[#This Row],[Proposed_Keep_'#_Rooms]]+HighSchool_Space_Summary[[#This Row],[Proposed_New_'#_Rooms]]</f>
        <v>0</v>
      </c>
      <c r="N23" s="114">
        <f>HighSchool_Space_Summary[[#This Row],[Proposed_Keep_Area_Totals]]+HighSchool_Space_Summary[[#This Row],[Proposed_New_Area_Totals]]</f>
        <v>0</v>
      </c>
      <c r="O23" s="23">
        <v>12000</v>
      </c>
      <c r="P23" s="58">
        <v>1</v>
      </c>
      <c r="Q23" s="117">
        <f t="shared" ref="Q23:Q29" si="2">P23*O23</f>
        <v>12000</v>
      </c>
      <c r="R23" s="47"/>
    </row>
    <row r="24" spans="1:18" x14ac:dyDescent="0.2">
      <c r="A24" s="9" t="s">
        <v>49</v>
      </c>
      <c r="B24" s="9" t="s">
        <v>51</v>
      </c>
      <c r="C24" s="5">
        <v>50</v>
      </c>
      <c r="D24" s="56">
        <v>10</v>
      </c>
      <c r="E24" s="123">
        <f>HighSchool_Space_Summary[[#This Row],[Existing_Room_NFA]]*HighSchool_Space_Summary[[#This Row],[Existing_'#_Rooms]]</f>
        <v>500</v>
      </c>
      <c r="F24" s="8"/>
      <c r="G24" s="56"/>
      <c r="H24" s="123">
        <f>HighSchool_Space_Summary[[#This Row],[Proposed_Keep_Room_NFA]]*HighSchool_Space_Summary[[#This Row],[Proposed_Keep_'#_Rooms]]</f>
        <v>0</v>
      </c>
      <c r="I24" s="8"/>
      <c r="J24" s="56"/>
      <c r="K24" s="113">
        <f>HighSchool_Space_Summary[[#This Row],[Proposed_New_Room_NFA]]*HighSchool_Space_Summary[[#This Row],[Proposed_New_'#_Rooms]]</f>
        <v>0</v>
      </c>
      <c r="L24" s="114">
        <f>HighSchool_Space_Summary[[#This Row],[Proposed_Keep_Room_NFA]]+HighSchool_Space_Summary[[#This Row],[Proposed_New_Room_NFA]]</f>
        <v>0</v>
      </c>
      <c r="M24" s="114">
        <f>HighSchool_Space_Summary[[#This Row],[Proposed_Keep_'#_Rooms]]+HighSchool_Space_Summary[[#This Row],[Proposed_New_'#_Rooms]]</f>
        <v>0</v>
      </c>
      <c r="N24" s="114">
        <f>HighSchool_Space_Summary[[#This Row],[Proposed_Keep_Area_Totals]]+HighSchool_Space_Summary[[#This Row],[Proposed_New_Area_Totals]]</f>
        <v>0</v>
      </c>
      <c r="O24" s="8">
        <v>3000</v>
      </c>
      <c r="P24" s="56">
        <v>1</v>
      </c>
      <c r="Q24" s="117">
        <f t="shared" si="2"/>
        <v>3000</v>
      </c>
      <c r="R24" s="46"/>
    </row>
    <row r="25" spans="1:18" x14ac:dyDescent="0.2">
      <c r="A25" s="9" t="s">
        <v>49</v>
      </c>
      <c r="B25" s="9" t="s">
        <v>52</v>
      </c>
      <c r="C25" s="5">
        <v>8000</v>
      </c>
      <c r="D25" s="56">
        <v>1</v>
      </c>
      <c r="E25" s="123">
        <f>HighSchool_Space_Summary[[#This Row],[Existing_Room_NFA]]*HighSchool_Space_Summary[[#This Row],[Existing_'#_Rooms]]</f>
        <v>8000</v>
      </c>
      <c r="F25" s="5"/>
      <c r="G25" s="56"/>
      <c r="H25" s="123">
        <f>HighSchool_Space_Summary[[#This Row],[Proposed_Keep_Room_NFA]]*HighSchool_Space_Summary[[#This Row],[Proposed_Keep_'#_Rooms]]</f>
        <v>0</v>
      </c>
      <c r="I25" s="5"/>
      <c r="J25" s="56"/>
      <c r="K25" s="113">
        <f>HighSchool_Space_Summary[[#This Row],[Proposed_New_Room_NFA]]*HighSchool_Space_Summary[[#This Row],[Proposed_New_'#_Rooms]]</f>
        <v>0</v>
      </c>
      <c r="L25" s="114">
        <f>HighSchool_Space_Summary[[#This Row],[Proposed_Keep_Room_NFA]]+HighSchool_Space_Summary[[#This Row],[Proposed_New_Room_NFA]]</f>
        <v>0</v>
      </c>
      <c r="M25" s="114">
        <f>HighSchool_Space_Summary[[#This Row],[Proposed_Keep_'#_Rooms]]+HighSchool_Space_Summary[[#This Row],[Proposed_New_'#_Rooms]]</f>
        <v>0</v>
      </c>
      <c r="N25" s="114">
        <f>HighSchool_Space_Summary[[#This Row],[Proposed_Keep_Area_Totals]]+HighSchool_Space_Summary[[#This Row],[Proposed_New_Area_Totals]]</f>
        <v>0</v>
      </c>
      <c r="O25" s="5">
        <v>300</v>
      </c>
      <c r="P25" s="56">
        <v>1</v>
      </c>
      <c r="Q25" s="117">
        <f t="shared" si="2"/>
        <v>300</v>
      </c>
      <c r="R25" s="46"/>
    </row>
    <row r="26" spans="1:18" x14ac:dyDescent="0.2">
      <c r="A26" s="9" t="s">
        <v>49</v>
      </c>
      <c r="B26" s="9" t="s">
        <v>53</v>
      </c>
      <c r="C26" s="5">
        <v>5000</v>
      </c>
      <c r="D26" s="56">
        <v>1</v>
      </c>
      <c r="E26" s="123">
        <f>HighSchool_Space_Summary[[#This Row],[Existing_Room_NFA]]*HighSchool_Space_Summary[[#This Row],[Existing_'#_Rooms]]</f>
        <v>5000</v>
      </c>
      <c r="F26" s="5">
        <v>5000</v>
      </c>
      <c r="G26" s="56">
        <v>1</v>
      </c>
      <c r="H26" s="123">
        <f>HighSchool_Space_Summary[[#This Row],[Proposed_Keep_Room_NFA]]*HighSchool_Space_Summary[[#This Row],[Proposed_Keep_'#_Rooms]]</f>
        <v>5000</v>
      </c>
      <c r="I26" s="5">
        <v>2500</v>
      </c>
      <c r="J26" s="56">
        <v>1</v>
      </c>
      <c r="K26" s="113">
        <f>HighSchool_Space_Summary[[#This Row],[Proposed_New_Room_NFA]]*HighSchool_Space_Summary[[#This Row],[Proposed_New_'#_Rooms]]</f>
        <v>2500</v>
      </c>
      <c r="L26" s="114">
        <f>HighSchool_Space_Summary[[#This Row],[Proposed_Keep_Room_NFA]]+HighSchool_Space_Summary[[#This Row],[Proposed_New_Room_NFA]]</f>
        <v>7500</v>
      </c>
      <c r="M26" s="114">
        <f>HighSchool_Space_Summary[[#This Row],[Proposed_Keep_'#_Rooms]]+HighSchool_Space_Summary[[#This Row],[Proposed_New_'#_Rooms]]</f>
        <v>2</v>
      </c>
      <c r="N26" s="114">
        <f>HighSchool_Space_Summary[[#This Row],[Proposed_Keep_Area_Totals]]+HighSchool_Space_Summary[[#This Row],[Proposed_New_Area_Totals]]</f>
        <v>7500</v>
      </c>
      <c r="O26" s="119" cm="1">
        <f t="array" ref="O26">(Enrollment_SQF[Total Enrollment]+Special_Education_Student_Input!B2)*5.6</f>
        <v>9340.7999999999993</v>
      </c>
      <c r="P26" s="56">
        <v>1</v>
      </c>
      <c r="Q26" s="117">
        <f t="shared" si="2"/>
        <v>9340.7999999999993</v>
      </c>
      <c r="R26" s="46" t="s">
        <v>54</v>
      </c>
    </row>
    <row r="27" spans="1:18" x14ac:dyDescent="0.2">
      <c r="A27" s="9" t="s">
        <v>49</v>
      </c>
      <c r="B27" s="9" t="s">
        <v>55</v>
      </c>
      <c r="C27" s="5">
        <v>500</v>
      </c>
      <c r="D27" s="56">
        <v>1</v>
      </c>
      <c r="E27" s="123">
        <f>HighSchool_Space_Summary[[#This Row],[Existing_Room_NFA]]*HighSchool_Space_Summary[[#This Row],[Existing_'#_Rooms]]</f>
        <v>500</v>
      </c>
      <c r="F27" s="5"/>
      <c r="G27" s="56"/>
      <c r="H27" s="123">
        <f>HighSchool_Space_Summary[[#This Row],[Proposed_Keep_Room_NFA]]*HighSchool_Space_Summary[[#This Row],[Proposed_Keep_'#_Rooms]]</f>
        <v>0</v>
      </c>
      <c r="I27" s="5"/>
      <c r="J27" s="56"/>
      <c r="K27" s="113">
        <f>HighSchool_Space_Summary[[#This Row],[Proposed_New_Room_NFA]]*HighSchool_Space_Summary[[#This Row],[Proposed_New_'#_Rooms]]</f>
        <v>0</v>
      </c>
      <c r="L27" s="114">
        <f>HighSchool_Space_Summary[[#This Row],[Proposed_Keep_Room_NFA]]+HighSchool_Space_Summary[[#This Row],[Proposed_New_Room_NFA]]</f>
        <v>0</v>
      </c>
      <c r="M27" s="114">
        <f>HighSchool_Space_Summary[[#This Row],[Proposed_Keep_'#_Rooms]]+HighSchool_Space_Summary[[#This Row],[Proposed_New_'#_Rooms]]</f>
        <v>0</v>
      </c>
      <c r="N27" s="114">
        <f>HighSchool_Space_Summary[[#This Row],[Proposed_Keep_Area_Totals]]+HighSchool_Space_Summary[[#This Row],[Proposed_New_Area_Totals]]</f>
        <v>0</v>
      </c>
      <c r="O27" s="5">
        <v>500</v>
      </c>
      <c r="P27" s="56">
        <v>1</v>
      </c>
      <c r="Q27" s="117">
        <f t="shared" si="2"/>
        <v>500</v>
      </c>
      <c r="R27" s="46"/>
    </row>
    <row r="28" spans="1:18" x14ac:dyDescent="0.2">
      <c r="A28" s="9" t="s">
        <v>49</v>
      </c>
      <c r="B28" s="9" t="s">
        <v>56</v>
      </c>
      <c r="C28" s="5">
        <v>150</v>
      </c>
      <c r="D28" s="56">
        <v>1</v>
      </c>
      <c r="E28" s="123">
        <f>HighSchool_Space_Summary[[#This Row],[Existing_Room_NFA]]*HighSchool_Space_Summary[[#This Row],[Existing_'#_Rooms]]</f>
        <v>150</v>
      </c>
      <c r="F28" s="5"/>
      <c r="G28" s="56"/>
      <c r="H28" s="123">
        <f>HighSchool_Space_Summary[[#This Row],[Proposed_Keep_Room_NFA]]*HighSchool_Space_Summary[[#This Row],[Proposed_Keep_'#_Rooms]]</f>
        <v>0</v>
      </c>
      <c r="I28" s="5"/>
      <c r="J28" s="56"/>
      <c r="K28" s="113">
        <f>HighSchool_Space_Summary[[#This Row],[Proposed_New_Room_NFA]]*HighSchool_Space_Summary[[#This Row],[Proposed_New_'#_Rooms]]</f>
        <v>0</v>
      </c>
      <c r="L28" s="114">
        <f>HighSchool_Space_Summary[[#This Row],[Proposed_Keep_Room_NFA]]+HighSchool_Space_Summary[[#This Row],[Proposed_New_Room_NFA]]</f>
        <v>0</v>
      </c>
      <c r="M28" s="114">
        <f>HighSchool_Space_Summary[[#This Row],[Proposed_Keep_'#_Rooms]]+HighSchool_Space_Summary[[#This Row],[Proposed_New_'#_Rooms]]</f>
        <v>0</v>
      </c>
      <c r="N28" s="114">
        <f>HighSchool_Space_Summary[[#This Row],[Proposed_Keep_Area_Totals]]+HighSchool_Space_Summary[[#This Row],[Proposed_New_Area_Totals]]</f>
        <v>0</v>
      </c>
      <c r="O28" s="5">
        <v>150</v>
      </c>
      <c r="P28" s="56">
        <v>1</v>
      </c>
      <c r="Q28" s="117">
        <f t="shared" si="2"/>
        <v>150</v>
      </c>
      <c r="R28" s="46"/>
    </row>
    <row r="29" spans="1:18" x14ac:dyDescent="0.2">
      <c r="A29" s="9" t="s">
        <v>49</v>
      </c>
      <c r="B29" s="9" t="s">
        <v>57</v>
      </c>
      <c r="C29" s="5"/>
      <c r="D29" s="56"/>
      <c r="E29" s="123">
        <f>HighSchool_Space_Summary[[#This Row],[Existing_Room_NFA]]*HighSchool_Space_Summary[[#This Row],[Existing_'#_Rooms]]</f>
        <v>0</v>
      </c>
      <c r="F29" s="5"/>
      <c r="G29" s="56"/>
      <c r="H29" s="123">
        <f>HighSchool_Space_Summary[[#This Row],[Proposed_Keep_Room_NFA]]*HighSchool_Space_Summary[[#This Row],[Proposed_Keep_'#_Rooms]]</f>
        <v>0</v>
      </c>
      <c r="I29" s="5"/>
      <c r="J29" s="56"/>
      <c r="K29" s="113">
        <f>HighSchool_Space_Summary[[#This Row],[Proposed_New_Room_NFA]]*HighSchool_Space_Summary[[#This Row],[Proposed_New_'#_Rooms]]</f>
        <v>0</v>
      </c>
      <c r="L29" s="114">
        <f>HighSchool_Space_Summary[[#This Row],[Proposed_Keep_Room_NFA]]+HighSchool_Space_Summary[[#This Row],[Proposed_New_Room_NFA]]</f>
        <v>0</v>
      </c>
      <c r="M29" s="114">
        <f>HighSchool_Space_Summary[[#This Row],[Proposed_Keep_'#_Rooms]]+HighSchool_Space_Summary[[#This Row],[Proposed_New_'#_Rooms]]</f>
        <v>0</v>
      </c>
      <c r="N29" s="114">
        <f>HighSchool_Space_Summary[[#This Row],[Proposed_Keep_Area_Totals]]+HighSchool_Space_Summary[[#This Row],[Proposed_New_Area_Totals]]</f>
        <v>0</v>
      </c>
      <c r="O29" s="5">
        <v>250</v>
      </c>
      <c r="P29" s="56">
        <v>1</v>
      </c>
      <c r="Q29" s="117">
        <f t="shared" si="2"/>
        <v>250</v>
      </c>
      <c r="R29" s="46"/>
    </row>
    <row r="30" spans="1:18" s="4" customFormat="1" x14ac:dyDescent="0.2">
      <c r="A30" s="9" t="s">
        <v>58</v>
      </c>
      <c r="B30" s="9" t="s">
        <v>59</v>
      </c>
      <c r="C30" s="22"/>
      <c r="D30" s="55"/>
      <c r="E30" s="113">
        <f>HighSchool_Space_Summary[[#This Row],[Existing_Room_NFA]]*HighSchool_Space_Summary[[#This Row],[Existing_'#_Rooms]]</f>
        <v>0</v>
      </c>
      <c r="F30" s="22"/>
      <c r="G30" s="55"/>
      <c r="H30" s="113">
        <f>HighSchool_Space_Summary[[#This Row],[Proposed_Keep_Room_NFA]]*HighSchool_Space_Summary[[#This Row],[Proposed_Keep_'#_Rooms]]</f>
        <v>0</v>
      </c>
      <c r="I30" s="22"/>
      <c r="J30" s="55"/>
      <c r="K30" s="113">
        <f>HighSchool_Space_Summary[[#This Row],[Proposed_New_Room_NFA]]*HighSchool_Space_Summary[[#This Row],[Proposed_New_'#_Rooms]]</f>
        <v>0</v>
      </c>
      <c r="L30" s="114">
        <f>HighSchool_Space_Summary[[#This Row],[Proposed_Keep_Room_NFA]]+HighSchool_Space_Summary[[#This Row],[Proposed_New_Room_NFA]]</f>
        <v>0</v>
      </c>
      <c r="M30" s="114">
        <f>HighSchool_Space_Summary[[#This Row],[Proposed_Keep_'#_Rooms]]+HighSchool_Space_Summary[[#This Row],[Proposed_New_'#_Rooms]]</f>
        <v>0</v>
      </c>
      <c r="N30" s="114">
        <f>HighSchool_Space_Summary[[#This Row],[Proposed_Keep_Area_Totals]]+HighSchool_Space_Summary[[#This Row],[Proposed_New_Area_Totals]]</f>
        <v>0</v>
      </c>
      <c r="O30" s="120" cm="1">
        <f t="array" ref="O30">IF((Enrollment_SQF[Total Enrollment]+Special_Education_Student_Input!$B$2)&lt;600,3650,3650+((Enrollment_SQF[Total Enrollment]+Special_Education_Student_Input!$B$2)-600)*6.25)</f>
        <v>10325</v>
      </c>
      <c r="P30" s="55">
        <v>1</v>
      </c>
      <c r="Q30" s="117">
        <f>P30*O30</f>
        <v>10325</v>
      </c>
      <c r="R30" s="47"/>
    </row>
    <row r="31" spans="1:18" s="4" customFormat="1" x14ac:dyDescent="0.2">
      <c r="A31" s="9" t="s">
        <v>58</v>
      </c>
      <c r="B31" s="15" t="s">
        <v>60</v>
      </c>
      <c r="C31" s="40"/>
      <c r="D31" s="74"/>
      <c r="E31" s="122">
        <f>HighSchool_Space_Summary[[#This Row],[Existing_Room_NFA]]*HighSchool_Space_Summary[[#This Row],[Existing_'#_Rooms]]</f>
        <v>0</v>
      </c>
      <c r="F31" s="40"/>
      <c r="G31" s="74"/>
      <c r="H31" s="122">
        <f>HighSchool_Space_Summary[[#This Row],[Proposed_Keep_Room_NFA]]*HighSchool_Space_Summary[[#This Row],[Proposed_Keep_'#_Rooms]]</f>
        <v>0</v>
      </c>
      <c r="I31" s="40"/>
      <c r="J31" s="74"/>
      <c r="K31" s="113">
        <f>HighSchool_Space_Summary[[#This Row],[Proposed_New_Room_NFA]]*HighSchool_Space_Summary[[#This Row],[Proposed_New_'#_Rooms]]</f>
        <v>0</v>
      </c>
      <c r="L31" s="115">
        <f>HighSchool_Space_Summary[[#This Row],[Proposed_Keep_Room_NFA]]+HighSchool_Space_Summary[[#This Row],[Proposed_New_Room_NFA]]</f>
        <v>0</v>
      </c>
      <c r="M31" s="115">
        <f>HighSchool_Space_Summary[[#This Row],[Proposed_Keep_'#_Rooms]]+HighSchool_Space_Summary[[#This Row],[Proposed_New_'#_Rooms]]</f>
        <v>0</v>
      </c>
      <c r="N31" s="115">
        <f>HighSchool_Space_Summary[[#This Row],[Proposed_Keep_Area_Totals]]+HighSchool_Space_Summary[[#This Row],[Proposed_New_Area_Totals]]</f>
        <v>0</v>
      </c>
      <c r="O31" s="40"/>
      <c r="P31" s="74"/>
      <c r="Q31" s="41"/>
      <c r="R31" s="49"/>
    </row>
    <row r="32" spans="1:18" s="4" customFormat="1" x14ac:dyDescent="0.2">
      <c r="A32" s="9" t="s">
        <v>61</v>
      </c>
      <c r="B32" s="9" t="s">
        <v>62</v>
      </c>
      <c r="C32" s="22"/>
      <c r="D32" s="55"/>
      <c r="E32" s="113">
        <f>HighSchool_Space_Summary[[#This Row],[Existing_Room_NFA]]*HighSchool_Space_Summary[[#This Row],[Existing_'#_Rooms]]</f>
        <v>0</v>
      </c>
      <c r="F32" s="22"/>
      <c r="G32" s="55"/>
      <c r="H32" s="113">
        <f>HighSchool_Space_Summary[[#This Row],[Proposed_Keep_Room_NFA]]*HighSchool_Space_Summary[[#This Row],[Proposed_Keep_'#_Rooms]]</f>
        <v>0</v>
      </c>
      <c r="I32" s="22"/>
      <c r="J32" s="55"/>
      <c r="K32" s="113">
        <f>HighSchool_Space_Summary[[#This Row],[Proposed_New_Room_NFA]]*HighSchool_Space_Summary[[#This Row],[Proposed_New_'#_Rooms]]</f>
        <v>0</v>
      </c>
      <c r="L32" s="114">
        <f>HighSchool_Space_Summary[[#This Row],[Proposed_Keep_Room_NFA]]+HighSchool_Space_Summary[[#This Row],[Proposed_New_Room_NFA]]</f>
        <v>0</v>
      </c>
      <c r="M32" s="114">
        <f>HighSchool_Space_Summary[[#This Row],[Proposed_Keep_'#_Rooms]]+HighSchool_Space_Summary[[#This Row],[Proposed_New_'#_Rooms]]</f>
        <v>0</v>
      </c>
      <c r="N32" s="114">
        <f>HighSchool_Space_Summary[[#This Row],[Proposed_Keep_Area_Totals]]+HighSchool_Space_Summary[[#This Row],[Proposed_New_Area_Totals]]</f>
        <v>0</v>
      </c>
      <c r="O32" s="120" cm="1">
        <f t="array" ref="O32">IF((Enrollment_SQF[Total Enrollment]+Special_Education_Student_Input!$B$2)*2/3&lt;750,(Enrollment_SQF[Total Enrollment]+Special_Education_Student_Input!$B$2)*2/3,750)*10</f>
        <v>7500</v>
      </c>
      <c r="P32" s="55">
        <v>1</v>
      </c>
      <c r="Q32" s="117">
        <f t="shared" ref="Q32:Q45" si="3">P32*O32</f>
        <v>7500</v>
      </c>
      <c r="R32" s="47" t="s">
        <v>63</v>
      </c>
    </row>
    <row r="33" spans="1:18" s="4" customFormat="1" x14ac:dyDescent="0.2">
      <c r="A33" s="9" t="s">
        <v>61</v>
      </c>
      <c r="B33" s="9" t="s">
        <v>64</v>
      </c>
      <c r="C33" s="5"/>
      <c r="D33" s="56"/>
      <c r="E33" s="123">
        <f>HighSchool_Space_Summary[[#This Row],[Existing_Room_NFA]]*HighSchool_Space_Summary[[#This Row],[Existing_'#_Rooms]]</f>
        <v>0</v>
      </c>
      <c r="F33" s="5"/>
      <c r="G33" s="56"/>
      <c r="H33" s="123">
        <f>HighSchool_Space_Summary[[#This Row],[Proposed_Keep_Room_NFA]]*HighSchool_Space_Summary[[#This Row],[Proposed_Keep_'#_Rooms]]</f>
        <v>0</v>
      </c>
      <c r="I33" s="5"/>
      <c r="J33" s="56"/>
      <c r="K33" s="113">
        <f>HighSchool_Space_Summary[[#This Row],[Proposed_New_Room_NFA]]*HighSchool_Space_Summary[[#This Row],[Proposed_New_'#_Rooms]]</f>
        <v>0</v>
      </c>
      <c r="L33" s="114">
        <f>HighSchool_Space_Summary[[#This Row],[Proposed_Keep_Room_NFA]]+HighSchool_Space_Summary[[#This Row],[Proposed_New_Room_NFA]]</f>
        <v>0</v>
      </c>
      <c r="M33" s="114">
        <f>HighSchool_Space_Summary[[#This Row],[Proposed_Keep_'#_Rooms]]+HighSchool_Space_Summary[[#This Row],[Proposed_New_'#_Rooms]]</f>
        <v>0</v>
      </c>
      <c r="N33" s="114">
        <f>HighSchool_Space_Summary[[#This Row],[Proposed_Keep_Area_Totals]]+HighSchool_Space_Summary[[#This Row],[Proposed_New_Area_Totals]]</f>
        <v>0</v>
      </c>
      <c r="O33" s="5">
        <v>1600</v>
      </c>
      <c r="P33" s="56">
        <v>1</v>
      </c>
      <c r="Q33" s="117">
        <f t="shared" si="3"/>
        <v>1600</v>
      </c>
      <c r="R33" s="46"/>
    </row>
    <row r="34" spans="1:18" s="4" customFormat="1" x14ac:dyDescent="0.2">
      <c r="A34" s="9" t="s">
        <v>61</v>
      </c>
      <c r="B34" s="9" t="s">
        <v>65</v>
      </c>
      <c r="C34" s="5"/>
      <c r="D34" s="56"/>
      <c r="E34" s="123">
        <f>HighSchool_Space_Summary[[#This Row],[Existing_Room_NFA]]*HighSchool_Space_Summary[[#This Row],[Existing_'#_Rooms]]</f>
        <v>0</v>
      </c>
      <c r="F34" s="5"/>
      <c r="G34" s="56"/>
      <c r="H34" s="123">
        <f>HighSchool_Space_Summary[[#This Row],[Proposed_Keep_Room_NFA]]*HighSchool_Space_Summary[[#This Row],[Proposed_Keep_'#_Rooms]]</f>
        <v>0</v>
      </c>
      <c r="I34" s="5"/>
      <c r="J34" s="56"/>
      <c r="K34" s="113">
        <f>HighSchool_Space_Summary[[#This Row],[Proposed_New_Room_NFA]]*HighSchool_Space_Summary[[#This Row],[Proposed_New_'#_Rooms]]</f>
        <v>0</v>
      </c>
      <c r="L34" s="114">
        <f>HighSchool_Space_Summary[[#This Row],[Proposed_Keep_Room_NFA]]+HighSchool_Space_Summary[[#This Row],[Proposed_New_Room_NFA]]</f>
        <v>0</v>
      </c>
      <c r="M34" s="114">
        <f>HighSchool_Space_Summary[[#This Row],[Proposed_Keep_'#_Rooms]]+HighSchool_Space_Summary[[#This Row],[Proposed_New_'#_Rooms]]</f>
        <v>0</v>
      </c>
      <c r="N34" s="114">
        <f>HighSchool_Space_Summary[[#This Row],[Proposed_Keep_Area_Totals]]+HighSchool_Space_Summary[[#This Row],[Proposed_New_Area_Totals]]</f>
        <v>0</v>
      </c>
      <c r="O34" s="119" cm="1">
        <f t="array" ref="O34">IF((Enrollment_SQF[Total Enrollment]+Special_Education_Student_Input!$B$2)*2/3&lt;750,400+((500-400)/400)*((Enrollment_SQF[Total Enrollment]+Special_Education_Student_Input!$B$2)-600),500)</f>
        <v>500</v>
      </c>
      <c r="P34" s="56">
        <v>1</v>
      </c>
      <c r="Q34" s="117">
        <f t="shared" si="3"/>
        <v>500</v>
      </c>
      <c r="R34" s="46"/>
    </row>
    <row r="35" spans="1:18" s="4" customFormat="1" x14ac:dyDescent="0.2">
      <c r="A35" s="9" t="s">
        <v>61</v>
      </c>
      <c r="B35" s="9" t="s">
        <v>66</v>
      </c>
      <c r="C35" s="5"/>
      <c r="D35" s="56"/>
      <c r="E35" s="123">
        <f>HighSchool_Space_Summary[[#This Row],[Existing_Room_NFA]]*HighSchool_Space_Summary[[#This Row],[Existing_'#_Rooms]]</f>
        <v>0</v>
      </c>
      <c r="F35" s="5"/>
      <c r="G35" s="56"/>
      <c r="H35" s="123">
        <f>HighSchool_Space_Summary[[#This Row],[Proposed_Keep_Room_NFA]]*HighSchool_Space_Summary[[#This Row],[Proposed_Keep_'#_Rooms]]</f>
        <v>0</v>
      </c>
      <c r="I35" s="5"/>
      <c r="J35" s="56"/>
      <c r="K35" s="113">
        <f>HighSchool_Space_Summary[[#This Row],[Proposed_New_Room_NFA]]*HighSchool_Space_Summary[[#This Row],[Proposed_New_'#_Rooms]]</f>
        <v>0</v>
      </c>
      <c r="L35" s="114">
        <f>HighSchool_Space_Summary[[#This Row],[Proposed_Keep_Room_NFA]]+HighSchool_Space_Summary[[#This Row],[Proposed_New_Room_NFA]]</f>
        <v>0</v>
      </c>
      <c r="M35" s="114">
        <f>HighSchool_Space_Summary[[#This Row],[Proposed_Keep_'#_Rooms]]+HighSchool_Space_Summary[[#This Row],[Proposed_New_'#_Rooms]]</f>
        <v>0</v>
      </c>
      <c r="N35" s="114">
        <f>HighSchool_Space_Summary[[#This Row],[Proposed_Keep_Area_Totals]]+HighSchool_Space_Summary[[#This Row],[Proposed_New_Area_Totals]]</f>
        <v>0</v>
      </c>
      <c r="O35" s="5">
        <v>300</v>
      </c>
      <c r="P35" s="56">
        <v>2</v>
      </c>
      <c r="Q35" s="117">
        <f t="shared" si="3"/>
        <v>600</v>
      </c>
      <c r="R35" s="46"/>
    </row>
    <row r="36" spans="1:18" s="4" customFormat="1" x14ac:dyDescent="0.2">
      <c r="A36" s="9" t="s">
        <v>61</v>
      </c>
      <c r="B36" s="9" t="s">
        <v>67</v>
      </c>
      <c r="C36" s="5"/>
      <c r="D36" s="56"/>
      <c r="E36" s="123">
        <f>HighSchool_Space_Summary[[#This Row],[Existing_Room_NFA]]*HighSchool_Space_Summary[[#This Row],[Existing_'#_Rooms]]</f>
        <v>0</v>
      </c>
      <c r="F36" s="5"/>
      <c r="G36" s="56"/>
      <c r="H36" s="123">
        <f>HighSchool_Space_Summary[[#This Row],[Proposed_Keep_Room_NFA]]*HighSchool_Space_Summary[[#This Row],[Proposed_Keep_'#_Rooms]]</f>
        <v>0</v>
      </c>
      <c r="I36" s="5"/>
      <c r="J36" s="56"/>
      <c r="K36" s="113">
        <f>HighSchool_Space_Summary[[#This Row],[Proposed_New_Room_NFA]]*HighSchool_Space_Summary[[#This Row],[Proposed_New_'#_Rooms]]</f>
        <v>0</v>
      </c>
      <c r="L36" s="114">
        <f>HighSchool_Space_Summary[[#This Row],[Proposed_Keep_Room_NFA]]+HighSchool_Space_Summary[[#This Row],[Proposed_New_Room_NFA]]</f>
        <v>0</v>
      </c>
      <c r="M36" s="114">
        <f>HighSchool_Space_Summary[[#This Row],[Proposed_Keep_'#_Rooms]]+HighSchool_Space_Summary[[#This Row],[Proposed_New_'#_Rooms]]</f>
        <v>0</v>
      </c>
      <c r="N36" s="114">
        <f>HighSchool_Space_Summary[[#This Row],[Proposed_Keep_Area_Totals]]+HighSchool_Space_Summary[[#This Row],[Proposed_New_Area_Totals]]</f>
        <v>0</v>
      </c>
      <c r="O36" s="5">
        <v>200</v>
      </c>
      <c r="P36" s="56">
        <v>1</v>
      </c>
      <c r="Q36" s="117">
        <f t="shared" si="3"/>
        <v>200</v>
      </c>
      <c r="R36" s="46"/>
    </row>
    <row r="37" spans="1:18" s="4" customFormat="1" x14ac:dyDescent="0.2">
      <c r="A37" s="9" t="s">
        <v>68</v>
      </c>
      <c r="B37" s="9" t="s">
        <v>69</v>
      </c>
      <c r="C37" s="22">
        <v>7000</v>
      </c>
      <c r="D37" s="55">
        <v>1</v>
      </c>
      <c r="E37" s="113">
        <f>HighSchool_Space_Summary[[#This Row],[Existing_Room_NFA]]*HighSchool_Space_Summary[[#This Row],[Existing_'#_Rooms]]</f>
        <v>7000</v>
      </c>
      <c r="F37" s="22">
        <v>7000</v>
      </c>
      <c r="G37" s="55">
        <v>1</v>
      </c>
      <c r="H37" s="113">
        <f>HighSchool_Space_Summary[[#This Row],[Proposed_Keep_Room_NFA]]*HighSchool_Space_Summary[[#This Row],[Proposed_Keep_'#_Rooms]]</f>
        <v>7000</v>
      </c>
      <c r="I37" s="22">
        <v>1010</v>
      </c>
      <c r="J37" s="55">
        <v>1</v>
      </c>
      <c r="K37" s="113">
        <f>HighSchool_Space_Summary[[#This Row],[Proposed_New_Room_NFA]]*HighSchool_Space_Summary[[#This Row],[Proposed_New_'#_Rooms]]</f>
        <v>1010</v>
      </c>
      <c r="L37" s="114">
        <f>HighSchool_Space_Summary[[#This Row],[Proposed_Keep_Room_NFA]]+HighSchool_Space_Summary[[#This Row],[Proposed_New_Room_NFA]]</f>
        <v>8010</v>
      </c>
      <c r="M37" s="114">
        <f>HighSchool_Space_Summary[[#This Row],[Proposed_Keep_'#_Rooms]]+HighSchool_Space_Summary[[#This Row],[Proposed_New_'#_Rooms]]</f>
        <v>2</v>
      </c>
      <c r="N37" s="114">
        <f>HighSchool_Space_Summary[[#This Row],[Proposed_Keep_Area_Totals]]+HighSchool_Space_Summary[[#This Row],[Proposed_New_Area_Totals]]</f>
        <v>8010</v>
      </c>
      <c r="O37" s="120" cm="1">
        <f t="array" ref="O37">(Enrollment_SQF[Total Enrollment]+Special_Education_Student_Input!$B$2)/Instruction_Cycles!B6*15</f>
        <v>12510</v>
      </c>
      <c r="P37" s="55">
        <v>1</v>
      </c>
      <c r="Q37" s="117">
        <f t="shared" si="3"/>
        <v>12510</v>
      </c>
      <c r="R37" s="47" t="s">
        <v>70</v>
      </c>
    </row>
    <row r="38" spans="1:18" x14ac:dyDescent="0.2">
      <c r="A38" s="9" t="s">
        <v>68</v>
      </c>
      <c r="B38" s="9" t="s">
        <v>71</v>
      </c>
      <c r="C38" s="5"/>
      <c r="D38" s="56"/>
      <c r="E38" s="125">
        <f>HighSchool_Space_Summary[[#This Row],[Existing_Room_NFA]]*HighSchool_Space_Summary[[#This Row],[Existing_'#_Rooms]]</f>
        <v>0</v>
      </c>
      <c r="F38" s="5"/>
      <c r="G38" s="56"/>
      <c r="H38" s="125">
        <f>HighSchool_Space_Summary[[#This Row],[Proposed_Keep_Room_NFA]]*HighSchool_Space_Summary[[#This Row],[Proposed_Keep_'#_Rooms]]</f>
        <v>0</v>
      </c>
      <c r="I38" s="5"/>
      <c r="J38" s="56"/>
      <c r="K38" s="113">
        <f>HighSchool_Space_Summary[[#This Row],[Proposed_New_Room_NFA]]*HighSchool_Space_Summary[[#This Row],[Proposed_New_'#_Rooms]]</f>
        <v>0</v>
      </c>
      <c r="L38" s="114">
        <f>HighSchool_Space_Summary[[#This Row],[Proposed_Keep_Room_NFA]]+HighSchool_Space_Summary[[#This Row],[Proposed_New_Room_NFA]]</f>
        <v>0</v>
      </c>
      <c r="M38" s="114">
        <f>HighSchool_Space_Summary[[#This Row],[Proposed_Keep_'#_Rooms]]+HighSchool_Space_Summary[[#This Row],[Proposed_New_'#_Rooms]]</f>
        <v>0</v>
      </c>
      <c r="N38" s="114">
        <f>HighSchool_Space_Summary[[#This Row],[Proposed_Keep_Area_Totals]]+HighSchool_Space_Summary[[#This Row],[Proposed_New_Area_Totals]]</f>
        <v>0</v>
      </c>
      <c r="O38" s="119" cm="1">
        <f t="array" ref="O38">IF((Enrollment_SQF[Total Enrollment]+Special_Education_Student_Input!$B$2)&lt;600,300,300+ROUND(((Enrollment_SQF[Total Enrollment]+Special_Education_Student_Input!$B$2)-600)/400*100,0))</f>
        <v>567</v>
      </c>
      <c r="P38" s="56">
        <v>1</v>
      </c>
      <c r="Q38" s="117">
        <f t="shared" si="3"/>
        <v>567</v>
      </c>
      <c r="R38" s="46"/>
    </row>
    <row r="39" spans="1:18" x14ac:dyDescent="0.2">
      <c r="A39" s="9" t="s">
        <v>68</v>
      </c>
      <c r="B39" s="9" t="s">
        <v>72</v>
      </c>
      <c r="C39" s="5"/>
      <c r="D39" s="56"/>
      <c r="E39" s="125">
        <f>HighSchool_Space_Summary[[#This Row],[Existing_Room_NFA]]*HighSchool_Space_Summary[[#This Row],[Existing_'#_Rooms]]</f>
        <v>0</v>
      </c>
      <c r="F39" s="5"/>
      <c r="G39" s="56"/>
      <c r="H39" s="125">
        <f>HighSchool_Space_Summary[[#This Row],[Proposed_Keep_Room_NFA]]*HighSchool_Space_Summary[[#This Row],[Proposed_Keep_'#_Rooms]]</f>
        <v>0</v>
      </c>
      <c r="I39" s="5"/>
      <c r="J39" s="56"/>
      <c r="K39" s="113">
        <f>HighSchool_Space_Summary[[#This Row],[Proposed_New_Room_NFA]]*HighSchool_Space_Summary[[#This Row],[Proposed_New_'#_Rooms]]</f>
        <v>0</v>
      </c>
      <c r="L39" s="114">
        <f>HighSchool_Space_Summary[[#This Row],[Proposed_Keep_Room_NFA]]+HighSchool_Space_Summary[[#This Row],[Proposed_New_Room_NFA]]</f>
        <v>0</v>
      </c>
      <c r="M39" s="114">
        <f>HighSchool_Space_Summary[[#This Row],[Proposed_Keep_'#_Rooms]]+HighSchool_Space_Summary[[#This Row],[Proposed_New_'#_Rooms]]</f>
        <v>0</v>
      </c>
      <c r="N39" s="114">
        <f>HighSchool_Space_Summary[[#This Row],[Proposed_Keep_Area_Totals]]+HighSchool_Space_Summary[[#This Row],[Proposed_New_Area_Totals]]</f>
        <v>0</v>
      </c>
      <c r="O39" s="5">
        <v>600</v>
      </c>
      <c r="P39" s="56">
        <v>1</v>
      </c>
      <c r="Q39" s="117">
        <f t="shared" si="3"/>
        <v>600</v>
      </c>
      <c r="R39" s="46"/>
    </row>
    <row r="40" spans="1:18" x14ac:dyDescent="0.2">
      <c r="A40" s="9" t="s">
        <v>68</v>
      </c>
      <c r="B40" s="9" t="s">
        <v>73</v>
      </c>
      <c r="C40" s="5"/>
      <c r="D40" s="56"/>
      <c r="E40" s="125">
        <f>HighSchool_Space_Summary[[#This Row],[Existing_Room_NFA]]*HighSchool_Space_Summary[[#This Row],[Existing_'#_Rooms]]</f>
        <v>0</v>
      </c>
      <c r="F40" s="5"/>
      <c r="G40" s="56"/>
      <c r="H40" s="125">
        <f>HighSchool_Space_Summary[[#This Row],[Proposed_Keep_Room_NFA]]*HighSchool_Space_Summary[[#This Row],[Proposed_Keep_'#_Rooms]]</f>
        <v>0</v>
      </c>
      <c r="I40" s="5"/>
      <c r="J40" s="56"/>
      <c r="K40" s="113">
        <f>HighSchool_Space_Summary[[#This Row],[Proposed_New_Room_NFA]]*HighSchool_Space_Summary[[#This Row],[Proposed_New_'#_Rooms]]</f>
        <v>0</v>
      </c>
      <c r="L40" s="114">
        <f>HighSchool_Space_Summary[[#This Row],[Proposed_Keep_Room_NFA]]+HighSchool_Space_Summary[[#This Row],[Proposed_New_Room_NFA]]</f>
        <v>0</v>
      </c>
      <c r="M40" s="114">
        <f>HighSchool_Space_Summary[[#This Row],[Proposed_Keep_'#_Rooms]]+HighSchool_Space_Summary[[#This Row],[Proposed_New_'#_Rooms]]</f>
        <v>0</v>
      </c>
      <c r="N40" s="114">
        <f>HighSchool_Space_Summary[[#This Row],[Proposed_Keep_Area_Totals]]+HighSchool_Space_Summary[[#This Row],[Proposed_New_Area_Totals]]</f>
        <v>0</v>
      </c>
      <c r="O40" s="119" cm="1">
        <f t="array" ref="O40">IF((Enrollment_SQF[Total Enrollment]+Special_Education_Student_Input!$B$2)&lt;300,1600,1600+((Enrollment_SQF[Total Enrollment]+Special_Education_Student_Input!$B$2)-300))</f>
        <v>2968</v>
      </c>
      <c r="P40" s="56">
        <v>1</v>
      </c>
      <c r="Q40" s="117">
        <f t="shared" si="3"/>
        <v>2968</v>
      </c>
      <c r="R40" s="46" t="s">
        <v>74</v>
      </c>
    </row>
    <row r="41" spans="1:18" x14ac:dyDescent="0.2">
      <c r="A41" s="9" t="s">
        <v>68</v>
      </c>
      <c r="B41" s="9" t="s">
        <v>75</v>
      </c>
      <c r="C41" s="5"/>
      <c r="D41" s="56"/>
      <c r="E41" s="125">
        <f>HighSchool_Space_Summary[[#This Row],[Existing_Room_NFA]]*HighSchool_Space_Summary[[#This Row],[Existing_'#_Rooms]]</f>
        <v>0</v>
      </c>
      <c r="F41" s="5"/>
      <c r="G41" s="56"/>
      <c r="H41" s="125">
        <f>HighSchool_Space_Summary[[#This Row],[Proposed_Keep_Room_NFA]]*HighSchool_Space_Summary[[#This Row],[Proposed_Keep_'#_Rooms]]</f>
        <v>0</v>
      </c>
      <c r="I41" s="5"/>
      <c r="J41" s="56"/>
      <c r="K41" s="113">
        <f>HighSchool_Space_Summary[[#This Row],[Proposed_New_Room_NFA]]*HighSchool_Space_Summary[[#This Row],[Proposed_New_'#_Rooms]]</f>
        <v>0</v>
      </c>
      <c r="L41" s="114">
        <f>HighSchool_Space_Summary[[#This Row],[Proposed_Keep_Room_NFA]]+HighSchool_Space_Summary[[#This Row],[Proposed_New_Room_NFA]]</f>
        <v>0</v>
      </c>
      <c r="M41" s="114">
        <f>HighSchool_Space_Summary[[#This Row],[Proposed_Keep_'#_Rooms]]+HighSchool_Space_Summary[[#This Row],[Proposed_New_'#_Rooms]]</f>
        <v>0</v>
      </c>
      <c r="N41" s="114">
        <f>HighSchool_Space_Summary[[#This Row],[Proposed_Keep_Area_Totals]]+HighSchool_Space_Summary[[#This Row],[Proposed_New_Area_Totals]]</f>
        <v>0</v>
      </c>
      <c r="O41" s="119" cm="1">
        <f t="array" ref="O41">IF((Enrollment_SQF[Total Enrollment]+Special_Education_Student_Input!$B$2)&lt;600,400,400+((Enrollment_SQF[Total Enrollment]+Special_Education_Student_Input!$B$2)-600)*0.25)</f>
        <v>667</v>
      </c>
      <c r="P41" s="56">
        <v>1</v>
      </c>
      <c r="Q41" s="117">
        <f t="shared" si="3"/>
        <v>667</v>
      </c>
      <c r="R41" s="46" t="s">
        <v>76</v>
      </c>
    </row>
    <row r="42" spans="1:18" x14ac:dyDescent="0.2">
      <c r="A42" s="9" t="s">
        <v>77</v>
      </c>
      <c r="B42" s="9" t="s">
        <v>78</v>
      </c>
      <c r="C42" s="5"/>
      <c r="D42" s="56"/>
      <c r="E42" s="123">
        <f>HighSchool_Space_Summary[[#This Row],[Existing_Room_NFA]]*HighSchool_Space_Summary[[#This Row],[Existing_'#_Rooms]]</f>
        <v>0</v>
      </c>
      <c r="F42" s="5"/>
      <c r="G42" s="56"/>
      <c r="H42" s="123">
        <f>HighSchool_Space_Summary[[#This Row],[Proposed_Keep_Room_NFA]]*HighSchool_Space_Summary[[#This Row],[Proposed_Keep_'#_Rooms]]</f>
        <v>0</v>
      </c>
      <c r="I42" s="5"/>
      <c r="J42" s="56"/>
      <c r="K42" s="113">
        <f>HighSchool_Space_Summary[[#This Row],[Proposed_New_Room_NFA]]*HighSchool_Space_Summary[[#This Row],[Proposed_New_'#_Rooms]]</f>
        <v>0</v>
      </c>
      <c r="L42" s="114">
        <f>HighSchool_Space_Summary[[#This Row],[Proposed_Keep_Room_NFA]]+HighSchool_Space_Summary[[#This Row],[Proposed_New_Room_NFA]]</f>
        <v>0</v>
      </c>
      <c r="M42" s="114">
        <f>HighSchool_Space_Summary[[#This Row],[Proposed_Keep_'#_Rooms]]+HighSchool_Space_Summary[[#This Row],[Proposed_New_'#_Rooms]]</f>
        <v>0</v>
      </c>
      <c r="N42" s="114">
        <f>HighSchool_Space_Summary[[#This Row],[Proposed_Keep_Area_Totals]]+HighSchool_Space_Summary[[#This Row],[Proposed_New_Area_Totals]]</f>
        <v>0</v>
      </c>
      <c r="O42" s="5">
        <v>60</v>
      </c>
      <c r="P42" s="56">
        <v>1</v>
      </c>
      <c r="Q42" s="117">
        <f t="shared" si="3"/>
        <v>60</v>
      </c>
      <c r="R42" s="46"/>
    </row>
    <row r="43" spans="1:18" x14ac:dyDescent="0.2">
      <c r="A43" s="9" t="s">
        <v>77</v>
      </c>
      <c r="B43" s="9" t="s">
        <v>79</v>
      </c>
      <c r="C43" s="5"/>
      <c r="D43" s="56"/>
      <c r="E43" s="123">
        <f>HighSchool_Space_Summary[[#This Row],[Existing_Room_NFA]]*HighSchool_Space_Summary[[#This Row],[Existing_'#_Rooms]]</f>
        <v>0</v>
      </c>
      <c r="F43" s="5"/>
      <c r="G43" s="56"/>
      <c r="H43" s="123">
        <f>HighSchool_Space_Summary[[#This Row],[Proposed_Keep_Room_NFA]]*HighSchool_Space_Summary[[#This Row],[Proposed_Keep_'#_Rooms]]</f>
        <v>0</v>
      </c>
      <c r="I43" s="5"/>
      <c r="J43" s="56"/>
      <c r="K43" s="113">
        <f>HighSchool_Space_Summary[[#This Row],[Proposed_New_Room_NFA]]*HighSchool_Space_Summary[[#This Row],[Proposed_New_'#_Rooms]]</f>
        <v>0</v>
      </c>
      <c r="L43" s="114">
        <f>HighSchool_Space_Summary[[#This Row],[Proposed_Keep_Room_NFA]]+HighSchool_Space_Summary[[#This Row],[Proposed_New_Room_NFA]]</f>
        <v>0</v>
      </c>
      <c r="M43" s="114">
        <f>HighSchool_Space_Summary[[#This Row],[Proposed_Keep_'#_Rooms]]+HighSchool_Space_Summary[[#This Row],[Proposed_New_'#_Rooms]]</f>
        <v>0</v>
      </c>
      <c r="N43" s="114">
        <f>HighSchool_Space_Summary[[#This Row],[Proposed_Keep_Area_Totals]]+HighSchool_Space_Summary[[#This Row],[Proposed_New_Area_Totals]]</f>
        <v>0</v>
      </c>
      <c r="O43" s="5">
        <v>250</v>
      </c>
      <c r="P43" s="56">
        <v>1</v>
      </c>
      <c r="Q43" s="117">
        <f t="shared" si="3"/>
        <v>250</v>
      </c>
      <c r="R43" s="46"/>
    </row>
    <row r="44" spans="1:18" x14ac:dyDescent="0.2">
      <c r="A44" s="9" t="s">
        <v>77</v>
      </c>
      <c r="B44" s="9" t="s">
        <v>80</v>
      </c>
      <c r="C44" s="5"/>
      <c r="D44" s="56"/>
      <c r="E44" s="123">
        <f>HighSchool_Space_Summary[[#This Row],[Existing_Room_NFA]]*HighSchool_Space_Summary[[#This Row],[Existing_'#_Rooms]]</f>
        <v>0</v>
      </c>
      <c r="F44" s="5"/>
      <c r="G44" s="56"/>
      <c r="H44" s="123">
        <f>HighSchool_Space_Summary[[#This Row],[Proposed_Keep_Room_NFA]]*HighSchool_Space_Summary[[#This Row],[Proposed_Keep_'#_Rooms]]</f>
        <v>0</v>
      </c>
      <c r="I44" s="5"/>
      <c r="J44" s="56"/>
      <c r="K44" s="113">
        <f>HighSchool_Space_Summary[[#This Row],[Proposed_New_Room_NFA]]*HighSchool_Space_Summary[[#This Row],[Proposed_New_'#_Rooms]]</f>
        <v>0</v>
      </c>
      <c r="L44" s="114">
        <f>HighSchool_Space_Summary[[#This Row],[Proposed_Keep_Room_NFA]]+HighSchool_Space_Summary[[#This Row],[Proposed_New_Room_NFA]]</f>
        <v>0</v>
      </c>
      <c r="M44" s="114">
        <f>HighSchool_Space_Summary[[#This Row],[Proposed_Keep_'#_Rooms]]+HighSchool_Space_Summary[[#This Row],[Proposed_New_'#_Rooms]]</f>
        <v>0</v>
      </c>
      <c r="N44" s="114">
        <f>HighSchool_Space_Summary[[#This Row],[Proposed_Keep_Area_Totals]]+HighSchool_Space_Summary[[#This Row],[Proposed_New_Area_Totals]]</f>
        <v>0</v>
      </c>
      <c r="O44" s="5">
        <v>100</v>
      </c>
      <c r="P44" s="116">
        <f>IF(1+ROUND((Q72-600)/400,0)=-1,1,1+ROUND((Q72-600)/400,0))</f>
        <v>4</v>
      </c>
      <c r="Q44" s="117">
        <f t="shared" si="3"/>
        <v>400</v>
      </c>
      <c r="R44" s="46"/>
    </row>
    <row r="45" spans="1:18" x14ac:dyDescent="0.2">
      <c r="A45" s="9" t="s">
        <v>77</v>
      </c>
      <c r="B45" s="9" t="s">
        <v>81</v>
      </c>
      <c r="C45" s="5"/>
      <c r="D45" s="56"/>
      <c r="E45" s="123">
        <f>HighSchool_Space_Summary[[#This Row],[Existing_Room_NFA]]*HighSchool_Space_Summary[[#This Row],[Existing_'#_Rooms]]</f>
        <v>0</v>
      </c>
      <c r="F45" s="5"/>
      <c r="G45" s="56"/>
      <c r="H45" s="123">
        <f>HighSchool_Space_Summary[[#This Row],[Proposed_Keep_Room_NFA]]*HighSchool_Space_Summary[[#This Row],[Proposed_Keep_'#_Rooms]]</f>
        <v>0</v>
      </c>
      <c r="I45" s="5"/>
      <c r="J45" s="56"/>
      <c r="K45" s="113">
        <f>HighSchool_Space_Summary[[#This Row],[Proposed_New_Room_NFA]]*HighSchool_Space_Summary[[#This Row],[Proposed_New_'#_Rooms]]</f>
        <v>0</v>
      </c>
      <c r="L45" s="114">
        <f>HighSchool_Space_Summary[[#This Row],[Proposed_Keep_Room_NFA]]+HighSchool_Space_Summary[[#This Row],[Proposed_New_Room_NFA]]</f>
        <v>0</v>
      </c>
      <c r="M45" s="114">
        <f>HighSchool_Space_Summary[[#This Row],[Proposed_Keep_'#_Rooms]]+HighSchool_Space_Summary[[#This Row],[Proposed_New_'#_Rooms]]</f>
        <v>0</v>
      </c>
      <c r="N45" s="114">
        <f>HighSchool_Space_Summary[[#This Row],[Proposed_Keep_Area_Totals]]+HighSchool_Space_Summary[[#This Row],[Proposed_New_Area_Totals]]</f>
        <v>0</v>
      </c>
      <c r="O45" s="5">
        <v>100</v>
      </c>
      <c r="P45" s="116">
        <f>ROUNDUP(Q72/250,0)</f>
        <v>7</v>
      </c>
      <c r="Q45" s="117">
        <f t="shared" si="3"/>
        <v>700</v>
      </c>
      <c r="R45" s="46"/>
    </row>
    <row r="46" spans="1:18" x14ac:dyDescent="0.2">
      <c r="A46" s="9" t="s">
        <v>82</v>
      </c>
      <c r="B46" s="9" t="s">
        <v>83</v>
      </c>
      <c r="C46" s="59"/>
      <c r="D46" s="55"/>
      <c r="E46" s="126">
        <f>HighSchool_Space_Summary[[#This Row],[Existing_Room_NFA]]*HighSchool_Space_Summary[[#This Row],[Existing_'#_Rooms]]</f>
        <v>0</v>
      </c>
      <c r="F46" s="59"/>
      <c r="G46" s="55"/>
      <c r="H46" s="126">
        <f>HighSchool_Space_Summary[[#This Row],[Proposed_Keep_Room_NFA]]*HighSchool_Space_Summary[[#This Row],[Proposed_Keep_'#_Rooms]]</f>
        <v>0</v>
      </c>
      <c r="I46" s="22"/>
      <c r="J46" s="55"/>
      <c r="K46" s="113">
        <f>HighSchool_Space_Summary[[#This Row],[Proposed_New_Room_NFA]]*HighSchool_Space_Summary[[#This Row],[Proposed_New_'#_Rooms]]</f>
        <v>0</v>
      </c>
      <c r="L46" s="114">
        <f>HighSchool_Space_Summary[[#This Row],[Proposed_Keep_Room_NFA]]+HighSchool_Space_Summary[[#This Row],[Proposed_New_Room_NFA]]</f>
        <v>0</v>
      </c>
      <c r="M46" s="114">
        <f>HighSchool_Space_Summary[[#This Row],[Proposed_Keep_'#_Rooms]]+HighSchool_Space_Summary[[#This Row],[Proposed_New_'#_Rooms]]</f>
        <v>0</v>
      </c>
      <c r="N46" s="114">
        <f>HighSchool_Space_Summary[[#This Row],[Proposed_Keep_Area_Totals]]+HighSchool_Space_Summary[[#This Row],[Proposed_New_Area_Totals]]</f>
        <v>0</v>
      </c>
      <c r="O46" s="120" cm="1">
        <f t="array" ref="O46">IF((Enrollment_SQF[Total Enrollment]+Special_Education_Student_Input!$B$2)&lt;600,300,300+((Enrollment_SQF[Total Enrollment]+Special_Education_Student_Input!$B$2)-600)*0.5)</f>
        <v>834</v>
      </c>
      <c r="P46" s="55">
        <v>1</v>
      </c>
      <c r="Q46" s="117">
        <f t="shared" ref="Q46:Q61" si="4">P46*O46</f>
        <v>834</v>
      </c>
      <c r="R46" s="50"/>
    </row>
    <row r="47" spans="1:18" x14ac:dyDescent="0.2">
      <c r="A47" s="9" t="s">
        <v>82</v>
      </c>
      <c r="B47" s="9" t="s">
        <v>84</v>
      </c>
      <c r="C47" s="60"/>
      <c r="D47" s="56"/>
      <c r="E47" s="123">
        <f>HighSchool_Space_Summary[[#This Row],[Existing_Room_NFA]]*HighSchool_Space_Summary[[#This Row],[Existing_'#_Rooms]]</f>
        <v>0</v>
      </c>
      <c r="F47" s="60"/>
      <c r="G47" s="56"/>
      <c r="H47" s="123">
        <f>HighSchool_Space_Summary[[#This Row],[Proposed_Keep_Room_NFA]]*HighSchool_Space_Summary[[#This Row],[Proposed_Keep_'#_Rooms]]</f>
        <v>0</v>
      </c>
      <c r="I47" s="5"/>
      <c r="J47" s="56"/>
      <c r="K47" s="113">
        <f>HighSchool_Space_Summary[[#This Row],[Proposed_New_Room_NFA]]*HighSchool_Space_Summary[[#This Row],[Proposed_New_'#_Rooms]]</f>
        <v>0</v>
      </c>
      <c r="L47" s="114">
        <f>HighSchool_Space_Summary[[#This Row],[Proposed_Keep_Room_NFA]]+HighSchool_Space_Summary[[#This Row],[Proposed_New_Room_NFA]]</f>
        <v>0</v>
      </c>
      <c r="M47" s="114">
        <f>HighSchool_Space_Summary[[#This Row],[Proposed_Keep_'#_Rooms]]+HighSchool_Space_Summary[[#This Row],[Proposed_New_'#_Rooms]]</f>
        <v>0</v>
      </c>
      <c r="N47" s="114">
        <f>HighSchool_Space_Summary[[#This Row],[Proposed_Keep_Area_Totals]]+HighSchool_Space_Summary[[#This Row],[Proposed_New_Area_Totals]]</f>
        <v>0</v>
      </c>
      <c r="O47" s="5">
        <v>100</v>
      </c>
      <c r="P47" s="56">
        <v>1</v>
      </c>
      <c r="Q47" s="117">
        <f t="shared" si="4"/>
        <v>100</v>
      </c>
      <c r="R47" s="46"/>
    </row>
    <row r="48" spans="1:18" x14ac:dyDescent="0.2">
      <c r="A48" s="9" t="s">
        <v>82</v>
      </c>
      <c r="B48" s="9" t="s">
        <v>85</v>
      </c>
      <c r="C48" s="60"/>
      <c r="D48" s="56"/>
      <c r="E48" s="123">
        <f>HighSchool_Space_Summary[[#This Row],[Existing_Room_NFA]]*HighSchool_Space_Summary[[#This Row],[Existing_'#_Rooms]]</f>
        <v>0</v>
      </c>
      <c r="F48" s="60"/>
      <c r="G48" s="56"/>
      <c r="H48" s="123">
        <f>HighSchool_Space_Summary[[#This Row],[Proposed_Keep_Room_NFA]]*HighSchool_Space_Summary[[#This Row],[Proposed_Keep_'#_Rooms]]</f>
        <v>0</v>
      </c>
      <c r="I48" s="5"/>
      <c r="J48" s="56"/>
      <c r="K48" s="113">
        <f>HighSchool_Space_Summary[[#This Row],[Proposed_New_Room_NFA]]*HighSchool_Space_Summary[[#This Row],[Proposed_New_'#_Rooms]]</f>
        <v>0</v>
      </c>
      <c r="L48" s="114">
        <f>HighSchool_Space_Summary[[#This Row],[Proposed_Keep_Room_NFA]]+HighSchool_Space_Summary[[#This Row],[Proposed_New_Room_NFA]]</f>
        <v>0</v>
      </c>
      <c r="M48" s="114">
        <f>HighSchool_Space_Summary[[#This Row],[Proposed_Keep_'#_Rooms]]+HighSchool_Space_Summary[[#This Row],[Proposed_New_'#_Rooms]]</f>
        <v>0</v>
      </c>
      <c r="N48" s="114">
        <f>HighSchool_Space_Summary[[#This Row],[Proposed_Keep_Area_Totals]]+HighSchool_Space_Summary[[#This Row],[Proposed_New_Area_Totals]]</f>
        <v>0</v>
      </c>
      <c r="O48" s="5">
        <v>200</v>
      </c>
      <c r="P48" s="56">
        <v>1</v>
      </c>
      <c r="Q48" s="117">
        <f t="shared" si="4"/>
        <v>200</v>
      </c>
      <c r="R48" s="46"/>
    </row>
    <row r="49" spans="1:18" x14ac:dyDescent="0.2">
      <c r="A49" s="9" t="s">
        <v>82</v>
      </c>
      <c r="B49" s="9" t="s">
        <v>86</v>
      </c>
      <c r="C49" s="60"/>
      <c r="D49" s="56"/>
      <c r="E49" s="123">
        <f>HighSchool_Space_Summary[[#This Row],[Existing_Room_NFA]]*HighSchool_Space_Summary[[#This Row],[Existing_'#_Rooms]]</f>
        <v>0</v>
      </c>
      <c r="F49" s="60"/>
      <c r="G49" s="56"/>
      <c r="H49" s="123">
        <f>HighSchool_Space_Summary[[#This Row],[Proposed_Keep_Room_NFA]]*HighSchool_Space_Summary[[#This Row],[Proposed_Keep_'#_Rooms]]</f>
        <v>0</v>
      </c>
      <c r="I49" s="5"/>
      <c r="J49" s="56"/>
      <c r="K49" s="113">
        <f>HighSchool_Space_Summary[[#This Row],[Proposed_New_Room_NFA]]*HighSchool_Space_Summary[[#This Row],[Proposed_New_'#_Rooms]]</f>
        <v>0</v>
      </c>
      <c r="L49" s="114">
        <f>HighSchool_Space_Summary[[#This Row],[Proposed_Keep_Room_NFA]]+HighSchool_Space_Summary[[#This Row],[Proposed_New_Room_NFA]]</f>
        <v>0</v>
      </c>
      <c r="M49" s="114">
        <f>HighSchool_Space_Summary[[#This Row],[Proposed_Keep_'#_Rooms]]+HighSchool_Space_Summary[[#This Row],[Proposed_New_'#_Rooms]]</f>
        <v>0</v>
      </c>
      <c r="N49" s="114">
        <f>HighSchool_Space_Summary[[#This Row],[Proposed_Keep_Area_Totals]]+HighSchool_Space_Summary[[#This Row],[Proposed_New_Area_Totals]]</f>
        <v>0</v>
      </c>
      <c r="O49" s="5">
        <v>200</v>
      </c>
      <c r="P49" s="56">
        <v>1</v>
      </c>
      <c r="Q49" s="117">
        <f t="shared" si="4"/>
        <v>200</v>
      </c>
      <c r="R49" s="46"/>
    </row>
    <row r="50" spans="1:18" x14ac:dyDescent="0.2">
      <c r="A50" s="9" t="s">
        <v>82</v>
      </c>
      <c r="B50" s="9" t="s">
        <v>87</v>
      </c>
      <c r="C50" s="60"/>
      <c r="D50" s="56"/>
      <c r="E50" s="123">
        <f>HighSchool_Space_Summary[[#This Row],[Existing_Room_NFA]]*HighSchool_Space_Summary[[#This Row],[Existing_'#_Rooms]]</f>
        <v>0</v>
      </c>
      <c r="F50" s="60"/>
      <c r="G50" s="56"/>
      <c r="H50" s="123">
        <f>HighSchool_Space_Summary[[#This Row],[Proposed_Keep_Room_NFA]]*HighSchool_Space_Summary[[#This Row],[Proposed_Keep_'#_Rooms]]</f>
        <v>0</v>
      </c>
      <c r="I50" s="5"/>
      <c r="J50" s="56"/>
      <c r="K50" s="113">
        <f>HighSchool_Space_Summary[[#This Row],[Proposed_New_Room_NFA]]*HighSchool_Space_Summary[[#This Row],[Proposed_New_'#_Rooms]]</f>
        <v>0</v>
      </c>
      <c r="L50" s="114">
        <f>HighSchool_Space_Summary[[#This Row],[Proposed_Keep_Room_NFA]]+HighSchool_Space_Summary[[#This Row],[Proposed_New_Room_NFA]]</f>
        <v>0</v>
      </c>
      <c r="M50" s="114">
        <f>HighSchool_Space_Summary[[#This Row],[Proposed_Keep_'#_Rooms]]+HighSchool_Space_Summary[[#This Row],[Proposed_New_'#_Rooms]]</f>
        <v>0</v>
      </c>
      <c r="N50" s="114">
        <f>HighSchool_Space_Summary[[#This Row],[Proposed_Keep_Area_Totals]]+HighSchool_Space_Summary[[#This Row],[Proposed_New_Area_Totals]]</f>
        <v>0</v>
      </c>
      <c r="O50" s="5">
        <v>375</v>
      </c>
      <c r="P50" s="56">
        <v>1</v>
      </c>
      <c r="Q50" s="117">
        <f t="shared" si="4"/>
        <v>375</v>
      </c>
      <c r="R50" s="46"/>
    </row>
    <row r="51" spans="1:18" x14ac:dyDescent="0.2">
      <c r="A51" s="9" t="s">
        <v>82</v>
      </c>
      <c r="B51" s="10" t="s">
        <v>88</v>
      </c>
      <c r="C51" s="60"/>
      <c r="D51" s="56"/>
      <c r="E51" s="123">
        <f>HighSchool_Space_Summary[[#This Row],[Existing_Room_NFA]]*HighSchool_Space_Summary[[#This Row],[Existing_'#_Rooms]]</f>
        <v>0</v>
      </c>
      <c r="F51" s="60"/>
      <c r="G51" s="56"/>
      <c r="H51" s="123">
        <f>HighSchool_Space_Summary[[#This Row],[Proposed_Keep_Room_NFA]]*HighSchool_Space_Summary[[#This Row],[Proposed_Keep_'#_Rooms]]</f>
        <v>0</v>
      </c>
      <c r="I51" s="5"/>
      <c r="J51" s="56"/>
      <c r="K51" s="113">
        <f>HighSchool_Space_Summary[[#This Row],[Proposed_New_Room_NFA]]*HighSchool_Space_Summary[[#This Row],[Proposed_New_'#_Rooms]]</f>
        <v>0</v>
      </c>
      <c r="L51" s="114">
        <f>HighSchool_Space_Summary[[#This Row],[Proposed_Keep_Room_NFA]]+HighSchool_Space_Summary[[#This Row],[Proposed_New_Room_NFA]]</f>
        <v>0</v>
      </c>
      <c r="M51" s="114">
        <f>HighSchool_Space_Summary[[#This Row],[Proposed_Keep_'#_Rooms]]+HighSchool_Space_Summary[[#This Row],[Proposed_New_'#_Rooms]]</f>
        <v>0</v>
      </c>
      <c r="N51" s="114">
        <f>HighSchool_Space_Summary[[#This Row],[Proposed_Keep_Area_Totals]]+HighSchool_Space_Summary[[#This Row],[Proposed_New_Area_Totals]]</f>
        <v>0</v>
      </c>
      <c r="O51" s="5">
        <v>125</v>
      </c>
      <c r="P51" s="56">
        <v>1</v>
      </c>
      <c r="Q51" s="117">
        <f t="shared" si="4"/>
        <v>125</v>
      </c>
      <c r="R51" s="46"/>
    </row>
    <row r="52" spans="1:18" x14ac:dyDescent="0.2">
      <c r="A52" s="9" t="s">
        <v>82</v>
      </c>
      <c r="B52" s="10" t="s">
        <v>89</v>
      </c>
      <c r="C52" s="60"/>
      <c r="D52" s="56"/>
      <c r="E52" s="123">
        <f>HighSchool_Space_Summary[[#This Row],[Existing_Room_NFA]]*HighSchool_Space_Summary[[#This Row],[Existing_'#_Rooms]]</f>
        <v>0</v>
      </c>
      <c r="F52" s="60"/>
      <c r="G52" s="56"/>
      <c r="H52" s="123">
        <f>HighSchool_Space_Summary[[#This Row],[Proposed_Keep_Room_NFA]]*HighSchool_Space_Summary[[#This Row],[Proposed_Keep_'#_Rooms]]</f>
        <v>0</v>
      </c>
      <c r="I52" s="5"/>
      <c r="J52" s="56"/>
      <c r="K52" s="113">
        <f>HighSchool_Space_Summary[[#This Row],[Proposed_New_Room_NFA]]*HighSchool_Space_Summary[[#This Row],[Proposed_New_'#_Rooms]]</f>
        <v>0</v>
      </c>
      <c r="L52" s="114">
        <f>HighSchool_Space_Summary[[#This Row],[Proposed_Keep_Room_NFA]]+HighSchool_Space_Summary[[#This Row],[Proposed_New_Room_NFA]]</f>
        <v>0</v>
      </c>
      <c r="M52" s="114">
        <f>HighSchool_Space_Summary[[#This Row],[Proposed_Keep_'#_Rooms]]+HighSchool_Space_Summary[[#This Row],[Proposed_New_'#_Rooms]]</f>
        <v>0</v>
      </c>
      <c r="N52" s="114">
        <f>HighSchool_Space_Summary[[#This Row],[Proposed_Keep_Area_Totals]]+HighSchool_Space_Summary[[#This Row],[Proposed_New_Area_Totals]]</f>
        <v>0</v>
      </c>
      <c r="O52" s="5">
        <v>150</v>
      </c>
      <c r="P52" s="56">
        <v>1</v>
      </c>
      <c r="Q52" s="117">
        <f t="shared" si="4"/>
        <v>150</v>
      </c>
      <c r="R52" s="46"/>
    </row>
    <row r="53" spans="1:18" x14ac:dyDescent="0.2">
      <c r="A53" s="9" t="s">
        <v>82</v>
      </c>
      <c r="B53" s="10" t="s">
        <v>90</v>
      </c>
      <c r="C53" s="60"/>
      <c r="D53" s="56"/>
      <c r="E53" s="123">
        <f>HighSchool_Space_Summary[[#This Row],[Existing_Room_NFA]]*HighSchool_Space_Summary[[#This Row],[Existing_'#_Rooms]]</f>
        <v>0</v>
      </c>
      <c r="F53" s="60"/>
      <c r="G53" s="56"/>
      <c r="H53" s="123">
        <f>HighSchool_Space_Summary[[#This Row],[Proposed_Keep_Room_NFA]]*HighSchool_Space_Summary[[#This Row],[Proposed_Keep_'#_Rooms]]</f>
        <v>0</v>
      </c>
      <c r="I53" s="5"/>
      <c r="J53" s="56"/>
      <c r="K53" s="113">
        <f>HighSchool_Space_Summary[[#This Row],[Proposed_New_Room_NFA]]*HighSchool_Space_Summary[[#This Row],[Proposed_New_'#_Rooms]]</f>
        <v>0</v>
      </c>
      <c r="L53" s="114">
        <f>HighSchool_Space_Summary[[#This Row],[Proposed_Keep_Room_NFA]]+HighSchool_Space_Summary[[#This Row],[Proposed_New_Room_NFA]]</f>
        <v>0</v>
      </c>
      <c r="M53" s="114">
        <f>HighSchool_Space_Summary[[#This Row],[Proposed_Keep_'#_Rooms]]+HighSchool_Space_Summary[[#This Row],[Proposed_New_'#_Rooms]]</f>
        <v>0</v>
      </c>
      <c r="N53" s="114">
        <f>HighSchool_Space_Summary[[#This Row],[Proposed_Keep_Area_Totals]]+HighSchool_Space_Summary[[#This Row],[Proposed_New_Area_Totals]]</f>
        <v>0</v>
      </c>
      <c r="O53" s="5">
        <v>150</v>
      </c>
      <c r="P53" s="116">
        <f>IF(Q72&lt;1000,0,1+ROUNDDOWN((Q72-1000)/400,0))</f>
        <v>2</v>
      </c>
      <c r="Q53" s="117">
        <f t="shared" si="4"/>
        <v>300</v>
      </c>
      <c r="R53" s="46"/>
    </row>
    <row r="54" spans="1:18" x14ac:dyDescent="0.2">
      <c r="A54" s="9" t="s">
        <v>82</v>
      </c>
      <c r="B54" s="10" t="s">
        <v>91</v>
      </c>
      <c r="C54" s="60"/>
      <c r="D54" s="56"/>
      <c r="E54" s="123">
        <f>HighSchool_Space_Summary[[#This Row],[Existing_Room_NFA]]*HighSchool_Space_Summary[[#This Row],[Existing_'#_Rooms]]</f>
        <v>0</v>
      </c>
      <c r="F54" s="60"/>
      <c r="G54" s="56"/>
      <c r="H54" s="123">
        <f>HighSchool_Space_Summary[[#This Row],[Proposed_Keep_Room_NFA]]*HighSchool_Space_Summary[[#This Row],[Proposed_Keep_'#_Rooms]]</f>
        <v>0</v>
      </c>
      <c r="I54" s="5"/>
      <c r="J54" s="56"/>
      <c r="K54" s="113">
        <f>HighSchool_Space_Summary[[#This Row],[Proposed_New_Room_NFA]]*HighSchool_Space_Summary[[#This Row],[Proposed_New_'#_Rooms]]</f>
        <v>0</v>
      </c>
      <c r="L54" s="114">
        <f>HighSchool_Space_Summary[[#This Row],[Proposed_Keep_Room_NFA]]+HighSchool_Space_Summary[[#This Row],[Proposed_New_Room_NFA]]</f>
        <v>0</v>
      </c>
      <c r="M54" s="114">
        <f>HighSchool_Space_Summary[[#This Row],[Proposed_Keep_'#_Rooms]]+HighSchool_Space_Summary[[#This Row],[Proposed_New_'#_Rooms]]</f>
        <v>0</v>
      </c>
      <c r="N54" s="114">
        <f>HighSchool_Space_Summary[[#This Row],[Proposed_Keep_Area_Totals]]+HighSchool_Space_Summary[[#This Row],[Proposed_New_Area_Totals]]</f>
        <v>0</v>
      </c>
      <c r="O54" s="5">
        <v>120</v>
      </c>
      <c r="P54" s="56">
        <v>1</v>
      </c>
      <c r="Q54" s="117">
        <f t="shared" si="4"/>
        <v>120</v>
      </c>
      <c r="R54" s="46"/>
    </row>
    <row r="55" spans="1:18" x14ac:dyDescent="0.2">
      <c r="A55" s="9" t="s">
        <v>82</v>
      </c>
      <c r="B55" s="10" t="s">
        <v>92</v>
      </c>
      <c r="C55" s="60"/>
      <c r="D55" s="56"/>
      <c r="E55" s="123">
        <f>HighSchool_Space_Summary[[#This Row],[Existing_Room_NFA]]*HighSchool_Space_Summary[[#This Row],[Existing_'#_Rooms]]</f>
        <v>0</v>
      </c>
      <c r="F55" s="60"/>
      <c r="G55" s="56"/>
      <c r="H55" s="123">
        <f>HighSchool_Space_Summary[[#This Row],[Proposed_Keep_Room_NFA]]*HighSchool_Space_Summary[[#This Row],[Proposed_Keep_'#_Rooms]]</f>
        <v>0</v>
      </c>
      <c r="I55" s="5"/>
      <c r="J55" s="56"/>
      <c r="K55" s="113">
        <f>HighSchool_Space_Summary[[#This Row],[Proposed_New_Room_NFA]]*HighSchool_Space_Summary[[#This Row],[Proposed_New_'#_Rooms]]</f>
        <v>0</v>
      </c>
      <c r="L55" s="114">
        <f>HighSchool_Space_Summary[[#This Row],[Proposed_Keep_Room_NFA]]+HighSchool_Space_Summary[[#This Row],[Proposed_New_Room_NFA]]</f>
        <v>0</v>
      </c>
      <c r="M55" s="114">
        <f>HighSchool_Space_Summary[[#This Row],[Proposed_Keep_'#_Rooms]]+HighSchool_Space_Summary[[#This Row],[Proposed_New_'#_Rooms]]</f>
        <v>0</v>
      </c>
      <c r="N55" s="114">
        <f>HighSchool_Space_Summary[[#This Row],[Proposed_Keep_Area_Totals]]+HighSchool_Space_Summary[[#This Row],[Proposed_New_Area_Totals]]</f>
        <v>0</v>
      </c>
      <c r="O55" s="5">
        <v>450</v>
      </c>
      <c r="P55" s="56">
        <v>1</v>
      </c>
      <c r="Q55" s="117">
        <f t="shared" si="4"/>
        <v>450</v>
      </c>
      <c r="R55" s="46"/>
    </row>
    <row r="56" spans="1:18" x14ac:dyDescent="0.2">
      <c r="A56" s="9" t="s">
        <v>82</v>
      </c>
      <c r="B56" s="9" t="s">
        <v>93</v>
      </c>
      <c r="C56" s="5"/>
      <c r="D56" s="56"/>
      <c r="E56" s="123">
        <f>HighSchool_Space_Summary[[#This Row],[Existing_Room_NFA]]*HighSchool_Space_Summary[[#This Row],[Existing_'#_Rooms]]</f>
        <v>0</v>
      </c>
      <c r="F56" s="5"/>
      <c r="G56" s="56"/>
      <c r="H56" s="123">
        <f>HighSchool_Space_Summary[[#This Row],[Proposed_Keep_Room_NFA]]*HighSchool_Space_Summary[[#This Row],[Proposed_Keep_'#_Rooms]]</f>
        <v>0</v>
      </c>
      <c r="I56" s="5"/>
      <c r="J56" s="56"/>
      <c r="K56" s="113">
        <f>HighSchool_Space_Summary[[#This Row],[Proposed_New_Room_NFA]]*HighSchool_Space_Summary[[#This Row],[Proposed_New_'#_Rooms]]</f>
        <v>0</v>
      </c>
      <c r="L56" s="114">
        <f>HighSchool_Space_Summary[[#This Row],[Proposed_Keep_Room_NFA]]+HighSchool_Space_Summary[[#This Row],[Proposed_New_Room_NFA]]</f>
        <v>0</v>
      </c>
      <c r="M56" s="114">
        <f>HighSchool_Space_Summary[[#This Row],[Proposed_Keep_'#_Rooms]]+HighSchool_Space_Summary[[#This Row],[Proposed_New_'#_Rooms]]</f>
        <v>0</v>
      </c>
      <c r="N56" s="114">
        <f>HighSchool_Space_Summary[[#This Row],[Proposed_Keep_Area_Totals]]+HighSchool_Space_Summary[[#This Row],[Proposed_New_Area_Totals]]</f>
        <v>0</v>
      </c>
      <c r="O56" s="5">
        <v>150</v>
      </c>
      <c r="P56" s="116">
        <f>ROUNDUP(Q72/200,0)</f>
        <v>8</v>
      </c>
      <c r="Q56" s="117">
        <f t="shared" si="4"/>
        <v>1200</v>
      </c>
      <c r="R56" s="51"/>
    </row>
    <row r="57" spans="1:18" x14ac:dyDescent="0.2">
      <c r="A57" s="9" t="s">
        <v>82</v>
      </c>
      <c r="B57" s="9" t="s">
        <v>94</v>
      </c>
      <c r="C57" s="5"/>
      <c r="D57" s="56"/>
      <c r="E57" s="123">
        <f>HighSchool_Space_Summary[[#This Row],[Existing_Room_NFA]]*HighSchool_Space_Summary[[#This Row],[Existing_'#_Rooms]]</f>
        <v>0</v>
      </c>
      <c r="F57" s="5"/>
      <c r="G57" s="56"/>
      <c r="H57" s="123">
        <f>HighSchool_Space_Summary[[#This Row],[Proposed_Keep_Room_NFA]]*HighSchool_Space_Summary[[#This Row],[Proposed_Keep_'#_Rooms]]</f>
        <v>0</v>
      </c>
      <c r="I57" s="5"/>
      <c r="J57" s="56"/>
      <c r="K57" s="113">
        <f>HighSchool_Space_Summary[[#This Row],[Proposed_New_Room_NFA]]*HighSchool_Space_Summary[[#This Row],[Proposed_New_'#_Rooms]]</f>
        <v>0</v>
      </c>
      <c r="L57" s="114">
        <f>HighSchool_Space_Summary[[#This Row],[Proposed_Keep_Room_NFA]]+HighSchool_Space_Summary[[#This Row],[Proposed_New_Room_NFA]]</f>
        <v>0</v>
      </c>
      <c r="M57" s="114">
        <f>HighSchool_Space_Summary[[#This Row],[Proposed_Keep_'#_Rooms]]+HighSchool_Space_Summary[[#This Row],[Proposed_New_'#_Rooms]]</f>
        <v>0</v>
      </c>
      <c r="N57" s="114">
        <f>HighSchool_Space_Summary[[#This Row],[Proposed_Keep_Area_Totals]]+HighSchool_Space_Summary[[#This Row],[Proposed_New_Area_Totals]]</f>
        <v>0</v>
      </c>
      <c r="O57" s="5">
        <v>100</v>
      </c>
      <c r="P57" s="56">
        <v>1</v>
      </c>
      <c r="Q57" s="117">
        <f t="shared" si="4"/>
        <v>100</v>
      </c>
      <c r="R57" s="46"/>
    </row>
    <row r="58" spans="1:18" x14ac:dyDescent="0.2">
      <c r="A58" s="9" t="s">
        <v>82</v>
      </c>
      <c r="B58" s="9" t="s">
        <v>95</v>
      </c>
      <c r="C58" s="5"/>
      <c r="D58" s="56"/>
      <c r="E58" s="123">
        <f>HighSchool_Space_Summary[[#This Row],[Existing_Room_NFA]]*HighSchool_Space_Summary[[#This Row],[Existing_'#_Rooms]]</f>
        <v>0</v>
      </c>
      <c r="F58" s="5"/>
      <c r="G58" s="56"/>
      <c r="H58" s="123">
        <f>HighSchool_Space_Summary[[#This Row],[Proposed_Keep_Room_NFA]]*HighSchool_Space_Summary[[#This Row],[Proposed_Keep_'#_Rooms]]</f>
        <v>0</v>
      </c>
      <c r="I58" s="5"/>
      <c r="J58" s="56"/>
      <c r="K58" s="113">
        <f>HighSchool_Space_Summary[[#This Row],[Proposed_New_Room_NFA]]*HighSchool_Space_Summary[[#This Row],[Proposed_New_'#_Rooms]]</f>
        <v>0</v>
      </c>
      <c r="L58" s="114">
        <f>HighSchool_Space_Summary[[#This Row],[Proposed_Keep_Room_NFA]]+HighSchool_Space_Summary[[#This Row],[Proposed_New_Room_NFA]]</f>
        <v>0</v>
      </c>
      <c r="M58" s="114">
        <f>HighSchool_Space_Summary[[#This Row],[Proposed_Keep_'#_Rooms]]+HighSchool_Space_Summary[[#This Row],[Proposed_New_'#_Rooms]]</f>
        <v>0</v>
      </c>
      <c r="N58" s="114">
        <f>HighSchool_Space_Summary[[#This Row],[Proposed_Keep_Area_Totals]]+HighSchool_Space_Summary[[#This Row],[Proposed_New_Area_Totals]]</f>
        <v>0</v>
      </c>
      <c r="O58" s="5">
        <v>100</v>
      </c>
      <c r="P58" s="56">
        <v>1</v>
      </c>
      <c r="Q58" s="117">
        <f t="shared" si="4"/>
        <v>100</v>
      </c>
      <c r="R58" s="46"/>
    </row>
    <row r="59" spans="1:18" x14ac:dyDescent="0.2">
      <c r="A59" s="9" t="s">
        <v>82</v>
      </c>
      <c r="B59" s="9" t="s">
        <v>96</v>
      </c>
      <c r="C59" s="62"/>
      <c r="D59" s="61"/>
      <c r="E59" s="123">
        <f>HighSchool_Space_Summary[[#This Row],[Existing_Room_NFA]]*HighSchool_Space_Summary[[#This Row],[Existing_'#_Rooms]]</f>
        <v>0</v>
      </c>
      <c r="F59" s="5"/>
      <c r="G59" s="56"/>
      <c r="H59" s="123">
        <f>HighSchool_Space_Summary[[#This Row],[Proposed_Keep_Room_NFA]]*HighSchool_Space_Summary[[#This Row],[Proposed_Keep_'#_Rooms]]</f>
        <v>0</v>
      </c>
      <c r="I59" s="5"/>
      <c r="J59" s="56"/>
      <c r="K59" s="113">
        <f>HighSchool_Space_Summary[[#This Row],[Proposed_New_Room_NFA]]*HighSchool_Space_Summary[[#This Row],[Proposed_New_'#_Rooms]]</f>
        <v>0</v>
      </c>
      <c r="L59" s="114">
        <f>HighSchool_Space_Summary[[#This Row],[Proposed_Keep_Room_NFA]]+HighSchool_Space_Summary[[#This Row],[Proposed_New_Room_NFA]]</f>
        <v>0</v>
      </c>
      <c r="M59" s="114">
        <f>HighSchool_Space_Summary[[#This Row],[Proposed_Keep_'#_Rooms]]+HighSchool_Space_Summary[[#This Row],[Proposed_New_'#_Rooms]]</f>
        <v>0</v>
      </c>
      <c r="N59" s="114">
        <f>HighSchool_Space_Summary[[#This Row],[Proposed_Keep_Area_Totals]]+HighSchool_Space_Summary[[#This Row],[Proposed_New_Area_Totals]]</f>
        <v>0</v>
      </c>
      <c r="O59" s="119" cm="1">
        <f t="array" ref="O59">IF((Enrollment_SQF[Total Enrollment]+Special_Education_Student_Input!$B$2)&lt;600,300,300+((Enrollment_SQF[Total Enrollment]+Special_Education_Student_Input!$B$2)-600)*0.25)</f>
        <v>567</v>
      </c>
      <c r="P59" s="56">
        <v>1</v>
      </c>
      <c r="Q59" s="117">
        <f t="shared" si="4"/>
        <v>567</v>
      </c>
      <c r="R59" s="46"/>
    </row>
    <row r="60" spans="1:18" x14ac:dyDescent="0.2">
      <c r="A60" s="9" t="s">
        <v>82</v>
      </c>
      <c r="B60" s="9" t="s">
        <v>86</v>
      </c>
      <c r="C60" s="62"/>
      <c r="D60" s="61"/>
      <c r="E60" s="123">
        <f>HighSchool_Space_Summary[[#This Row],[Existing_Room_NFA]]*HighSchool_Space_Summary[[#This Row],[Existing_'#_Rooms]]</f>
        <v>0</v>
      </c>
      <c r="F60" s="62"/>
      <c r="G60" s="61"/>
      <c r="H60" s="123">
        <f>HighSchool_Space_Summary[[#This Row],[Proposed_Keep_Room_NFA]]*HighSchool_Space_Summary[[#This Row],[Proposed_Keep_'#_Rooms]]</f>
        <v>0</v>
      </c>
      <c r="I60" s="62"/>
      <c r="J60" s="61"/>
      <c r="K60" s="113">
        <f>HighSchool_Space_Summary[[#This Row],[Proposed_New_Room_NFA]]*HighSchool_Space_Summary[[#This Row],[Proposed_New_'#_Rooms]]</f>
        <v>0</v>
      </c>
      <c r="L60" s="114">
        <f>HighSchool_Space_Summary[[#This Row],[Proposed_Keep_Room_NFA]]+HighSchool_Space_Summary[[#This Row],[Proposed_New_Room_NFA]]</f>
        <v>0</v>
      </c>
      <c r="M60" s="114">
        <f>HighSchool_Space_Summary[[#This Row],[Proposed_Keep_'#_Rooms]]+HighSchool_Space_Summary[[#This Row],[Proposed_New_'#_Rooms]]</f>
        <v>0</v>
      </c>
      <c r="N60" s="114">
        <f>HighSchool_Space_Summary[[#This Row],[Proposed_Keep_Area_Totals]]+HighSchool_Space_Summary[[#This Row],[Proposed_New_Area_Totals]]</f>
        <v>0</v>
      </c>
      <c r="O60" s="119" cm="1">
        <f t="array" ref="O60">IF((Enrollment_SQF[Total Enrollment]+Special_Education_Student_Input!$B$2)&lt;600,100,100+((Enrollment_SQF[Total Enrollment]+Special_Education_Student_Input!$B$2)-600)*0.125)</f>
        <v>233.5</v>
      </c>
      <c r="P60" s="56">
        <v>1</v>
      </c>
      <c r="Q60" s="117">
        <f t="shared" si="4"/>
        <v>233.5</v>
      </c>
      <c r="R60" s="46"/>
    </row>
    <row r="61" spans="1:18" s="4" customFormat="1" x14ac:dyDescent="0.2">
      <c r="A61" s="9" t="s">
        <v>82</v>
      </c>
      <c r="B61" s="15" t="s">
        <v>97</v>
      </c>
      <c r="C61" s="8"/>
      <c r="D61" s="56"/>
      <c r="E61" s="123">
        <f>HighSchool_Space_Summary[[#This Row],[Existing_Room_NFA]]*HighSchool_Space_Summary[[#This Row],[Existing_'#_Rooms]]</f>
        <v>0</v>
      </c>
      <c r="F61" s="8"/>
      <c r="G61" s="56"/>
      <c r="H61" s="123">
        <f>HighSchool_Space_Summary[[#This Row],[Proposed_Keep_Room_NFA]]*HighSchool_Space_Summary[[#This Row],[Proposed_Keep_'#_Rooms]]</f>
        <v>0</v>
      </c>
      <c r="I61" s="8"/>
      <c r="J61" s="56"/>
      <c r="K61" s="113">
        <f>HighSchool_Space_Summary[[#This Row],[Proposed_New_Room_NFA]]*HighSchool_Space_Summary[[#This Row],[Proposed_New_'#_Rooms]]</f>
        <v>0</v>
      </c>
      <c r="L61" s="114">
        <f>HighSchool_Space_Summary[[#This Row],[Proposed_Keep_Room_NFA]]+HighSchool_Space_Summary[[#This Row],[Proposed_New_Room_NFA]]</f>
        <v>0</v>
      </c>
      <c r="M61" s="114">
        <f>HighSchool_Space_Summary[[#This Row],[Proposed_Keep_'#_Rooms]]+HighSchool_Space_Summary[[#This Row],[Proposed_New_'#_Rooms]]</f>
        <v>0</v>
      </c>
      <c r="N61" s="114">
        <f>HighSchool_Space_Summary[[#This Row],[Proposed_Keep_Area_Totals]]+HighSchool_Space_Summary[[#This Row],[Proposed_New_Area_Totals]]</f>
        <v>0</v>
      </c>
      <c r="O61" s="121" cm="1">
        <f t="array" ref="O61">IF((Enrollment_SQF[Total Enrollment]+Special_Education_Student_Input!$B$2)&lt;600,300,300+((Enrollment_SQF[Total Enrollment]+Special_Education_Student_Input!$B$2)-600)*0.5)</f>
        <v>834</v>
      </c>
      <c r="P61" s="56">
        <v>1</v>
      </c>
      <c r="Q61" s="117">
        <f t="shared" si="4"/>
        <v>834</v>
      </c>
      <c r="R61" s="46"/>
    </row>
    <row r="62" spans="1:18" x14ac:dyDescent="0.2">
      <c r="A62" s="9" t="s">
        <v>98</v>
      </c>
      <c r="B62" s="9" t="s">
        <v>99</v>
      </c>
      <c r="C62" s="59"/>
      <c r="D62" s="55"/>
      <c r="E62" s="126">
        <f>HighSchool_Space_Summary[[#This Row],[Existing_Room_NFA]]*HighSchool_Space_Summary[[#This Row],[Existing_'#_Rooms]]</f>
        <v>0</v>
      </c>
      <c r="F62" s="59"/>
      <c r="G62" s="55"/>
      <c r="H62" s="126">
        <f>HighSchool_Space_Summary[[#This Row],[Proposed_Keep_Room_NFA]]*HighSchool_Space_Summary[[#This Row],[Proposed_Keep_'#_Rooms]]</f>
        <v>0</v>
      </c>
      <c r="I62" s="22"/>
      <c r="J62" s="55"/>
      <c r="K62" s="113">
        <f>HighSchool_Space_Summary[[#This Row],[Proposed_New_Room_NFA]]*HighSchool_Space_Summary[[#This Row],[Proposed_New_'#_Rooms]]</f>
        <v>0</v>
      </c>
      <c r="L62" s="114">
        <f>HighSchool_Space_Summary[[#This Row],[Proposed_Keep_Room_NFA]]+HighSchool_Space_Summary[[#This Row],[Proposed_New_Room_NFA]]</f>
        <v>0</v>
      </c>
      <c r="M62" s="114">
        <f>HighSchool_Space_Summary[[#This Row],[Proposed_Keep_'#_Rooms]]+HighSchool_Space_Summary[[#This Row],[Proposed_New_'#_Rooms]]</f>
        <v>0</v>
      </c>
      <c r="N62" s="114">
        <f>HighSchool_Space_Summary[[#This Row],[Proposed_Keep_Area_Totals]]+HighSchool_Space_Summary[[#This Row],[Proposed_New_Area_Totals]]</f>
        <v>0</v>
      </c>
      <c r="O62" s="22">
        <v>150</v>
      </c>
      <c r="P62" s="55">
        <v>1</v>
      </c>
      <c r="Q62" s="117">
        <f t="shared" ref="Q62:Q68" si="5">P62*O62</f>
        <v>150</v>
      </c>
      <c r="R62" s="50"/>
    </row>
    <row r="63" spans="1:18" s="4" customFormat="1" x14ac:dyDescent="0.2">
      <c r="A63" s="9" t="s">
        <v>98</v>
      </c>
      <c r="B63" s="9" t="s">
        <v>100</v>
      </c>
      <c r="C63" s="22"/>
      <c r="D63" s="55"/>
      <c r="E63" s="113">
        <f>HighSchool_Space_Summary[[#This Row],[Existing_Room_NFA]]*HighSchool_Space_Summary[[#This Row],[Existing_'#_Rooms]]</f>
        <v>0</v>
      </c>
      <c r="F63" s="22"/>
      <c r="G63" s="55"/>
      <c r="H63" s="113">
        <f>HighSchool_Space_Summary[[#This Row],[Proposed_Keep_Room_NFA]]*HighSchool_Space_Summary[[#This Row],[Proposed_Keep_'#_Rooms]]</f>
        <v>0</v>
      </c>
      <c r="I63" s="22"/>
      <c r="J63" s="55"/>
      <c r="K63" s="113">
        <f>HighSchool_Space_Summary[[#This Row],[Proposed_New_Room_NFA]]*HighSchool_Space_Summary[[#This Row],[Proposed_New_'#_Rooms]]</f>
        <v>0</v>
      </c>
      <c r="L63" s="114">
        <f>HighSchool_Space_Summary[[#This Row],[Proposed_Keep_Room_NFA]]+HighSchool_Space_Summary[[#This Row],[Proposed_New_Room_NFA]]</f>
        <v>0</v>
      </c>
      <c r="M63" s="114">
        <f>HighSchool_Space_Summary[[#This Row],[Proposed_Keep_'#_Rooms]]+HighSchool_Space_Summary[[#This Row],[Proposed_New_'#_Rooms]]</f>
        <v>0</v>
      </c>
      <c r="N63" s="114">
        <f>HighSchool_Space_Summary[[#This Row],[Proposed_Keep_Area_Totals]]+HighSchool_Space_Summary[[#This Row],[Proposed_New_Area_Totals]]</f>
        <v>0</v>
      </c>
      <c r="O63" s="5">
        <v>250</v>
      </c>
      <c r="P63" s="56">
        <v>1</v>
      </c>
      <c r="Q63" s="117">
        <f t="shared" si="5"/>
        <v>250</v>
      </c>
      <c r="R63" s="46"/>
    </row>
    <row r="64" spans="1:18" s="4" customFormat="1" x14ac:dyDescent="0.2">
      <c r="A64" s="9" t="s">
        <v>98</v>
      </c>
      <c r="B64" s="9" t="s">
        <v>101</v>
      </c>
      <c r="C64" s="5"/>
      <c r="D64" s="56"/>
      <c r="E64" s="123">
        <f>HighSchool_Space_Summary[[#This Row],[Existing_Room_NFA]]*HighSchool_Space_Summary[[#This Row],[Existing_'#_Rooms]]</f>
        <v>0</v>
      </c>
      <c r="F64" s="5"/>
      <c r="G64" s="56"/>
      <c r="H64" s="123">
        <f>HighSchool_Space_Summary[[#This Row],[Proposed_Keep_Room_NFA]]*HighSchool_Space_Summary[[#This Row],[Proposed_Keep_'#_Rooms]]</f>
        <v>0</v>
      </c>
      <c r="I64" s="5"/>
      <c r="J64" s="56"/>
      <c r="K64" s="113">
        <f>HighSchool_Space_Summary[[#This Row],[Proposed_New_Room_NFA]]*HighSchool_Space_Summary[[#This Row],[Proposed_New_'#_Rooms]]</f>
        <v>0</v>
      </c>
      <c r="L64" s="114">
        <f>HighSchool_Space_Summary[[#This Row],[Proposed_Keep_Room_NFA]]+HighSchool_Space_Summary[[#This Row],[Proposed_New_Room_NFA]]</f>
        <v>0</v>
      </c>
      <c r="M64" s="114">
        <f>HighSchool_Space_Summary[[#This Row],[Proposed_Keep_'#_Rooms]]+HighSchool_Space_Summary[[#This Row],[Proposed_New_'#_Rooms]]</f>
        <v>0</v>
      </c>
      <c r="N64" s="114">
        <f>HighSchool_Space_Summary[[#This Row],[Proposed_Keep_Area_Totals]]+HighSchool_Space_Summary[[#This Row],[Proposed_New_Area_Totals]]</f>
        <v>0</v>
      </c>
      <c r="O64" s="5">
        <v>375</v>
      </c>
      <c r="P64" s="56">
        <v>1</v>
      </c>
      <c r="Q64" s="117">
        <f t="shared" si="5"/>
        <v>375</v>
      </c>
      <c r="R64" s="46"/>
    </row>
    <row r="65" spans="1:18" x14ac:dyDescent="0.2">
      <c r="A65" s="9" t="s">
        <v>98</v>
      </c>
      <c r="B65" s="9" t="s">
        <v>102</v>
      </c>
      <c r="C65" s="5"/>
      <c r="D65" s="56"/>
      <c r="E65" s="123">
        <f>HighSchool_Space_Summary[[#This Row],[Existing_Room_NFA]]*HighSchool_Space_Summary[[#This Row],[Existing_'#_Rooms]]</f>
        <v>0</v>
      </c>
      <c r="F65" s="5"/>
      <c r="G65" s="56"/>
      <c r="H65" s="123">
        <f>HighSchool_Space_Summary[[#This Row],[Proposed_Keep_Room_NFA]]*HighSchool_Space_Summary[[#This Row],[Proposed_Keep_'#_Rooms]]</f>
        <v>0</v>
      </c>
      <c r="I65" s="5"/>
      <c r="J65" s="56"/>
      <c r="K65" s="113">
        <f>HighSchool_Space_Summary[[#This Row],[Proposed_New_Room_NFA]]*HighSchool_Space_Summary[[#This Row],[Proposed_New_'#_Rooms]]</f>
        <v>0</v>
      </c>
      <c r="L65" s="114">
        <f>HighSchool_Space_Summary[[#This Row],[Proposed_Keep_Room_NFA]]+HighSchool_Space_Summary[[#This Row],[Proposed_New_Room_NFA]]</f>
        <v>0</v>
      </c>
      <c r="M65" s="114">
        <f>HighSchool_Space_Summary[[#This Row],[Proposed_Keep_'#_Rooms]]+HighSchool_Space_Summary[[#This Row],[Proposed_New_'#_Rooms]]</f>
        <v>0</v>
      </c>
      <c r="N65" s="114">
        <f>HighSchool_Space_Summary[[#This Row],[Proposed_Keep_Area_Totals]]+HighSchool_Space_Summary[[#This Row],[Proposed_New_Area_Totals]]</f>
        <v>0</v>
      </c>
      <c r="O65" s="5">
        <v>400</v>
      </c>
      <c r="P65" s="56">
        <v>1</v>
      </c>
      <c r="Q65" s="117">
        <f t="shared" si="5"/>
        <v>400</v>
      </c>
      <c r="R65" s="46"/>
    </row>
    <row r="66" spans="1:18" s="4" customFormat="1" x14ac:dyDescent="0.2">
      <c r="A66" s="9" t="s">
        <v>98</v>
      </c>
      <c r="B66" s="9" t="s">
        <v>103</v>
      </c>
      <c r="C66" s="8"/>
      <c r="D66" s="56"/>
      <c r="E66" s="123">
        <f>HighSchool_Space_Summary[[#This Row],[Existing_Room_NFA]]*HighSchool_Space_Summary[[#This Row],[Existing_'#_Rooms]]</f>
        <v>0</v>
      </c>
      <c r="F66" s="8"/>
      <c r="G66" s="56"/>
      <c r="H66" s="123">
        <f>HighSchool_Space_Summary[[#This Row],[Proposed_Keep_Room_NFA]]*HighSchool_Space_Summary[[#This Row],[Proposed_Keep_'#_Rooms]]</f>
        <v>0</v>
      </c>
      <c r="I66" s="8"/>
      <c r="J66" s="56"/>
      <c r="K66" s="113">
        <f>HighSchool_Space_Summary[[#This Row],[Proposed_New_Room_NFA]]*HighSchool_Space_Summary[[#This Row],[Proposed_New_'#_Rooms]]</f>
        <v>0</v>
      </c>
      <c r="L66" s="114">
        <f>HighSchool_Space_Summary[[#This Row],[Proposed_Keep_Room_NFA]]+HighSchool_Space_Summary[[#This Row],[Proposed_New_Room_NFA]]</f>
        <v>0</v>
      </c>
      <c r="M66" s="114">
        <f>HighSchool_Space_Summary[[#This Row],[Proposed_Keep_'#_Rooms]]+HighSchool_Space_Summary[[#This Row],[Proposed_New_'#_Rooms]]</f>
        <v>0</v>
      </c>
      <c r="N66" s="114">
        <f>HighSchool_Space_Summary[[#This Row],[Proposed_Keep_Area_Totals]]+HighSchool_Space_Summary[[#This Row],[Proposed_New_Area_Totals]]</f>
        <v>0</v>
      </c>
      <c r="O66" s="121" cm="1">
        <f t="array" ref="O66">IF((Enrollment_SQF[Total Enrollment]+Special_Education_Student_Input!$B$2)&lt;600,300,300+((Enrollment_SQF[Total Enrollment]+Special_Education_Student_Input!$B$2)-600)*0.25)</f>
        <v>567</v>
      </c>
      <c r="P66" s="56">
        <v>1</v>
      </c>
      <c r="Q66" s="117">
        <f t="shared" si="5"/>
        <v>567</v>
      </c>
      <c r="R66" s="46"/>
    </row>
    <row r="67" spans="1:18" x14ac:dyDescent="0.2">
      <c r="A67" s="9" t="s">
        <v>98</v>
      </c>
      <c r="B67" s="9" t="s">
        <v>104</v>
      </c>
      <c r="C67" s="5"/>
      <c r="D67" s="56"/>
      <c r="E67" s="123">
        <f>HighSchool_Space_Summary[[#This Row],[Existing_Room_NFA]]*HighSchool_Space_Summary[[#This Row],[Existing_'#_Rooms]]</f>
        <v>0</v>
      </c>
      <c r="F67" s="5"/>
      <c r="G67" s="56"/>
      <c r="H67" s="123">
        <f>HighSchool_Space_Summary[[#This Row],[Proposed_Keep_Room_NFA]]*HighSchool_Space_Summary[[#This Row],[Proposed_Keep_'#_Rooms]]</f>
        <v>0</v>
      </c>
      <c r="I67" s="5"/>
      <c r="J67" s="56"/>
      <c r="K67" s="113">
        <f>HighSchool_Space_Summary[[#This Row],[Proposed_New_Room_NFA]]*HighSchool_Space_Summary[[#This Row],[Proposed_New_'#_Rooms]]</f>
        <v>0</v>
      </c>
      <c r="L67" s="114">
        <f>HighSchool_Space_Summary[[#This Row],[Proposed_Keep_Room_NFA]]+HighSchool_Space_Summary[[#This Row],[Proposed_New_Room_NFA]]</f>
        <v>0</v>
      </c>
      <c r="M67" s="114">
        <f>HighSchool_Space_Summary[[#This Row],[Proposed_Keep_'#_Rooms]]+HighSchool_Space_Summary[[#This Row],[Proposed_New_'#_Rooms]]</f>
        <v>0</v>
      </c>
      <c r="N67" s="114">
        <f>HighSchool_Space_Summary[[#This Row],[Proposed_Keep_Area_Totals]]+HighSchool_Space_Summary[[#This Row],[Proposed_New_Area_Totals]]</f>
        <v>0</v>
      </c>
      <c r="O67" s="119" cm="1">
        <f t="array" ref="O67">IF((Enrollment_SQF[Total Enrollment]+Special_Education_Student_Input!$B$2)&lt;600,400,400+((Enrollment_SQF[Total Enrollment]+Special_Education_Student_Input!$B$2)-600)*0.5)</f>
        <v>934</v>
      </c>
      <c r="P67" s="56">
        <v>1</v>
      </c>
      <c r="Q67" s="117">
        <f t="shared" si="5"/>
        <v>934</v>
      </c>
      <c r="R67" s="46"/>
    </row>
    <row r="68" spans="1:18" s="4" customFormat="1" x14ac:dyDescent="0.2">
      <c r="A68" s="9" t="s">
        <v>98</v>
      </c>
      <c r="B68" s="9" t="s">
        <v>105</v>
      </c>
      <c r="C68" s="5"/>
      <c r="D68" s="56"/>
      <c r="E68" s="123">
        <f>HighSchool_Space_Summary[[#This Row],[Existing_Room_NFA]]*HighSchool_Space_Summary[[#This Row],[Existing_'#_Rooms]]</f>
        <v>0</v>
      </c>
      <c r="F68" s="5"/>
      <c r="G68" s="56"/>
      <c r="H68" s="123">
        <f>HighSchool_Space_Summary[[#This Row],[Proposed_Keep_Room_NFA]]*HighSchool_Space_Summary[[#This Row],[Proposed_Keep_'#_Rooms]]</f>
        <v>0</v>
      </c>
      <c r="I68" s="5"/>
      <c r="J68" s="56"/>
      <c r="K68" s="113">
        <f>HighSchool_Space_Summary[[#This Row],[Proposed_New_Room_NFA]]*HighSchool_Space_Summary[[#This Row],[Proposed_New_'#_Rooms]]</f>
        <v>0</v>
      </c>
      <c r="L68" s="114">
        <f>HighSchool_Space_Summary[[#This Row],[Proposed_Keep_Room_NFA]]+HighSchool_Space_Summary[[#This Row],[Proposed_New_Room_NFA]]</f>
        <v>0</v>
      </c>
      <c r="M68" s="114">
        <f>HighSchool_Space_Summary[[#This Row],[Proposed_Keep_'#_Rooms]]+HighSchool_Space_Summary[[#This Row],[Proposed_New_'#_Rooms]]</f>
        <v>0</v>
      </c>
      <c r="N68" s="114">
        <f>HighSchool_Space_Summary[[#This Row],[Proposed_Keep_Area_Totals]]+HighSchool_Space_Summary[[#This Row],[Proposed_New_Area_Totals]]</f>
        <v>0</v>
      </c>
      <c r="O68" s="5">
        <v>200</v>
      </c>
      <c r="P68" s="56">
        <v>1</v>
      </c>
      <c r="Q68" s="117">
        <f t="shared" si="5"/>
        <v>200</v>
      </c>
      <c r="R68" s="46"/>
    </row>
    <row r="69" spans="1:18" ht="12" thickBot="1" x14ac:dyDescent="0.25">
      <c r="A69" s="20" t="s">
        <v>106</v>
      </c>
      <c r="B69" s="20" t="s">
        <v>107</v>
      </c>
      <c r="C69" s="40"/>
      <c r="D69" s="32"/>
      <c r="E69" s="122">
        <f>HighSchool_Space_Summary[[#This Row],[Existing_Room_NFA]]*HighSchool_Space_Summary[[#This Row],[Existing_'#_Rooms]]</f>
        <v>0</v>
      </c>
      <c r="F69" s="40"/>
      <c r="G69" s="32"/>
      <c r="H69" s="122">
        <f>HighSchool_Space_Summary[[#This Row],[Proposed_Keep_Room_NFA]]*HighSchool_Space_Summary[[#This Row],[Proposed_Keep_'#_Rooms]]</f>
        <v>0</v>
      </c>
      <c r="I69" s="40"/>
      <c r="J69" s="32"/>
      <c r="K69" s="122">
        <f>HighSchool_Space_Summary[[#This Row],[Proposed_New_Room_NFA]]*HighSchool_Space_Summary[[#This Row],[Proposed_New_'#_Rooms]]</f>
        <v>0</v>
      </c>
      <c r="L69" s="115">
        <f>HighSchool_Space_Summary[[#This Row],[Proposed_Keep_Room_NFA]]+HighSchool_Space_Summary[[#This Row],[Proposed_New_Room_NFA]]</f>
        <v>0</v>
      </c>
      <c r="M69" s="115">
        <f>HighSchool_Space_Summary[[#This Row],[Proposed_Keep_'#_Rooms]]+HighSchool_Space_Summary[[#This Row],[Proposed_New_'#_Rooms]]</f>
        <v>0</v>
      </c>
      <c r="N69" s="115">
        <f>HighSchool_Space_Summary[[#This Row],[Proposed_Keep_Area_Totals]]+HighSchool_Space_Summary[[#This Row],[Proposed_New_Area_Totals]]</f>
        <v>0</v>
      </c>
      <c r="O69" s="40"/>
      <c r="P69" s="32"/>
      <c r="Q69" s="2"/>
      <c r="R69" s="47"/>
    </row>
    <row r="70" spans="1:18" x14ac:dyDescent="0.2">
      <c r="A70" s="11"/>
      <c r="B70" s="12"/>
      <c r="C70" s="63"/>
      <c r="D70" s="64"/>
      <c r="E70" s="13"/>
      <c r="F70" s="77"/>
      <c r="G70" s="64"/>
      <c r="H70" s="13"/>
      <c r="I70" s="63"/>
      <c r="J70" s="64"/>
      <c r="K70" s="13"/>
      <c r="L70" s="29"/>
      <c r="M70" s="29"/>
      <c r="N70" s="29"/>
      <c r="O70" s="75"/>
      <c r="P70" s="64"/>
      <c r="Q70" s="29"/>
      <c r="R70" s="29"/>
    </row>
    <row r="71" spans="1:18" x14ac:dyDescent="0.2">
      <c r="A71" s="14"/>
      <c r="B71" s="15" t="s">
        <v>108</v>
      </c>
      <c r="C71" s="65"/>
      <c r="D71" s="66"/>
      <c r="E71" s="129">
        <f>SUM(E2:E68)</f>
        <v>68268</v>
      </c>
      <c r="F71" s="45"/>
      <c r="G71" s="66"/>
      <c r="H71" s="129">
        <f>SUM(H2:H68)</f>
        <v>32347</v>
      </c>
      <c r="I71" s="65"/>
      <c r="J71" s="66"/>
      <c r="K71" s="129">
        <f>SUM(K2:K68)</f>
        <v>207683</v>
      </c>
      <c r="L71" s="83"/>
      <c r="M71" s="83"/>
      <c r="N71" s="83"/>
      <c r="O71" s="5"/>
      <c r="P71" s="66"/>
      <c r="Q71" s="129">
        <f>SUM(Q2:Q68)</f>
        <v>132937.29999999999</v>
      </c>
      <c r="R71" s="67"/>
    </row>
    <row r="72" spans="1:18" ht="12" customHeight="1" x14ac:dyDescent="0.2">
      <c r="A72" s="14"/>
      <c r="B72" s="15" t="s">
        <v>109</v>
      </c>
      <c r="C72" s="68"/>
      <c r="D72" s="66"/>
      <c r="E72" s="16"/>
      <c r="F72" s="78"/>
      <c r="G72" s="66"/>
      <c r="H72" s="16"/>
      <c r="I72" s="68"/>
      <c r="J72" s="66"/>
      <c r="K72" s="16"/>
      <c r="L72" s="30"/>
      <c r="M72" s="30"/>
      <c r="N72" s="30"/>
      <c r="O72" s="69"/>
      <c r="P72" s="66"/>
      <c r="Q72" s="129" cm="1">
        <f t="array" ref="Q72">Enrollment_SQF[Total Enrollment]</f>
        <v>1600</v>
      </c>
      <c r="R72" s="76"/>
    </row>
    <row r="73" spans="1:18" ht="12" customHeight="1" x14ac:dyDescent="0.2">
      <c r="A73" s="14"/>
      <c r="B73" s="15" t="s">
        <v>110</v>
      </c>
      <c r="C73" s="68"/>
      <c r="D73" s="66"/>
      <c r="E73" s="7"/>
      <c r="F73" s="78"/>
      <c r="G73" s="66"/>
      <c r="H73" s="7"/>
      <c r="I73" s="68"/>
      <c r="J73" s="66"/>
      <c r="K73" s="123">
        <f>K71*K74</f>
        <v>311524.5</v>
      </c>
      <c r="L73" s="30"/>
      <c r="M73" s="30"/>
      <c r="N73" s="30"/>
      <c r="O73" s="69"/>
      <c r="P73" s="66"/>
      <c r="Q73" s="129" t="e">
        <f>Q72*#REF!</f>
        <v>#REF!</v>
      </c>
      <c r="R73" s="67"/>
    </row>
    <row r="74" spans="1:18" ht="12" customHeight="1" x14ac:dyDescent="0.2">
      <c r="A74" s="14"/>
      <c r="B74" s="17" t="s">
        <v>111</v>
      </c>
      <c r="C74" s="68"/>
      <c r="D74" s="66"/>
      <c r="E74" s="130">
        <f>E73/E71</f>
        <v>0</v>
      </c>
      <c r="F74" s="78"/>
      <c r="G74" s="66"/>
      <c r="H74" s="16"/>
      <c r="I74" s="68"/>
      <c r="J74" s="66"/>
      <c r="K74" s="42">
        <v>1.5</v>
      </c>
      <c r="L74" s="84"/>
      <c r="M74" s="84"/>
      <c r="N74" s="84"/>
      <c r="O74" s="69"/>
      <c r="P74" s="66"/>
      <c r="Q74" s="131" t="e">
        <f>Q73/Q71</f>
        <v>#REF!</v>
      </c>
      <c r="R74" s="70"/>
    </row>
    <row r="75" spans="1:18" x14ac:dyDescent="0.2">
      <c r="A75" s="19">
        <v>0</v>
      </c>
      <c r="C75" s="2"/>
      <c r="E75" s="2"/>
      <c r="I75" s="2"/>
      <c r="K75" s="2"/>
      <c r="L75" s="2"/>
      <c r="M75" s="2"/>
      <c r="N75" s="2"/>
      <c r="O75" s="2"/>
      <c r="Q75" s="2"/>
      <c r="R75" s="2"/>
    </row>
    <row r="76" spans="1:18" x14ac:dyDescent="0.2">
      <c r="A76" s="19">
        <v>1000</v>
      </c>
      <c r="C76" s="2"/>
      <c r="E76" s="2"/>
      <c r="I76" s="2"/>
      <c r="K76" s="2"/>
      <c r="L76" s="2"/>
      <c r="M76" s="2"/>
      <c r="N76" s="2"/>
      <c r="O76" s="2"/>
      <c r="Q76" s="2"/>
      <c r="R76" s="2"/>
    </row>
    <row r="77" spans="1:18" ht="135" x14ac:dyDescent="0.2">
      <c r="A77" s="24">
        <v>1</v>
      </c>
      <c r="B77" s="18" t="s">
        <v>112</v>
      </c>
      <c r="C77" s="80" t="s">
        <v>113</v>
      </c>
      <c r="D77" s="80"/>
      <c r="E77" s="80"/>
      <c r="F77" s="80"/>
      <c r="G77" s="80"/>
      <c r="H77" s="80"/>
      <c r="I77" s="80"/>
      <c r="J77" s="80"/>
      <c r="K77" s="80"/>
      <c r="L77" s="80"/>
      <c r="M77" s="80"/>
      <c r="N77" s="80"/>
      <c r="O77" s="80"/>
      <c r="P77" s="80"/>
      <c r="Q77" s="80"/>
      <c r="R77" s="80"/>
    </row>
    <row r="78" spans="1:18" x14ac:dyDescent="0.2">
      <c r="C78" s="36"/>
      <c r="D78" s="35"/>
      <c r="E78" s="35"/>
      <c r="F78" s="35"/>
      <c r="G78" s="35"/>
      <c r="H78" s="35"/>
      <c r="I78" s="35"/>
      <c r="J78" s="35"/>
      <c r="K78" s="35"/>
      <c r="L78" s="35"/>
      <c r="M78" s="35"/>
      <c r="N78" s="35"/>
      <c r="O78" s="2"/>
      <c r="P78" s="2"/>
      <c r="Q78" s="2"/>
      <c r="R78" s="2"/>
    </row>
    <row r="79" spans="1:18" ht="11.25" customHeight="1" x14ac:dyDescent="0.2">
      <c r="C79" s="2"/>
      <c r="E79" s="2"/>
      <c r="F79" s="1"/>
      <c r="G79" s="2"/>
      <c r="J79" s="2"/>
      <c r="K79" s="2"/>
      <c r="L79" s="2"/>
      <c r="M79" s="2"/>
      <c r="N79" s="2"/>
      <c r="O79" s="2"/>
      <c r="P79" s="2"/>
      <c r="Q79" s="2"/>
      <c r="R79" s="2"/>
    </row>
    <row r="80" spans="1:18" ht="11.25" customHeight="1" x14ac:dyDescent="0.2">
      <c r="A80" s="24">
        <v>2</v>
      </c>
      <c r="B80" s="71" t="s">
        <v>114</v>
      </c>
      <c r="C80" s="2" t="s">
        <v>115</v>
      </c>
      <c r="D80" s="2"/>
      <c r="E80" s="2"/>
      <c r="G80" s="2"/>
      <c r="I80" s="2"/>
      <c r="J80" s="2"/>
      <c r="K80" s="2"/>
      <c r="L80" s="2"/>
      <c r="M80" s="2"/>
      <c r="N80" s="2"/>
      <c r="O80" s="2"/>
      <c r="P80" s="2"/>
      <c r="Q80" s="2"/>
      <c r="R80" s="2"/>
    </row>
    <row r="81" spans="2:18" ht="11.25" customHeight="1" x14ac:dyDescent="0.2">
      <c r="C81" s="2"/>
      <c r="E81" s="2"/>
      <c r="I81" s="2"/>
      <c r="K81" s="2"/>
      <c r="L81" s="2"/>
      <c r="M81" s="2"/>
      <c r="N81" s="2"/>
      <c r="O81" s="2"/>
      <c r="Q81" s="34"/>
      <c r="R81" s="34"/>
    </row>
    <row r="82" spans="2:18" x14ac:dyDescent="0.2">
      <c r="C82" s="2"/>
      <c r="E82" s="2"/>
      <c r="I82" s="2"/>
      <c r="K82" s="2"/>
      <c r="L82" s="2"/>
      <c r="M82" s="2"/>
      <c r="N82" s="2"/>
      <c r="O82" s="2"/>
      <c r="Q82" s="34"/>
      <c r="R82" s="34"/>
    </row>
    <row r="83" spans="2:18" ht="12.75" x14ac:dyDescent="0.2">
      <c r="B83" s="72" t="s">
        <v>116</v>
      </c>
      <c r="C83" s="37"/>
      <c r="D83" s="38"/>
      <c r="E83" s="38"/>
      <c r="F83" s="38"/>
      <c r="G83" s="38"/>
      <c r="H83" s="38"/>
      <c r="I83" s="38"/>
      <c r="J83" s="38"/>
      <c r="K83" s="38"/>
      <c r="L83" s="38"/>
      <c r="M83" s="38"/>
      <c r="N83" s="38"/>
      <c r="O83" s="39"/>
      <c r="P83" s="39"/>
      <c r="Q83" s="39"/>
      <c r="R83" s="39"/>
    </row>
    <row r="84" spans="2:18" ht="135" x14ac:dyDescent="0.25">
      <c r="B84" s="110" t="s">
        <v>117</v>
      </c>
      <c r="C84" s="35"/>
      <c r="D84" s="35"/>
      <c r="E84" s="35"/>
      <c r="F84" s="35"/>
      <c r="G84" s="35"/>
      <c r="H84" s="35"/>
      <c r="I84" s="35"/>
      <c r="J84" s="35"/>
      <c r="K84" s="35"/>
      <c r="L84" s="35"/>
      <c r="M84" s="35"/>
      <c r="N84" s="35"/>
      <c r="O84" s="35"/>
      <c r="P84" s="35"/>
      <c r="Q84" s="35"/>
      <c r="R84" s="35"/>
    </row>
    <row r="85" spans="2:18" x14ac:dyDescent="0.2">
      <c r="B85" s="25"/>
      <c r="C85" s="35"/>
      <c r="D85" s="35"/>
      <c r="E85" s="35"/>
      <c r="F85" s="35"/>
      <c r="G85" s="35"/>
      <c r="H85" s="35"/>
      <c r="I85" s="35"/>
      <c r="J85" s="35"/>
      <c r="K85" s="35"/>
      <c r="L85" s="35"/>
      <c r="M85" s="35"/>
      <c r="N85" s="35"/>
      <c r="O85" s="35"/>
      <c r="P85" s="35"/>
      <c r="Q85" s="35"/>
      <c r="R85" s="35"/>
    </row>
    <row r="86" spans="2:18" x14ac:dyDescent="0.2">
      <c r="B86" s="25"/>
      <c r="C86" s="2"/>
      <c r="E86" s="2"/>
      <c r="F86" s="1"/>
      <c r="G86" s="2"/>
      <c r="J86" s="2"/>
      <c r="K86" s="2"/>
      <c r="L86" s="2"/>
      <c r="M86" s="2"/>
      <c r="N86" s="2"/>
      <c r="O86" s="2"/>
      <c r="P86" s="2"/>
      <c r="Q86" s="2"/>
      <c r="R86" s="2"/>
    </row>
    <row r="87" spans="2:18" x14ac:dyDescent="0.2">
      <c r="B87" s="25"/>
      <c r="E87" s="73"/>
      <c r="F87" s="28"/>
      <c r="G87" s="27"/>
      <c r="H87" s="27"/>
      <c r="I87" s="28"/>
      <c r="J87" s="27"/>
      <c r="K87" s="27"/>
      <c r="L87" s="27"/>
      <c r="M87" s="27"/>
      <c r="N87" s="27"/>
      <c r="O87" s="27"/>
      <c r="P87" s="27"/>
      <c r="Q87" s="27"/>
      <c r="R87" s="2"/>
    </row>
    <row r="88" spans="2:18" x14ac:dyDescent="0.2">
      <c r="B88" s="25"/>
      <c r="E88" s="73"/>
      <c r="F88" s="1"/>
      <c r="G88" s="2"/>
      <c r="J88" s="2"/>
      <c r="K88" s="2"/>
      <c r="L88" s="2"/>
      <c r="M88" s="2"/>
      <c r="N88" s="2"/>
      <c r="O88" s="2"/>
      <c r="P88" s="2"/>
      <c r="Q88" s="2"/>
      <c r="R88" s="2"/>
    </row>
    <row r="89" spans="2:18" x14ac:dyDescent="0.2">
      <c r="B89" s="25"/>
      <c r="E89" s="73"/>
      <c r="F89" s="28"/>
      <c r="G89" s="27"/>
      <c r="H89" s="27"/>
      <c r="I89" s="28"/>
      <c r="J89" s="27"/>
      <c r="K89" s="27"/>
      <c r="L89" s="27"/>
      <c r="M89" s="27"/>
      <c r="N89" s="27"/>
      <c r="O89" s="27"/>
      <c r="P89" s="27"/>
      <c r="Q89" s="27"/>
      <c r="R89" s="2"/>
    </row>
    <row r="90" spans="2:18" x14ac:dyDescent="0.2">
      <c r="B90" s="25"/>
      <c r="E90" s="73"/>
      <c r="F90" s="1"/>
      <c r="G90" s="2"/>
      <c r="J90" s="2"/>
      <c r="K90" s="2"/>
      <c r="L90" s="2"/>
      <c r="M90" s="2"/>
      <c r="N90" s="2"/>
      <c r="O90" s="2"/>
      <c r="P90" s="2"/>
      <c r="Q90" s="2"/>
      <c r="R90" s="2"/>
    </row>
    <row r="91" spans="2:18" x14ac:dyDescent="0.2">
      <c r="B91" s="25"/>
      <c r="E91" s="73"/>
      <c r="F91" s="28"/>
      <c r="G91" s="27"/>
      <c r="H91" s="27"/>
      <c r="I91" s="28"/>
      <c r="J91" s="27"/>
      <c r="K91" s="27"/>
      <c r="L91" s="27"/>
      <c r="M91" s="27"/>
      <c r="N91" s="27"/>
      <c r="O91" s="27"/>
      <c r="P91" s="27"/>
      <c r="Q91" s="27"/>
      <c r="R91" s="2"/>
    </row>
    <row r="92" spans="2:18" x14ac:dyDescent="0.2">
      <c r="B92" s="25"/>
      <c r="E92" s="73"/>
      <c r="F92" s="1"/>
      <c r="G92" s="2"/>
      <c r="J92" s="2"/>
      <c r="K92" s="2"/>
      <c r="L92" s="2"/>
      <c r="M92" s="2"/>
      <c r="N92" s="2"/>
      <c r="O92" s="2"/>
      <c r="P92" s="2"/>
      <c r="Q92" s="2"/>
      <c r="R92" s="2"/>
    </row>
    <row r="93" spans="2:18" x14ac:dyDescent="0.2">
      <c r="B93" s="25"/>
      <c r="E93" s="73"/>
      <c r="F93" s="28"/>
      <c r="G93" s="27"/>
      <c r="H93" s="27"/>
      <c r="I93" s="28"/>
      <c r="J93" s="27"/>
      <c r="K93" s="27"/>
      <c r="L93" s="2"/>
      <c r="M93" s="2"/>
      <c r="N93" s="2"/>
      <c r="O93" s="2"/>
      <c r="P93" s="2"/>
      <c r="Q93" s="2"/>
      <c r="R93" s="2"/>
    </row>
    <row r="94" spans="2:18" x14ac:dyDescent="0.2">
      <c r="B94" s="26"/>
      <c r="C94" s="27"/>
      <c r="D94" s="28"/>
      <c r="E94" s="27"/>
      <c r="F94" s="28"/>
      <c r="G94" s="27"/>
      <c r="H94" s="27"/>
      <c r="I94" s="28"/>
      <c r="J94" s="27"/>
      <c r="K94" s="27"/>
      <c r="L94" s="27"/>
      <c r="M94" s="27"/>
      <c r="N94" s="27"/>
      <c r="O94" s="27"/>
      <c r="P94" s="27"/>
      <c r="Q94" s="27"/>
      <c r="R94" s="27"/>
    </row>
    <row r="95" spans="2:18" x14ac:dyDescent="0.2">
      <c r="O95" s="2"/>
      <c r="Q95" s="2"/>
      <c r="R95" s="2"/>
    </row>
  </sheetData>
  <phoneticPr fontId="11" type="noConversion"/>
  <printOptions horizontalCentered="1"/>
  <pageMargins left="0.24" right="0.24" top="0.31" bottom="0.48" header="0.24" footer="0.24"/>
  <pageSetup paperSize="3" scale="55" fitToHeight="0" pageOrder="overThenDown" orientation="landscape" r:id="rId1"/>
  <headerFooter alignWithMargins="0">
    <oddFooter>&amp;L&amp;8   Version
 11.24.2010
&amp;C&amp;8&amp;A</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4368E-F699-4070-BD8C-61E79F0B735E}">
  <dimension ref="A1:H12"/>
  <sheetViews>
    <sheetView topLeftCell="F1" workbookViewId="0">
      <selection activeCell="G2" sqref="G2"/>
    </sheetView>
  </sheetViews>
  <sheetFormatPr defaultRowHeight="12.75" x14ac:dyDescent="0.2"/>
  <cols>
    <col min="1" max="1" width="24" hidden="1" customWidth="1"/>
    <col min="2" max="2" width="5" hidden="1" customWidth="1"/>
    <col min="3" max="4" width="28.5703125" hidden="1" customWidth="1"/>
    <col min="5" max="5" width="80.140625" hidden="1" customWidth="1"/>
    <col min="6" max="6" width="36.140625" customWidth="1"/>
    <col min="12" max="12" width="36.28515625" bestFit="1" customWidth="1"/>
  </cols>
  <sheetData>
    <row r="1" spans="1:8" x14ac:dyDescent="0.2">
      <c r="A1" t="s">
        <v>118</v>
      </c>
      <c r="B1" t="s">
        <v>119</v>
      </c>
      <c r="C1" t="s">
        <v>120</v>
      </c>
      <c r="D1" t="s">
        <v>121</v>
      </c>
      <c r="E1" t="s">
        <v>122</v>
      </c>
      <c r="F1" s="95" t="s">
        <v>125</v>
      </c>
      <c r="G1" s="94" t="s">
        <v>123</v>
      </c>
      <c r="H1" s="82" t="s">
        <v>124</v>
      </c>
    </row>
    <row r="2" spans="1:8" x14ac:dyDescent="0.2">
      <c r="A2">
        <v>0</v>
      </c>
      <c r="B2">
        <v>2</v>
      </c>
      <c r="D2" t="s">
        <v>126</v>
      </c>
      <c r="E2" t="s">
        <v>127</v>
      </c>
      <c r="F2" t="s">
        <v>129</v>
      </c>
      <c r="G2" s="93">
        <f>Student_Number_Input!B2</f>
        <v>1600</v>
      </c>
      <c r="H2" s="92">
        <v>1</v>
      </c>
    </row>
    <row r="3" spans="1:8" x14ac:dyDescent="0.2">
      <c r="A3">
        <v>0</v>
      </c>
      <c r="B3">
        <v>3</v>
      </c>
      <c r="D3" t="s">
        <v>126</v>
      </c>
      <c r="E3" t="s">
        <v>127</v>
      </c>
      <c r="F3" t="s">
        <v>128</v>
      </c>
      <c r="G3" s="91">
        <v>22</v>
      </c>
      <c r="H3" s="90">
        <v>1</v>
      </c>
    </row>
    <row r="4" spans="1:8" x14ac:dyDescent="0.2">
      <c r="A4">
        <v>0</v>
      </c>
      <c r="B4">
        <v>4</v>
      </c>
      <c r="D4" t="s">
        <v>126</v>
      </c>
      <c r="E4" t="s">
        <v>127</v>
      </c>
      <c r="F4" t="s">
        <v>130</v>
      </c>
      <c r="G4" s="91">
        <v>22</v>
      </c>
      <c r="H4" s="90">
        <v>1</v>
      </c>
    </row>
    <row r="5" spans="1:8" x14ac:dyDescent="0.2">
      <c r="A5">
        <v>0</v>
      </c>
      <c r="B5">
        <v>5</v>
      </c>
      <c r="D5" t="s">
        <v>126</v>
      </c>
      <c r="E5" t="s">
        <v>127</v>
      </c>
      <c r="F5" t="s">
        <v>131</v>
      </c>
      <c r="G5" s="91">
        <v>22</v>
      </c>
      <c r="H5" s="90">
        <v>1</v>
      </c>
    </row>
    <row r="6" spans="1:8" x14ac:dyDescent="0.2">
      <c r="A6">
        <v>0</v>
      </c>
      <c r="B6">
        <v>6</v>
      </c>
      <c r="D6" t="s">
        <v>126</v>
      </c>
      <c r="E6" t="s">
        <v>127</v>
      </c>
      <c r="F6" t="s">
        <v>132</v>
      </c>
      <c r="G6" s="91">
        <v>22</v>
      </c>
      <c r="H6" s="90">
        <v>1</v>
      </c>
    </row>
    <row r="7" spans="1:8" x14ac:dyDescent="0.2">
      <c r="A7">
        <v>0</v>
      </c>
      <c r="B7">
        <v>7</v>
      </c>
      <c r="D7" t="s">
        <v>126</v>
      </c>
      <c r="E7" t="s">
        <v>127</v>
      </c>
      <c r="F7" t="s">
        <v>133</v>
      </c>
      <c r="G7" s="91">
        <v>22</v>
      </c>
      <c r="H7" s="90">
        <v>1</v>
      </c>
    </row>
    <row r="8" spans="1:8" x14ac:dyDescent="0.2">
      <c r="A8">
        <v>0</v>
      </c>
      <c r="B8">
        <v>8</v>
      </c>
      <c r="D8" t="s">
        <v>126</v>
      </c>
      <c r="E8" t="s">
        <v>127</v>
      </c>
      <c r="F8" t="s">
        <v>134</v>
      </c>
      <c r="G8" s="91">
        <v>22</v>
      </c>
      <c r="H8" s="90">
        <v>1</v>
      </c>
    </row>
    <row r="9" spans="1:8" x14ac:dyDescent="0.2">
      <c r="A9">
        <v>0</v>
      </c>
      <c r="B9">
        <v>9</v>
      </c>
      <c r="D9" t="s">
        <v>126</v>
      </c>
      <c r="E9" t="s">
        <v>127</v>
      </c>
      <c r="F9" t="s">
        <v>135</v>
      </c>
      <c r="G9" s="91">
        <v>22</v>
      </c>
      <c r="H9" s="90">
        <v>0.25</v>
      </c>
    </row>
    <row r="10" spans="1:8" x14ac:dyDescent="0.2">
      <c r="A10">
        <v>0</v>
      </c>
      <c r="B10">
        <v>10</v>
      </c>
      <c r="D10" t="s">
        <v>126</v>
      </c>
      <c r="E10" t="s">
        <v>127</v>
      </c>
      <c r="F10" t="s">
        <v>136</v>
      </c>
      <c r="G10" s="91">
        <v>50</v>
      </c>
      <c r="H10" s="90">
        <v>0.25</v>
      </c>
    </row>
    <row r="11" spans="1:8" x14ac:dyDescent="0.2">
      <c r="A11">
        <v>0</v>
      </c>
      <c r="B11">
        <v>11</v>
      </c>
      <c r="D11" t="s">
        <v>126</v>
      </c>
      <c r="E11" t="s">
        <v>127</v>
      </c>
      <c r="F11" t="s">
        <v>137</v>
      </c>
      <c r="G11" s="91">
        <v>22</v>
      </c>
      <c r="H11" s="90">
        <v>0.25</v>
      </c>
    </row>
    <row r="12" spans="1:8" x14ac:dyDescent="0.2">
      <c r="A12">
        <v>0</v>
      </c>
      <c r="B12">
        <v>12</v>
      </c>
      <c r="D12" t="s">
        <v>126</v>
      </c>
      <c r="E12" t="s">
        <v>127</v>
      </c>
      <c r="F12" t="s">
        <v>138</v>
      </c>
      <c r="G12" s="89">
        <v>22</v>
      </c>
      <c r="H12" s="88">
        <v>0.25</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D3D4-D3A3-47A3-B22D-434056E1A94F}">
  <dimension ref="A1:B6"/>
  <sheetViews>
    <sheetView workbookViewId="0">
      <selection activeCell="B4" sqref="B4"/>
    </sheetView>
  </sheetViews>
  <sheetFormatPr defaultRowHeight="12.75" x14ac:dyDescent="0.2"/>
  <cols>
    <col min="1" max="1" width="27.5703125" bestFit="1" customWidth="1"/>
    <col min="2" max="2" width="8.5703125" bestFit="1" customWidth="1"/>
  </cols>
  <sheetData>
    <row r="1" spans="1:2" x14ac:dyDescent="0.2">
      <c r="A1" s="85" t="s">
        <v>139</v>
      </c>
      <c r="B1" s="82" t="s">
        <v>123</v>
      </c>
    </row>
    <row r="2" spans="1:2" x14ac:dyDescent="0.2">
      <c r="A2" t="s">
        <v>140</v>
      </c>
      <c r="B2" s="86">
        <v>5</v>
      </c>
    </row>
    <row r="3" spans="1:2" x14ac:dyDescent="0.2">
      <c r="A3" t="s">
        <v>141</v>
      </c>
      <c r="B3" s="81">
        <v>40</v>
      </c>
    </row>
    <row r="4" spans="1:2" x14ac:dyDescent="0.2">
      <c r="A4" t="s">
        <v>142</v>
      </c>
      <c r="B4" s="81">
        <v>8</v>
      </c>
    </row>
    <row r="5" spans="1:2" x14ac:dyDescent="0.2">
      <c r="A5" t="s">
        <v>143</v>
      </c>
      <c r="B5" s="81">
        <v>7</v>
      </c>
    </row>
    <row r="6" spans="1:2" x14ac:dyDescent="0.2">
      <c r="A6" t="s">
        <v>144</v>
      </c>
      <c r="B6" s="81">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5C8C-8DBD-420D-9FC4-352A67C612AB}">
  <dimension ref="A1:C2"/>
  <sheetViews>
    <sheetView workbookViewId="0">
      <selection activeCell="B2" sqref="B2"/>
    </sheetView>
  </sheetViews>
  <sheetFormatPr defaultRowHeight="12.75" x14ac:dyDescent="0.2"/>
  <cols>
    <col min="1" max="1" width="10" bestFit="1" customWidth="1"/>
    <col min="2" max="2" width="18.42578125" bestFit="1" customWidth="1"/>
    <col min="3" max="3" width="30.7109375" bestFit="1" customWidth="1"/>
  </cols>
  <sheetData>
    <row r="1" spans="1:3" x14ac:dyDescent="0.2">
      <c r="A1" s="53" t="s">
        <v>145</v>
      </c>
      <c r="B1" s="53" t="s">
        <v>129</v>
      </c>
      <c r="C1" t="s">
        <v>146</v>
      </c>
    </row>
    <row r="2" spans="1:3" x14ac:dyDescent="0.2">
      <c r="A2" s="53" t="s">
        <v>147</v>
      </c>
      <c r="B2">
        <v>1600</v>
      </c>
      <c r="C2">
        <v>60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1F84-533B-4603-ADF4-EE5CEA9579BF}">
  <dimension ref="A1:B3"/>
  <sheetViews>
    <sheetView workbookViewId="0">
      <selection activeCell="B2" sqref="B2"/>
    </sheetView>
  </sheetViews>
  <sheetFormatPr defaultRowHeight="12.75" x14ac:dyDescent="0.2"/>
  <cols>
    <col min="1" max="1" width="14.85546875" customWidth="1"/>
    <col min="2" max="2" width="25.42578125" customWidth="1"/>
  </cols>
  <sheetData>
    <row r="1" spans="1:2" x14ac:dyDescent="0.2">
      <c r="A1" s="85" t="s">
        <v>29</v>
      </c>
      <c r="B1" s="82" t="s">
        <v>123</v>
      </c>
    </row>
    <row r="2" spans="1:2" x14ac:dyDescent="0.2">
      <c r="A2" t="s">
        <v>18</v>
      </c>
      <c r="B2" s="86">
        <v>68</v>
      </c>
    </row>
    <row r="3" spans="1:2" x14ac:dyDescent="0.2">
      <c r="A3" t="s">
        <v>148</v>
      </c>
      <c r="B3" s="87">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68E3-5219-4B38-8BCE-9F5A7765443C}">
  <dimension ref="A1:F34"/>
  <sheetViews>
    <sheetView workbookViewId="0">
      <selection activeCell="F18" sqref="F18"/>
    </sheetView>
  </sheetViews>
  <sheetFormatPr defaultRowHeight="12.75" x14ac:dyDescent="0.2"/>
  <cols>
    <col min="1" max="1" width="44.5703125" customWidth="1"/>
    <col min="2" max="2" width="38.5703125" customWidth="1"/>
    <col min="3" max="4" width="12.7109375" customWidth="1"/>
    <col min="5" max="5" width="12.85546875" customWidth="1"/>
    <col min="6" max="6" width="45.42578125" customWidth="1"/>
  </cols>
  <sheetData>
    <row r="1" spans="1:6" x14ac:dyDescent="0.2">
      <c r="A1" s="52" t="s">
        <v>149</v>
      </c>
      <c r="B1" s="52" t="s">
        <v>150</v>
      </c>
      <c r="C1" s="52" t="s">
        <v>151</v>
      </c>
      <c r="D1" s="52" t="s">
        <v>152</v>
      </c>
      <c r="E1" s="52" t="s">
        <v>153</v>
      </c>
      <c r="F1" s="52" t="s">
        <v>154</v>
      </c>
    </row>
    <row r="2" spans="1:6" x14ac:dyDescent="0.2">
      <c r="A2" s="53" t="s">
        <v>19</v>
      </c>
      <c r="B2" s="53" t="s">
        <v>155</v>
      </c>
      <c r="C2">
        <v>35</v>
      </c>
      <c r="D2">
        <v>55</v>
      </c>
    </row>
    <row r="3" spans="1:6" x14ac:dyDescent="0.2">
      <c r="A3" s="53" t="s">
        <v>19</v>
      </c>
      <c r="B3" s="53" t="s">
        <v>156</v>
      </c>
      <c r="C3">
        <v>32</v>
      </c>
      <c r="D3">
        <v>40</v>
      </c>
    </row>
    <row r="4" spans="1:6" x14ac:dyDescent="0.2">
      <c r="A4" s="53" t="s">
        <v>19</v>
      </c>
      <c r="B4" s="53" t="s">
        <v>157</v>
      </c>
      <c r="C4">
        <v>32</v>
      </c>
      <c r="D4">
        <v>40</v>
      </c>
    </row>
    <row r="5" spans="1:6" x14ac:dyDescent="0.2">
      <c r="A5" s="53" t="s">
        <v>19</v>
      </c>
      <c r="B5" s="53" t="s">
        <v>158</v>
      </c>
      <c r="C5">
        <v>32</v>
      </c>
      <c r="D5">
        <v>40</v>
      </c>
    </row>
    <row r="6" spans="1:6" x14ac:dyDescent="0.2">
      <c r="A6" s="53" t="s">
        <v>29</v>
      </c>
      <c r="B6" s="53" t="s">
        <v>159</v>
      </c>
    </row>
    <row r="7" spans="1:6" x14ac:dyDescent="0.2">
      <c r="A7" s="53" t="s">
        <v>160</v>
      </c>
      <c r="B7" s="53" t="s">
        <v>161</v>
      </c>
    </row>
    <row r="8" spans="1:6" x14ac:dyDescent="0.2">
      <c r="A8" s="53" t="s">
        <v>160</v>
      </c>
      <c r="B8" s="53" t="s">
        <v>162</v>
      </c>
      <c r="C8">
        <v>40</v>
      </c>
    </row>
    <row r="9" spans="1:6" x14ac:dyDescent="0.2">
      <c r="A9" s="53" t="s">
        <v>160</v>
      </c>
      <c r="B9" s="53" t="s">
        <v>163</v>
      </c>
      <c r="C9">
        <v>50</v>
      </c>
    </row>
    <row r="10" spans="1:6" x14ac:dyDescent="0.2">
      <c r="A10" s="53" t="s">
        <v>160</v>
      </c>
      <c r="B10" s="53" t="s">
        <v>164</v>
      </c>
      <c r="C10">
        <v>50</v>
      </c>
    </row>
    <row r="11" spans="1:6" x14ac:dyDescent="0.2">
      <c r="A11" s="53" t="s">
        <v>36</v>
      </c>
      <c r="B11" s="53" t="s">
        <v>165</v>
      </c>
      <c r="C11">
        <v>45</v>
      </c>
      <c r="D11">
        <v>50</v>
      </c>
    </row>
    <row r="12" spans="1:6" x14ac:dyDescent="0.2">
      <c r="A12" s="53" t="s">
        <v>36</v>
      </c>
      <c r="B12" s="53" t="s">
        <v>166</v>
      </c>
      <c r="C12">
        <v>50</v>
      </c>
    </row>
    <row r="13" spans="1:6" x14ac:dyDescent="0.2">
      <c r="A13" s="53" t="s">
        <v>36</v>
      </c>
      <c r="B13" s="53" t="s">
        <v>167</v>
      </c>
      <c r="C13">
        <v>50</v>
      </c>
    </row>
    <row r="14" spans="1:6" x14ac:dyDescent="0.2">
      <c r="A14" s="53" t="s">
        <v>36</v>
      </c>
      <c r="B14" s="53" t="s">
        <v>168</v>
      </c>
      <c r="C14">
        <v>30</v>
      </c>
    </row>
    <row r="15" spans="1:6" x14ac:dyDescent="0.2">
      <c r="A15" s="53" t="s">
        <v>36</v>
      </c>
      <c r="B15" s="53" t="s">
        <v>169</v>
      </c>
      <c r="C15">
        <v>20</v>
      </c>
      <c r="D15">
        <v>25</v>
      </c>
    </row>
    <row r="16" spans="1:6" x14ac:dyDescent="0.2">
      <c r="A16" s="53" t="s">
        <v>36</v>
      </c>
      <c r="B16" s="53" t="s">
        <v>170</v>
      </c>
      <c r="C16">
        <v>15</v>
      </c>
      <c r="D16">
        <v>30</v>
      </c>
    </row>
    <row r="17" spans="1:6" x14ac:dyDescent="0.2">
      <c r="A17" s="53" t="s">
        <v>49</v>
      </c>
      <c r="B17" s="53" t="s">
        <v>171</v>
      </c>
      <c r="C17">
        <v>70</v>
      </c>
      <c r="D17">
        <v>90</v>
      </c>
    </row>
    <row r="18" spans="1:6" x14ac:dyDescent="0.2">
      <c r="A18" s="53" t="s">
        <v>172</v>
      </c>
      <c r="B18" s="53" t="s">
        <v>173</v>
      </c>
      <c r="C18">
        <v>10</v>
      </c>
      <c r="D18">
        <v>14</v>
      </c>
      <c r="F18" t="s">
        <v>174</v>
      </c>
    </row>
    <row r="19" spans="1:6" x14ac:dyDescent="0.2">
      <c r="A19" s="53" t="s">
        <v>172</v>
      </c>
      <c r="B19" s="53" t="s">
        <v>175</v>
      </c>
    </row>
    <row r="20" spans="1:6" x14ac:dyDescent="0.2">
      <c r="A20" s="53" t="s">
        <v>172</v>
      </c>
      <c r="B20" s="53" t="s">
        <v>176</v>
      </c>
      <c r="C20">
        <v>18</v>
      </c>
    </row>
    <row r="21" spans="1:6" x14ac:dyDescent="0.2">
      <c r="A21" s="53" t="s">
        <v>172</v>
      </c>
      <c r="B21" s="53" t="s">
        <v>177</v>
      </c>
    </row>
    <row r="22" spans="1:6" x14ac:dyDescent="0.2">
      <c r="A22" s="53" t="s">
        <v>58</v>
      </c>
      <c r="B22" s="53" t="s">
        <v>178</v>
      </c>
      <c r="C22">
        <v>50</v>
      </c>
    </row>
    <row r="23" spans="1:6" x14ac:dyDescent="0.2">
      <c r="A23" s="53" t="s">
        <v>179</v>
      </c>
      <c r="B23" s="53" t="s">
        <v>180</v>
      </c>
    </row>
    <row r="24" spans="1:6" x14ac:dyDescent="0.2">
      <c r="A24" s="53" t="s">
        <v>82</v>
      </c>
      <c r="B24" s="53" t="s">
        <v>181</v>
      </c>
      <c r="C24">
        <v>180</v>
      </c>
      <c r="D24">
        <v>300</v>
      </c>
    </row>
    <row r="25" spans="1:6" x14ac:dyDescent="0.2">
      <c r="A25" s="53" t="s">
        <v>82</v>
      </c>
      <c r="B25" s="53" t="s">
        <v>182</v>
      </c>
      <c r="C25">
        <v>120</v>
      </c>
      <c r="D25">
        <v>140</v>
      </c>
    </row>
    <row r="26" spans="1:6" x14ac:dyDescent="0.2">
      <c r="A26" s="53" t="s">
        <v>82</v>
      </c>
      <c r="B26" s="53" t="s">
        <v>183</v>
      </c>
      <c r="C26">
        <v>100</v>
      </c>
      <c r="D26">
        <v>120</v>
      </c>
    </row>
    <row r="27" spans="1:6" x14ac:dyDescent="0.2">
      <c r="A27" s="53" t="s">
        <v>82</v>
      </c>
      <c r="B27" s="53" t="s">
        <v>184</v>
      </c>
      <c r="C27">
        <v>48</v>
      </c>
      <c r="D27">
        <v>80</v>
      </c>
    </row>
    <row r="28" spans="1:6" x14ac:dyDescent="0.2">
      <c r="A28" s="53" t="s">
        <v>82</v>
      </c>
      <c r="B28" s="53" t="s">
        <v>185</v>
      </c>
      <c r="C28">
        <v>25</v>
      </c>
      <c r="D28">
        <v>35</v>
      </c>
    </row>
    <row r="29" spans="1:6" x14ac:dyDescent="0.2">
      <c r="A29" s="53" t="s">
        <v>82</v>
      </c>
      <c r="B29" s="53" t="s">
        <v>186</v>
      </c>
      <c r="C29">
        <v>20</v>
      </c>
      <c r="D29">
        <v>35</v>
      </c>
    </row>
    <row r="30" spans="1:6" x14ac:dyDescent="0.2">
      <c r="A30" s="53" t="s">
        <v>82</v>
      </c>
      <c r="B30" s="53" t="s">
        <v>187</v>
      </c>
      <c r="C30">
        <v>20</v>
      </c>
      <c r="D30">
        <v>30</v>
      </c>
    </row>
    <row r="31" spans="1:6" x14ac:dyDescent="0.2">
      <c r="A31" s="53" t="s">
        <v>49</v>
      </c>
      <c r="B31" s="53" t="s">
        <v>188</v>
      </c>
      <c r="C31">
        <v>55</v>
      </c>
    </row>
    <row r="32" spans="1:6" x14ac:dyDescent="0.2">
      <c r="A32" s="53" t="s">
        <v>49</v>
      </c>
      <c r="B32" s="53" t="s">
        <v>189</v>
      </c>
      <c r="C32">
        <v>18</v>
      </c>
      <c r="D32">
        <v>24</v>
      </c>
      <c r="F32" t="s">
        <v>190</v>
      </c>
    </row>
    <row r="33" spans="1:3" x14ac:dyDescent="0.2">
      <c r="A33" s="53" t="s">
        <v>49</v>
      </c>
      <c r="B33" s="53" t="s">
        <v>191</v>
      </c>
      <c r="C33">
        <v>15</v>
      </c>
    </row>
    <row r="34" spans="1:3" x14ac:dyDescent="0.2">
      <c r="B34" s="5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E449D50EB15484EBB2E19CC842610EF" ma:contentTypeVersion="4" ma:contentTypeDescription="Create a new document." ma:contentTypeScope="" ma:versionID="7da48c419f8305ffc435bf96d95565fb">
  <xsd:schema xmlns:xsd="http://www.w3.org/2001/XMLSchema" xmlns:xs="http://www.w3.org/2001/XMLSchema" xmlns:p="http://schemas.microsoft.com/office/2006/metadata/properties" xmlns:ns2="45daef87-ad15-4615-8bbc-b0c6dcf5149e" targetNamespace="http://schemas.microsoft.com/office/2006/metadata/properties" ma:root="true" ma:fieldsID="347e6289ba68dd03abee3a2d7433729b" ns2:_="">
    <xsd:import namespace="45daef87-ad15-4615-8bbc-b0c6dcf5149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daef87-ad15-4615-8bbc-b0c6dcf514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C214D4-1503-4BBC-B6C8-746411BE81F0}">
  <ds:schemaRefs>
    <ds:schemaRef ds:uri="http://schemas.microsoft.com/DataMashup"/>
  </ds:schemaRefs>
</ds:datastoreItem>
</file>

<file path=customXml/itemProps2.xml><?xml version="1.0" encoding="utf-8"?>
<ds:datastoreItem xmlns:ds="http://schemas.openxmlformats.org/officeDocument/2006/customXml" ds:itemID="{BF591509-9AE5-4B97-B96E-14BA8EBF15E6}">
  <ds:schemaRefs>
    <ds:schemaRef ds:uri="http://schemas.microsoft.com/office/2006/metadata/properties"/>
    <ds:schemaRef ds:uri="http://purl.org/dc/elements/1.1/"/>
    <ds:schemaRef ds:uri="http://schemas.microsoft.com/office/2006/documentManagement/types"/>
    <ds:schemaRef ds:uri="http://www.w3.org/XML/1998/namespace"/>
    <ds:schemaRef ds:uri="45daef87-ad15-4615-8bbc-b0c6dcf5149e"/>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20D58B25-0D7F-46F8-B9CB-A1ABC8473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daef87-ad15-4615-8bbc-b0c6dcf514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D309768-443B-4E61-BDCB-DADAEE1DE7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High_School_Space_Summary</vt:lpstr>
      <vt:lpstr>Academic_Section_Size</vt:lpstr>
      <vt:lpstr>Instruction_Cycles</vt:lpstr>
      <vt:lpstr>Student_Number_Input</vt:lpstr>
      <vt:lpstr>Special_Education_Student_Input</vt:lpstr>
      <vt:lpstr>Space_Standard_Input</vt:lpstr>
      <vt:lpstr>High_School_Space_Summary!Print_Area</vt:lpstr>
      <vt:lpstr>High_School_Space_Summary!Print_Titles</vt:lpstr>
    </vt:vector>
  </TitlesOfParts>
  <Manager/>
  <Company>Massachusetts School Building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jbuckley</dc:creator>
  <cp:keywords/>
  <dc:description/>
  <cp:lastModifiedBy>Douwe Wieberdink</cp:lastModifiedBy>
  <cp:revision/>
  <dcterms:created xsi:type="dcterms:W3CDTF">2008-02-25T21:31:29Z</dcterms:created>
  <dcterms:modified xsi:type="dcterms:W3CDTF">2025-05-19T18:29:13Z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0x010100AE449D50EB15484EBB2E19CC842610EF</vt:lpwstr>
  </property>
</Properties>
</file>