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sandervd_microsoft_com/Documents/Shared with Everyone/DX/ISV/Beijer/"/>
    </mc:Choice>
  </mc:AlternateContent>
  <bookViews>
    <workbookView xWindow="0" yWindow="0" windowWidth="15380" windowHeight="7150" activeTab="2"/>
  </bookViews>
  <sheets>
    <sheet name="Constants" sheetId="6" r:id="rId1"/>
    <sheet name="Numbers" sheetId="1" r:id="rId2"/>
    <sheet name="EventHub" sheetId="2" r:id="rId3"/>
    <sheet name="SF  &amp; WJ" sheetId="3" r:id="rId4"/>
    <sheet name="AF" sheetId="4" r:id="rId5"/>
    <sheet name="Storage" sheetId="7" r:id="rId6"/>
    <sheet name="Push" sheetId="5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B2" i="7"/>
  <c r="F5" i="1"/>
  <c r="E5" i="1"/>
  <c r="D5" i="1"/>
  <c r="C5" i="1"/>
  <c r="B5" i="1"/>
  <c r="F4" i="1"/>
  <c r="E4" i="1"/>
  <c r="D4" i="1"/>
  <c r="B3" i="4"/>
  <c r="B37" i="7" l="1"/>
  <c r="C37" i="7" s="1"/>
  <c r="B10" i="7"/>
  <c r="C10" i="7" s="1"/>
  <c r="B14" i="7"/>
  <c r="C14" i="7" s="1"/>
  <c r="B18" i="7"/>
  <c r="C18" i="7" s="1"/>
  <c r="B22" i="7"/>
  <c r="C22" i="7" s="1"/>
  <c r="B26" i="7"/>
  <c r="C26" i="7" s="1"/>
  <c r="B30" i="7"/>
  <c r="C30" i="7" s="1"/>
  <c r="B34" i="7"/>
  <c r="C34" i="7" s="1"/>
  <c r="B38" i="7"/>
  <c r="C38" i="7" s="1"/>
  <c r="B42" i="7"/>
  <c r="C42" i="7" s="1"/>
  <c r="B11" i="7"/>
  <c r="C11" i="7" s="1"/>
  <c r="B15" i="7"/>
  <c r="C15" i="7" s="1"/>
  <c r="B19" i="7"/>
  <c r="C19" i="7" s="1"/>
  <c r="B23" i="7"/>
  <c r="C23" i="7" s="1"/>
  <c r="B27" i="7"/>
  <c r="C27" i="7" s="1"/>
  <c r="B31" i="7"/>
  <c r="C31" i="7" s="1"/>
  <c r="B35" i="7"/>
  <c r="C35" i="7" s="1"/>
  <c r="B39" i="7"/>
  <c r="C39" i="7" s="1"/>
  <c r="B43" i="7"/>
  <c r="C43" i="7" s="1"/>
  <c r="B13" i="7"/>
  <c r="C13" i="7" s="1"/>
  <c r="B17" i="7"/>
  <c r="C17" i="7" s="1"/>
  <c r="B21" i="7"/>
  <c r="C21" i="7" s="1"/>
  <c r="B25" i="7"/>
  <c r="C25" i="7" s="1"/>
  <c r="B29" i="7"/>
  <c r="C29" i="7" s="1"/>
  <c r="B33" i="7"/>
  <c r="C33" i="7" s="1"/>
  <c r="B41" i="7"/>
  <c r="C41" i="7" s="1"/>
  <c r="B9" i="7"/>
  <c r="C9" i="7" s="1"/>
  <c r="B12" i="7"/>
  <c r="C12" i="7" s="1"/>
  <c r="B16" i="7"/>
  <c r="C16" i="7" s="1"/>
  <c r="B20" i="7"/>
  <c r="C20" i="7" s="1"/>
  <c r="B24" i="7"/>
  <c r="C24" i="7" s="1"/>
  <c r="B28" i="7"/>
  <c r="C28" i="7" s="1"/>
  <c r="B32" i="7"/>
  <c r="C32" i="7" s="1"/>
  <c r="B36" i="7"/>
  <c r="C36" i="7" s="1"/>
  <c r="B40" i="7"/>
  <c r="C40" i="7" s="1"/>
  <c r="B44" i="7"/>
  <c r="C44" i="7" s="1"/>
  <c r="B17" i="4"/>
  <c r="B16" i="4"/>
  <c r="B15" i="4"/>
  <c r="B14" i="4"/>
  <c r="B13" i="4"/>
  <c r="B12" i="4"/>
  <c r="B11" i="4"/>
  <c r="C22" i="4"/>
  <c r="C23" i="4"/>
  <c r="C24" i="4"/>
  <c r="C25" i="4"/>
  <c r="E25" i="4" s="1"/>
  <c r="C26" i="4"/>
  <c r="C27" i="4"/>
  <c r="C21" i="4"/>
  <c r="E21" i="4" s="1"/>
  <c r="E26" i="4" l="1"/>
  <c r="G26" i="4" s="1"/>
  <c r="H26" i="4" s="1"/>
  <c r="E22" i="4"/>
  <c r="G22" i="4" s="1"/>
  <c r="H22" i="4" s="1"/>
  <c r="G25" i="4"/>
  <c r="H25" i="4" s="1"/>
  <c r="I25" i="4"/>
  <c r="I21" i="4"/>
  <c r="G21" i="4"/>
  <c r="H21" i="4" s="1"/>
  <c r="H6" i="4"/>
  <c r="H5" i="4"/>
  <c r="H4" i="4"/>
  <c r="H3" i="4"/>
  <c r="H2" i="4" s="1"/>
  <c r="F2" i="4" s="1"/>
  <c r="D44" i="7" l="1"/>
  <c r="E41" i="7"/>
  <c r="D24" i="7"/>
  <c r="D29" i="7"/>
  <c r="E31" i="7"/>
  <c r="E39" i="7"/>
  <c r="E19" i="7"/>
  <c r="E15" i="7"/>
  <c r="E11" i="7"/>
  <c r="E44" i="7"/>
  <c r="D21" i="7"/>
  <c r="D22" i="7"/>
  <c r="E23" i="7"/>
  <c r="E24" i="7"/>
  <c r="D27" i="7"/>
  <c r="D28" i="7"/>
  <c r="E29" i="7"/>
  <c r="E30" i="7"/>
  <c r="D35" i="7"/>
  <c r="D36" i="7"/>
  <c r="E37" i="7"/>
  <c r="E38" i="7"/>
  <c r="E20" i="7"/>
  <c r="D19" i="7"/>
  <c r="E16" i="7"/>
  <c r="D15" i="7"/>
  <c r="E12" i="7"/>
  <c r="D11" i="7"/>
  <c r="E27" i="7"/>
  <c r="D33" i="7"/>
  <c r="E35" i="7"/>
  <c r="D16" i="7"/>
  <c r="E13" i="7"/>
  <c r="D12" i="7"/>
  <c r="E9" i="7"/>
  <c r="D42" i="7"/>
  <c r="D43" i="7"/>
  <c r="E21" i="7"/>
  <c r="E22" i="7"/>
  <c r="D26" i="7"/>
  <c r="E28" i="7"/>
  <c r="D34" i="7"/>
  <c r="E36" i="7"/>
  <c r="D20" i="7"/>
  <c r="E17" i="7"/>
  <c r="D41" i="7"/>
  <c r="F41" i="7" s="1"/>
  <c r="E42" i="7"/>
  <c r="E43" i="7"/>
  <c r="D25" i="7"/>
  <c r="E26" i="7"/>
  <c r="D31" i="7"/>
  <c r="F31" i="7" s="1"/>
  <c r="D32" i="7"/>
  <c r="E33" i="7"/>
  <c r="E34" i="7"/>
  <c r="D39" i="7"/>
  <c r="F39" i="7" s="1"/>
  <c r="D40" i="7"/>
  <c r="E18" i="7"/>
  <c r="D17" i="7"/>
  <c r="E14" i="7"/>
  <c r="D13" i="7"/>
  <c r="E10" i="7"/>
  <c r="D9" i="7"/>
  <c r="D23" i="7"/>
  <c r="E25" i="7"/>
  <c r="D30" i="7"/>
  <c r="F30" i="7" s="1"/>
  <c r="E32" i="7"/>
  <c r="D37" i="7"/>
  <c r="F37" i="7" s="1"/>
  <c r="D38" i="7"/>
  <c r="E40" i="7"/>
  <c r="D18" i="7"/>
  <c r="D14" i="7"/>
  <c r="F14" i="7" s="1"/>
  <c r="D10" i="7"/>
  <c r="I26" i="4"/>
  <c r="J26" i="4" s="1"/>
  <c r="I22" i="4"/>
  <c r="J22" i="4" s="1"/>
  <c r="J25" i="4"/>
  <c r="J21" i="4"/>
  <c r="F8" i="3"/>
  <c r="F7" i="3"/>
  <c r="F44" i="7" l="1"/>
  <c r="F36" i="7"/>
  <c r="F27" i="7"/>
  <c r="F13" i="7"/>
  <c r="F40" i="7"/>
  <c r="F32" i="7"/>
  <c r="F20" i="7"/>
  <c r="F26" i="7"/>
  <c r="F42" i="7"/>
  <c r="F16" i="7"/>
  <c r="F19" i="7"/>
  <c r="F28" i="7"/>
  <c r="F18" i="7"/>
  <c r="F9" i="7"/>
  <c r="F17" i="7"/>
  <c r="F12" i="7"/>
  <c r="F24" i="7"/>
  <c r="F22" i="7"/>
  <c r="F35" i="7"/>
  <c r="F21" i="7"/>
  <c r="F34" i="7"/>
  <c r="F33" i="7"/>
  <c r="F15" i="7"/>
  <c r="F38" i="7"/>
  <c r="F10" i="7"/>
  <c r="F25" i="7"/>
  <c r="F43" i="7"/>
  <c r="F29" i="7"/>
  <c r="F23" i="7"/>
  <c r="F11" i="7"/>
  <c r="M11" i="4"/>
  <c r="M7" i="4"/>
  <c r="M3" i="4"/>
  <c r="B24" i="4"/>
  <c r="D24" i="4" s="1"/>
  <c r="B21" i="4"/>
  <c r="D21" i="4" s="1"/>
  <c r="M10" i="4"/>
  <c r="M6" i="4"/>
  <c r="M2" i="4"/>
  <c r="B25" i="4"/>
  <c r="D25" i="4" s="1"/>
  <c r="M9" i="4"/>
  <c r="M5" i="4"/>
  <c r="B22" i="4"/>
  <c r="B26" i="4"/>
  <c r="D26" i="4" s="1"/>
  <c r="M8" i="4"/>
  <c r="M4" i="4"/>
  <c r="B23" i="4"/>
  <c r="D23" i="4" s="1"/>
  <c r="B27" i="4"/>
  <c r="D27" i="4" s="1"/>
  <c r="B1" i="2"/>
  <c r="G32" i="7" l="1"/>
  <c r="G20" i="7"/>
  <c r="G44" i="7"/>
  <c r="F21" i="4"/>
  <c r="F26" i="4"/>
  <c r="F25" i="4"/>
  <c r="F22" i="4"/>
  <c r="D22" i="4"/>
  <c r="C15" i="4"/>
  <c r="E15" i="4" s="1"/>
  <c r="G15" i="4" s="1"/>
  <c r="H15" i="4" s="1"/>
  <c r="C17" i="4"/>
  <c r="E17" i="4" s="1"/>
  <c r="G17" i="4" s="1"/>
  <c r="H17" i="4" s="1"/>
  <c r="C12" i="4"/>
  <c r="E12" i="4" s="1"/>
  <c r="G12" i="4" s="1"/>
  <c r="H12" i="4" s="1"/>
  <c r="C16" i="4"/>
  <c r="E16" i="4" s="1"/>
  <c r="G16" i="4" s="1"/>
  <c r="H16" i="4" s="1"/>
  <c r="C14" i="4"/>
  <c r="E14" i="4" s="1"/>
  <c r="I14" i="4" s="1"/>
  <c r="C13" i="4"/>
  <c r="E13" i="4" s="1"/>
  <c r="I13" i="4" s="1"/>
  <c r="E23" i="4"/>
  <c r="F23" i="4"/>
  <c r="E24" i="4"/>
  <c r="F24" i="4"/>
  <c r="C11" i="4"/>
  <c r="E11" i="4" s="1"/>
  <c r="E27" i="4"/>
  <c r="F27" i="4"/>
  <c r="B12" i="6"/>
  <c r="D17" i="4" l="1"/>
  <c r="I17" i="4"/>
  <c r="J17" i="4" s="1"/>
  <c r="I16" i="4"/>
  <c r="J16" i="4" s="1"/>
  <c r="D16" i="4"/>
  <c r="D15" i="4"/>
  <c r="I15" i="4"/>
  <c r="J15" i="4" s="1"/>
  <c r="G13" i="4"/>
  <c r="H13" i="4" s="1"/>
  <c r="J13" i="4" s="1"/>
  <c r="I12" i="4"/>
  <c r="J12" i="4" s="1"/>
  <c r="D13" i="4"/>
  <c r="G14" i="4"/>
  <c r="H14" i="4" s="1"/>
  <c r="J14" i="4" s="1"/>
  <c r="D14" i="4"/>
  <c r="D12" i="4"/>
  <c r="D11" i="4"/>
  <c r="G11" i="4"/>
  <c r="H11" i="4" s="1"/>
  <c r="I11" i="4"/>
  <c r="G24" i="4"/>
  <c r="H24" i="4" s="1"/>
  <c r="I24" i="4"/>
  <c r="G27" i="4"/>
  <c r="H27" i="4" s="1"/>
  <c r="I27" i="4"/>
  <c r="I23" i="4"/>
  <c r="G23" i="4"/>
  <c r="H23" i="4" s="1"/>
  <c r="B3" i="1"/>
  <c r="B2" i="1"/>
  <c r="J24" i="4" l="1"/>
  <c r="J11" i="4"/>
  <c r="J27" i="4"/>
  <c r="J23" i="4"/>
  <c r="E3" i="3"/>
  <c r="B3" i="3"/>
  <c r="B7" i="2"/>
  <c r="B9" i="2" s="1"/>
  <c r="B3" i="2"/>
  <c r="B2" i="2"/>
  <c r="B10" i="2" l="1"/>
  <c r="B14" i="2"/>
  <c r="B21" i="2" s="1"/>
  <c r="B11" i="2"/>
  <c r="C7" i="2"/>
  <c r="C9" i="2" s="1"/>
  <c r="C10" i="2" s="1"/>
  <c r="B8" i="2"/>
  <c r="D7" i="2" l="1"/>
  <c r="C11" i="2"/>
  <c r="B15" i="2"/>
  <c r="B16" i="2" s="1"/>
  <c r="B23" i="2"/>
  <c r="B25" i="2" s="1"/>
  <c r="B26" i="2" s="1"/>
  <c r="C8" i="2"/>
  <c r="D8" i="2" s="1"/>
  <c r="E7" i="2"/>
  <c r="D11" i="2"/>
  <c r="D9" i="2"/>
  <c r="D10" i="2" s="1"/>
  <c r="B24" i="2"/>
  <c r="E11" i="2" l="1"/>
  <c r="E9" i="2"/>
  <c r="E10" i="2" s="1"/>
  <c r="E8" i="2"/>
  <c r="F7" i="2"/>
  <c r="F9" i="2" l="1"/>
  <c r="F10" i="2" s="1"/>
  <c r="F8" i="2"/>
  <c r="B17" i="2"/>
  <c r="B18" i="2" s="1"/>
  <c r="B19" i="2" s="1"/>
  <c r="F11" i="2"/>
  <c r="B15" i="1" l="1"/>
  <c r="B8" i="1" l="1"/>
  <c r="C8" i="1" l="1"/>
  <c r="B11" i="1"/>
  <c r="B9" i="1"/>
  <c r="C3" i="1"/>
  <c r="C2" i="1"/>
  <c r="C9" i="1" l="1"/>
  <c r="D9" i="1" s="1"/>
  <c r="E9" i="1" s="1"/>
  <c r="F9" i="1" s="1"/>
  <c r="B12" i="1"/>
  <c r="D8" i="1" l="1"/>
  <c r="E8" i="1" s="1"/>
  <c r="F8" i="1" s="1"/>
</calcChain>
</file>

<file path=xl/sharedStrings.xml><?xml version="1.0" encoding="utf-8"?>
<sst xmlns="http://schemas.openxmlformats.org/spreadsheetml/2006/main" count="116" uniqueCount="87">
  <si>
    <t>Occupation 15% / 24 uur</t>
  </si>
  <si>
    <t>Cars</t>
  </si>
  <si>
    <t>Peak  Level (% of cars driving)</t>
  </si>
  <si>
    <t>Per Hour</t>
  </si>
  <si>
    <t>Per Day</t>
  </si>
  <si>
    <t>Per Week</t>
  </si>
  <si>
    <t>Per Month</t>
  </si>
  <si>
    <t>Cars in 1 Vibex Message</t>
  </si>
  <si>
    <t>Messages  (peak)</t>
  </si>
  <si>
    <t>Messages  (normal)</t>
  </si>
  <si>
    <t>Cars per Vibex Server</t>
  </si>
  <si>
    <t>Number of Vibex Servers</t>
  </si>
  <si>
    <t>Signalvalues / Messages</t>
  </si>
  <si>
    <t>max 1800</t>
  </si>
  <si>
    <t>Events/Second</t>
  </si>
  <si>
    <t>Size of payload</t>
  </si>
  <si>
    <t>bytes</t>
  </si>
  <si>
    <t>Second</t>
  </si>
  <si>
    <t>Minute</t>
  </si>
  <si>
    <t>Hour</t>
  </si>
  <si>
    <t>Day</t>
  </si>
  <si>
    <t>Month</t>
  </si>
  <si>
    <t>Events</t>
  </si>
  <si>
    <t>Events\Device</t>
  </si>
  <si>
    <t>MB</t>
  </si>
  <si>
    <t>GB</t>
  </si>
  <si>
    <t>Messages</t>
  </si>
  <si>
    <t>Ingress Units</t>
  </si>
  <si>
    <t>Egress Units</t>
  </si>
  <si>
    <t>Ingress Cost</t>
  </si>
  <si>
    <t>Event Cost</t>
  </si>
  <si>
    <t>Month Cost</t>
  </si>
  <si>
    <t>Vehicle Cost</t>
  </si>
  <si>
    <t>Target Workers</t>
  </si>
  <si>
    <t>Workers</t>
  </si>
  <si>
    <t>Max MB\sec</t>
  </si>
  <si>
    <t>Error Buffer</t>
  </si>
  <si>
    <t>Events\Message</t>
  </si>
  <si>
    <t>Number VM</t>
  </si>
  <si>
    <t>WebJob</t>
  </si>
  <si>
    <t>Cost / VM D2 V2</t>
  </si>
  <si>
    <t>GB/Sec</t>
  </si>
  <si>
    <t>Stream Analytics</t>
  </si>
  <si>
    <t>1 TB</t>
  </si>
  <si>
    <t>1 Streaming Unit</t>
  </si>
  <si>
    <t>Storage</t>
  </si>
  <si>
    <t>Cost / TB</t>
  </si>
  <si>
    <t>Seconds per month</t>
  </si>
  <si>
    <t>Azure Function</t>
  </si>
  <si>
    <t>Nr Cars</t>
  </si>
  <si>
    <t>Customer:</t>
  </si>
  <si>
    <t>Cost/Execution</t>
  </si>
  <si>
    <t>Seconds per day</t>
  </si>
  <si>
    <t>Per Sec</t>
  </si>
  <si>
    <t>Retrieval / TB</t>
  </si>
  <si>
    <t>Write / TB</t>
  </si>
  <si>
    <t>SignalValues (normal)</t>
  </si>
  <si>
    <t>SignalValues  (peak)</t>
  </si>
  <si>
    <t>Seconds per hour</t>
  </si>
  <si>
    <t>per 24 hours</t>
  </si>
  <si>
    <t>SignalValues per second</t>
  </si>
  <si>
    <t>Hours PeakLevel</t>
  </si>
  <si>
    <t>Required RPS at FleetOwner Peak</t>
  </si>
  <si>
    <t>Required RPS at FleetOwner Normal</t>
  </si>
  <si>
    <t>Sampling Rate (every X sec)</t>
  </si>
  <si>
    <t>Execution / Month</t>
  </si>
  <si>
    <t>Duration</t>
  </si>
  <si>
    <t>Memory Consumption</t>
  </si>
  <si>
    <t>Memory</t>
  </si>
  <si>
    <t>Cost Resource</t>
  </si>
  <si>
    <t>Cost Execution</t>
  </si>
  <si>
    <t>Total</t>
  </si>
  <si>
    <t>Signals / Sec</t>
  </si>
  <si>
    <t>Signals</t>
  </si>
  <si>
    <t>Avg Execution /Sec</t>
  </si>
  <si>
    <t>Nr Customers</t>
  </si>
  <si>
    <t>sec</t>
  </si>
  <si>
    <t># Vibex Servers</t>
  </si>
  <si>
    <t>Signal/Execution</t>
  </si>
  <si>
    <t>TB</t>
  </si>
  <si>
    <t>Store</t>
  </si>
  <si>
    <t>Retrive</t>
  </si>
  <si>
    <t>Write</t>
  </si>
  <si>
    <t>Signals / Sec / Vibex</t>
  </si>
  <si>
    <t>TB/Month</t>
  </si>
  <si>
    <t>SignalValues (mixed)</t>
  </si>
  <si>
    <t>Storage (TB)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</si>
</sst>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"/>
    <numFmt numFmtId="166" formatCode="_(* #,##0_);_(* \(#,##0\);_(* &quot;-&quot;??_);_(@_)"/>
    <numFmt numFmtId="167" formatCode="_(&quot;$&quot;* #,##0.000_);_(&quot;$&quot;* \(#,##0.000\);_(&quot;$&quot;* &quot;-&quot;??_);_(@_)"/>
    <numFmt numFmtId="168" formatCode="_([$€-2]\ * #,##0.00_);_([$€-2]\ * \(#,##0.00\);_([$€-2]\ * &quot;-&quot;??_);_(@_)"/>
    <numFmt numFmtId="169" formatCode="_ [$€-413]\ * #,##0.00_ ;_ [$€-413]\ * \-#,##0.00_ ;_ [$€-413]\ * &quot;-&quot;??_ ;_ @_ "/>
    <numFmt numFmtId="170" formatCode="_ [$€-413]\ * #,##0.000000_ ;_ [$€-413]\ * \-#,##0.000000_ ;_ [$€-413]\ * &quot;-&quot;??_ ;_ @_ "/>
    <numFmt numFmtId="172" formatCode="_ [$€-413]\ * #,##0.00000000_ ;_ [$€-413]\ * \-#,##0.00000000_ ;_ [$€-413]\ * &quot;-&quot;??_ ;_ @_ "/>
    <numFmt numFmtId="173" formatCode="0.0000"/>
    <numFmt numFmtId="175" formatCode="0.0000000"/>
  </numFmts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2" borderId="0" xfId="0" applyFill="1" applyAlignment="1">
      <alignment horizontal="left"/>
    </xf>
    <xf numFmtId="0" fontId="3" fillId="3" borderId="0" xfId="0" applyFont="1" applyFill="1"/>
    <xf numFmtId="166" fontId="0" fillId="3" borderId="4" xfId="1" applyNumberFormat="1" applyFont="1" applyFill="1" applyBorder="1"/>
    <xf numFmtId="166" fontId="0" fillId="3" borderId="4" xfId="0" applyNumberFormat="1" applyFill="1" applyBorder="1"/>
    <xf numFmtId="166" fontId="0" fillId="3" borderId="3" xfId="0" applyNumberFormat="1" applyFill="1" applyBorder="1"/>
    <xf numFmtId="166" fontId="0" fillId="3" borderId="3" xfId="1" applyNumberFormat="1" applyFont="1" applyFill="1" applyBorder="1"/>
    <xf numFmtId="166" fontId="0" fillId="3" borderId="1" xfId="1" applyNumberFormat="1" applyFont="1" applyFill="1" applyBorder="1"/>
    <xf numFmtId="166" fontId="0" fillId="3" borderId="1" xfId="0" applyNumberFormat="1" applyFill="1" applyBorder="1"/>
    <xf numFmtId="44" fontId="0" fillId="3" borderId="1" xfId="2" applyFont="1" applyFill="1" applyBorder="1"/>
    <xf numFmtId="44" fontId="0" fillId="3" borderId="1" xfId="0" applyNumberFormat="1" applyFill="1" applyBorder="1"/>
    <xf numFmtId="167" fontId="0" fillId="3" borderId="1" xfId="0" applyNumberFormat="1" applyFill="1" applyBorder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9" fontId="0" fillId="0" borderId="0" xfId="2" applyNumberFormat="1" applyFont="1"/>
    <xf numFmtId="0" fontId="3" fillId="0" borderId="0" xfId="0" applyFont="1"/>
    <xf numFmtId="43" fontId="0" fillId="0" borderId="0" xfId="0" applyNumberFormat="1"/>
    <xf numFmtId="172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right"/>
    </xf>
    <xf numFmtId="9" fontId="0" fillId="0" borderId="0" xfId="0" applyNumberFormat="1" applyFont="1" applyFill="1" applyBorder="1"/>
    <xf numFmtId="165" fontId="0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right"/>
    </xf>
    <xf numFmtId="2" fontId="0" fillId="0" borderId="0" xfId="0" applyNumberFormat="1" applyFont="1" applyFill="1" applyBorder="1"/>
    <xf numFmtId="0" fontId="4" fillId="0" borderId="0" xfId="0" applyFont="1" applyAlignment="1">
      <alignment vertical="center"/>
    </xf>
    <xf numFmtId="173" fontId="0" fillId="0" borderId="0" xfId="0" applyNumberFormat="1"/>
    <xf numFmtId="1" fontId="0" fillId="0" borderId="0" xfId="0" applyNumberFormat="1"/>
    <xf numFmtId="169" fontId="0" fillId="0" borderId="0" xfId="0" applyNumberFormat="1" applyBorder="1"/>
    <xf numFmtId="165" fontId="0" fillId="0" borderId="0" xfId="0" applyNumberFormat="1"/>
    <xf numFmtId="175" fontId="0" fillId="0" borderId="0" xfId="0" applyNumberFormat="1"/>
    <xf numFmtId="168" fontId="3" fillId="0" borderId="0" xfId="3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Normal="130" workbookViewId="0">
      <selection activeCell="C13" sqref="C13"/>
    </sheetView>
  </sheetViews>
  <sheetFormatPr defaultRowHeight="14.5" x14ac:dyDescent="0.35"/>
  <cols>
    <col min="1" max="1" width="24.1796875" bestFit="1" customWidth="1"/>
    <col min="2" max="2" width="23.54296875" customWidth="1"/>
    <col min="3" max="3" width="19.7265625" customWidth="1"/>
  </cols>
  <sheetData>
    <row r="1" spans="1:3" x14ac:dyDescent="0.35">
      <c r="A1" s="32" t="s">
        <v>58</v>
      </c>
      <c r="B1" s="28">
        <v>3600</v>
      </c>
      <c r="C1" s="28"/>
    </row>
    <row r="2" spans="1:3" x14ac:dyDescent="0.35">
      <c r="A2" s="32" t="s">
        <v>52</v>
      </c>
      <c r="B2" s="28">
        <v>86400</v>
      </c>
      <c r="C2" s="28"/>
    </row>
    <row r="3" spans="1:3" x14ac:dyDescent="0.35">
      <c r="A3" s="32" t="s">
        <v>47</v>
      </c>
      <c r="B3" s="28">
        <v>2629800</v>
      </c>
      <c r="C3" s="28"/>
    </row>
    <row r="4" spans="1:3" x14ac:dyDescent="0.35">
      <c r="A4" s="32"/>
      <c r="B4" s="28"/>
      <c r="C4" s="28"/>
    </row>
    <row r="5" spans="1:3" x14ac:dyDescent="0.35">
      <c r="A5" s="33" t="s">
        <v>1</v>
      </c>
      <c r="B5" s="28">
        <v>50000</v>
      </c>
      <c r="C5" s="34"/>
    </row>
    <row r="6" spans="1:3" x14ac:dyDescent="0.35">
      <c r="A6" s="33" t="s">
        <v>10</v>
      </c>
      <c r="B6" s="28">
        <v>1000</v>
      </c>
      <c r="C6" s="34"/>
    </row>
    <row r="7" spans="1:3" x14ac:dyDescent="0.35">
      <c r="A7" s="32" t="s">
        <v>12</v>
      </c>
      <c r="B7" s="29">
        <v>1</v>
      </c>
      <c r="C7" s="34" t="s">
        <v>13</v>
      </c>
    </row>
    <row r="9" spans="1:3" x14ac:dyDescent="0.35">
      <c r="A9" s="33" t="s">
        <v>0</v>
      </c>
      <c r="B9" s="30">
        <v>0.15</v>
      </c>
      <c r="C9" s="34" t="s">
        <v>59</v>
      </c>
    </row>
    <row r="10" spans="1:3" x14ac:dyDescent="0.35">
      <c r="A10" s="33" t="s">
        <v>2</v>
      </c>
      <c r="B10" s="30">
        <v>0.33</v>
      </c>
      <c r="C10" s="34" t="s">
        <v>59</v>
      </c>
    </row>
    <row r="11" spans="1:3" x14ac:dyDescent="0.35">
      <c r="A11" s="33" t="s">
        <v>61</v>
      </c>
      <c r="B11" s="35">
        <v>6</v>
      </c>
      <c r="C11" s="28"/>
    </row>
    <row r="12" spans="1:3" x14ac:dyDescent="0.35">
      <c r="A12" s="33" t="s">
        <v>60</v>
      </c>
      <c r="B12" s="31">
        <f>C12/3600</f>
        <v>1</v>
      </c>
      <c r="C12" s="28">
        <v>3600</v>
      </c>
    </row>
    <row r="14" spans="1:3" x14ac:dyDescent="0.35">
      <c r="A14" s="5" t="s">
        <v>15</v>
      </c>
      <c r="B14" s="6">
        <v>112</v>
      </c>
      <c r="C14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selection activeCell="C49" sqref="C49"/>
    </sheetView>
  </sheetViews>
  <sheetFormatPr defaultRowHeight="14.5" x14ac:dyDescent="0.35"/>
  <cols>
    <col min="1" max="1" width="30.1796875" bestFit="1" customWidth="1"/>
    <col min="2" max="2" width="9.54296875" bestFit="1" customWidth="1"/>
    <col min="3" max="3" width="13.26953125" bestFit="1" customWidth="1"/>
    <col min="4" max="5" width="15.6328125" bestFit="1" customWidth="1"/>
    <col min="6" max="6" width="17.7265625" bestFit="1" customWidth="1"/>
  </cols>
  <sheetData>
    <row r="1" spans="1:6" x14ac:dyDescent="0.35">
      <c r="A1" s="24"/>
      <c r="B1" s="27" t="s">
        <v>53</v>
      </c>
      <c r="C1" s="27" t="s">
        <v>3</v>
      </c>
      <c r="D1" s="27" t="s">
        <v>4</v>
      </c>
      <c r="E1" s="27" t="s">
        <v>5</v>
      </c>
      <c r="F1" s="27" t="s">
        <v>6</v>
      </c>
    </row>
    <row r="2" spans="1:6" x14ac:dyDescent="0.35">
      <c r="A2" s="36" t="s">
        <v>57</v>
      </c>
      <c r="B2">
        <f>(Constants!B5*Constants!B10*Constants!B12)/Constants!B7</f>
        <v>16500</v>
      </c>
      <c r="C2" s="3">
        <f>B2*3600</f>
        <v>59400000</v>
      </c>
      <c r="D2" s="3"/>
      <c r="E2" s="3"/>
      <c r="F2" s="3"/>
    </row>
    <row r="3" spans="1:6" x14ac:dyDescent="0.35">
      <c r="A3" s="36" t="s">
        <v>56</v>
      </c>
      <c r="B3">
        <f>(Constants!B5*Constants!B9*Constants!B12)/Constants!B7</f>
        <v>7500</v>
      </c>
      <c r="C3" s="3">
        <f>B3*3600</f>
        <v>27000000</v>
      </c>
      <c r="D3" s="3"/>
      <c r="E3" s="3"/>
      <c r="F3" s="3"/>
    </row>
    <row r="4" spans="1:6" x14ac:dyDescent="0.35">
      <c r="A4" s="36" t="s">
        <v>85</v>
      </c>
      <c r="C4" s="3"/>
      <c r="D4" s="3">
        <f>C2*Constants!B11+(C3*(24-Constants!B11))</f>
        <v>842400000</v>
      </c>
      <c r="E4" s="3">
        <f>D4*7</f>
        <v>5896800000</v>
      </c>
      <c r="F4" s="3">
        <f>D4*30</f>
        <v>25272000000</v>
      </c>
    </row>
    <row r="5" spans="1:6" x14ac:dyDescent="0.35">
      <c r="A5" s="36" t="s">
        <v>86</v>
      </c>
      <c r="B5" s="41">
        <f>B3*Constants!$B$14 / (1024*1024*1024*1024)</f>
        <v>7.6397554948925972E-7</v>
      </c>
      <c r="C5" s="37">
        <f>C3*Constants!$B$14 / (1024*1024*1024*1024)</f>
        <v>2.750311978161335E-3</v>
      </c>
      <c r="D5" s="4">
        <f>D4*Constants!$B$14 / (1024*1024*1024*1024)</f>
        <v>8.5809733718633652E-2</v>
      </c>
      <c r="E5" s="4">
        <f>E4*Constants!$B$14 / (1024*1024*1024*1024)</f>
        <v>0.60066813603043556</v>
      </c>
      <c r="F5" s="2">
        <f>F4*Constants!$B$14 / (1024*1024*1024*1024)</f>
        <v>2.5742920115590096</v>
      </c>
    </row>
    <row r="7" spans="1:6" x14ac:dyDescent="0.35">
      <c r="A7" s="1" t="s">
        <v>7</v>
      </c>
      <c r="B7">
        <v>50</v>
      </c>
    </row>
    <row r="8" spans="1:6" x14ac:dyDescent="0.35">
      <c r="A8" s="1" t="s">
        <v>8</v>
      </c>
      <c r="B8" s="4">
        <f>B2/B7</f>
        <v>330</v>
      </c>
      <c r="C8" s="3">
        <f>B8*3600</f>
        <v>1188000</v>
      </c>
      <c r="D8" s="3">
        <f>(Constants!B11*Numbers!C8) + (24-Constants!B11)*C9</f>
        <v>16848000</v>
      </c>
      <c r="E8" s="3">
        <f>D8*7</f>
        <v>117936000</v>
      </c>
      <c r="F8" s="3">
        <f>E8*30</f>
        <v>3538080000</v>
      </c>
    </row>
    <row r="9" spans="1:6" x14ac:dyDescent="0.35">
      <c r="A9" s="1" t="s">
        <v>9</v>
      </c>
      <c r="B9" s="4">
        <f>B3/B7</f>
        <v>150</v>
      </c>
      <c r="C9" s="3">
        <f>B9*3600</f>
        <v>540000</v>
      </c>
      <c r="D9" s="3">
        <f>C9*24</f>
        <v>12960000</v>
      </c>
      <c r="E9" s="3">
        <f>D9*7</f>
        <v>90720000</v>
      </c>
      <c r="F9" s="3">
        <f>E9*30</f>
        <v>2721600000</v>
      </c>
    </row>
    <row r="11" spans="1:6" x14ac:dyDescent="0.35">
      <c r="A11" s="1" t="s">
        <v>62</v>
      </c>
      <c r="B11" s="2">
        <f>B8/($B$14/$B$7)</f>
        <v>16.5</v>
      </c>
    </row>
    <row r="12" spans="1:6" x14ac:dyDescent="0.35">
      <c r="A12" t="s">
        <v>63</v>
      </c>
      <c r="B12" s="2">
        <f>B9/($B$14/$B$7)</f>
        <v>7.5</v>
      </c>
    </row>
    <row r="14" spans="1:6" x14ac:dyDescent="0.35">
      <c r="A14" s="1" t="s">
        <v>10</v>
      </c>
      <c r="B14">
        <v>1000</v>
      </c>
    </row>
    <row r="15" spans="1:6" x14ac:dyDescent="0.35">
      <c r="A15" t="s">
        <v>11</v>
      </c>
      <c r="B15">
        <f>Constants!B5/B14</f>
        <v>50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4" sqref="B14"/>
    </sheetView>
  </sheetViews>
  <sheetFormatPr defaultRowHeight="14.5" x14ac:dyDescent="0.35"/>
  <cols>
    <col min="1" max="1" width="14.08984375" bestFit="1" customWidth="1"/>
    <col min="2" max="3" width="9.81640625" bestFit="1" customWidth="1"/>
    <col min="4" max="4" width="11.81640625" bestFit="1" customWidth="1"/>
    <col min="5" max="5" width="19.7265625" bestFit="1" customWidth="1"/>
    <col min="6" max="6" width="15.36328125" bestFit="1" customWidth="1"/>
  </cols>
  <sheetData>
    <row r="1" spans="1:7" x14ac:dyDescent="0.35">
      <c r="A1" s="5" t="s">
        <v>1</v>
      </c>
      <c r="B1" s="6">
        <f>Constants!B5*Constants!B10</f>
        <v>16500</v>
      </c>
      <c r="C1" s="7"/>
      <c r="D1" s="8"/>
      <c r="E1" s="8" t="s">
        <v>12</v>
      </c>
      <c r="F1" s="9">
        <v>1</v>
      </c>
      <c r="G1" s="8" t="s">
        <v>13</v>
      </c>
    </row>
    <row r="2" spans="1:7" x14ac:dyDescent="0.35">
      <c r="A2" s="5" t="s">
        <v>14</v>
      </c>
      <c r="B2" s="6">
        <f>1/F1</f>
        <v>1</v>
      </c>
      <c r="C2" s="7"/>
      <c r="D2" s="8"/>
      <c r="E2" s="8"/>
      <c r="F2" s="8"/>
      <c r="G2" s="8"/>
    </row>
    <row r="3" spans="1:7" x14ac:dyDescent="0.35">
      <c r="A3" s="5" t="s">
        <v>15</v>
      </c>
      <c r="B3" s="6">
        <f>112*F1</f>
        <v>112</v>
      </c>
      <c r="C3" s="7" t="s">
        <v>16</v>
      </c>
      <c r="D3" s="8"/>
      <c r="E3" s="8"/>
      <c r="F3" s="8"/>
      <c r="G3" s="8"/>
    </row>
    <row r="4" spans="1:7" x14ac:dyDescent="0.35">
      <c r="A4" s="8"/>
      <c r="B4" s="8"/>
      <c r="C4" s="8"/>
      <c r="D4" s="8"/>
      <c r="E4" s="8"/>
      <c r="F4" s="8"/>
      <c r="G4" s="8"/>
    </row>
    <row r="5" spans="1:7" x14ac:dyDescent="0.35">
      <c r="A5" s="8"/>
      <c r="B5" s="8"/>
      <c r="C5" s="8"/>
      <c r="D5" s="8"/>
      <c r="E5" s="8"/>
      <c r="F5" s="8"/>
      <c r="G5" s="8"/>
    </row>
    <row r="6" spans="1:7" x14ac:dyDescent="0.35">
      <c r="A6" s="8"/>
      <c r="B6" s="10" t="s">
        <v>17</v>
      </c>
      <c r="C6" s="10" t="s">
        <v>18</v>
      </c>
      <c r="D6" s="10" t="s">
        <v>19</v>
      </c>
      <c r="E6" s="10" t="s">
        <v>20</v>
      </c>
      <c r="F6" s="10" t="s">
        <v>21</v>
      </c>
      <c r="G6" s="8"/>
    </row>
    <row r="7" spans="1:7" x14ac:dyDescent="0.35">
      <c r="A7" s="5" t="s">
        <v>22</v>
      </c>
      <c r="B7" s="11">
        <f>B1*B2</f>
        <v>16500</v>
      </c>
      <c r="C7" s="12">
        <f>B7*60</f>
        <v>990000</v>
      </c>
      <c r="D7" s="12">
        <f>C7*60</f>
        <v>59400000</v>
      </c>
      <c r="E7" s="12">
        <f>D7*24</f>
        <v>1425600000</v>
      </c>
      <c r="F7" s="13">
        <f>E7*30</f>
        <v>42768000000</v>
      </c>
      <c r="G7" s="8"/>
    </row>
    <row r="8" spans="1:7" x14ac:dyDescent="0.35">
      <c r="A8" s="5" t="s">
        <v>23</v>
      </c>
      <c r="B8" s="11">
        <f>B7/$B$1</f>
        <v>1</v>
      </c>
      <c r="C8" s="11">
        <f t="shared" ref="C8:F8" si="0">C7/$B$1</f>
        <v>60</v>
      </c>
      <c r="D8" s="11">
        <f>C8*60</f>
        <v>3600</v>
      </c>
      <c r="E8" s="11">
        <f>E7/$B$1</f>
        <v>86400</v>
      </c>
      <c r="F8" s="14">
        <f t="shared" si="0"/>
        <v>2592000</v>
      </c>
      <c r="G8" s="8"/>
    </row>
    <row r="9" spans="1:7" x14ac:dyDescent="0.35">
      <c r="A9" s="5" t="s">
        <v>24</v>
      </c>
      <c r="B9" s="11">
        <f>B7*B3/1024/1024</f>
        <v>1.76239013671875</v>
      </c>
      <c r="C9" s="11">
        <f>C7*$B$3/1024/1024</f>
        <v>105.743408203125</v>
      </c>
      <c r="D9" s="11">
        <f>D7*$B$3/1024/1024</f>
        <v>6344.6044921875</v>
      </c>
      <c r="E9" s="11">
        <f t="shared" ref="E9:F9" si="1">E7*$B$3/1024/1024</f>
        <v>152270.5078125</v>
      </c>
      <c r="F9" s="14">
        <f t="shared" si="1"/>
        <v>4568115.234375</v>
      </c>
      <c r="G9" s="8"/>
    </row>
    <row r="10" spans="1:7" x14ac:dyDescent="0.35">
      <c r="A10" s="5" t="s">
        <v>25</v>
      </c>
      <c r="B10" s="12">
        <f>B9/1024</f>
        <v>1.7210841178894043E-3</v>
      </c>
      <c r="C10" s="12">
        <f>C9/1024</f>
        <v>0.10326504707336426</v>
      </c>
      <c r="D10" s="12">
        <f>D9/1024</f>
        <v>6.1959028244018555</v>
      </c>
      <c r="E10" s="12">
        <f t="shared" ref="E10:F10" si="2">E9/1024</f>
        <v>148.70166778564453</v>
      </c>
      <c r="F10" s="13">
        <f t="shared" si="2"/>
        <v>4461.0500335693359</v>
      </c>
      <c r="G10" s="8"/>
    </row>
    <row r="11" spans="1:7" x14ac:dyDescent="0.35">
      <c r="A11" s="5" t="s">
        <v>26</v>
      </c>
      <c r="B11" s="11">
        <f>CEILING(B7*$B$3/(200*1024),1)</f>
        <v>10</v>
      </c>
      <c r="C11" s="11">
        <f t="shared" ref="C11:F11" si="3">CEILING(C7*$B$3/(200*1024),1)</f>
        <v>542</v>
      </c>
      <c r="D11" s="11">
        <f t="shared" si="3"/>
        <v>32485</v>
      </c>
      <c r="E11" s="11">
        <f t="shared" si="3"/>
        <v>779625</v>
      </c>
      <c r="F11" s="14">
        <f t="shared" si="3"/>
        <v>23388750</v>
      </c>
      <c r="G11" s="8"/>
    </row>
    <row r="12" spans="1:7" x14ac:dyDescent="0.35">
      <c r="A12" s="8"/>
      <c r="B12" s="8"/>
      <c r="C12" s="8"/>
      <c r="D12" s="8"/>
      <c r="E12" s="8"/>
      <c r="F12" s="8"/>
      <c r="G12" s="8"/>
    </row>
    <row r="13" spans="1:7" x14ac:dyDescent="0.35">
      <c r="A13" s="8"/>
      <c r="B13" s="8"/>
      <c r="C13" s="8"/>
      <c r="D13" s="8"/>
      <c r="E13" s="8"/>
      <c r="F13" s="8"/>
      <c r="G13" s="8"/>
    </row>
    <row r="14" spans="1:7" x14ac:dyDescent="0.35">
      <c r="A14" s="5" t="s">
        <v>27</v>
      </c>
      <c r="B14" s="15">
        <f>CEILING(B9,1)</f>
        <v>2</v>
      </c>
      <c r="C14" s="8"/>
      <c r="D14" s="8"/>
      <c r="E14" s="8"/>
      <c r="F14" s="8"/>
      <c r="G14" s="8"/>
    </row>
    <row r="15" spans="1:7" x14ac:dyDescent="0.35">
      <c r="A15" s="5" t="s">
        <v>28</v>
      </c>
      <c r="B15" s="16">
        <f>B14/2</f>
        <v>1</v>
      </c>
      <c r="C15" s="8"/>
      <c r="D15" s="8"/>
      <c r="E15" s="8"/>
      <c r="F15" s="8"/>
      <c r="G15" s="8"/>
    </row>
    <row r="16" spans="1:7" x14ac:dyDescent="0.35">
      <c r="A16" s="5" t="s">
        <v>29</v>
      </c>
      <c r="B16" s="17">
        <f>B15*744*0.015</f>
        <v>11.16</v>
      </c>
      <c r="C16" s="8"/>
      <c r="D16" s="8"/>
      <c r="E16" s="8"/>
      <c r="F16" s="8"/>
      <c r="G16" s="8"/>
    </row>
    <row r="17" spans="1:7" x14ac:dyDescent="0.35">
      <c r="A17" s="5" t="s">
        <v>30</v>
      </c>
      <c r="B17" s="17">
        <f>F7/1000000*0.028</f>
        <v>1197.5040000000001</v>
      </c>
      <c r="C17" s="8"/>
      <c r="D17" s="8"/>
      <c r="E17" s="8"/>
      <c r="F17" s="8"/>
      <c r="G17" s="8"/>
    </row>
    <row r="18" spans="1:7" x14ac:dyDescent="0.35">
      <c r="A18" s="5" t="s">
        <v>31</v>
      </c>
      <c r="B18" s="18">
        <f>SUM(B16:B17)</f>
        <v>1208.6640000000002</v>
      </c>
      <c r="C18" s="8"/>
      <c r="D18" s="8"/>
      <c r="E18" s="8"/>
      <c r="F18" s="8"/>
      <c r="G18" s="8"/>
    </row>
    <row r="19" spans="1:7" x14ac:dyDescent="0.35">
      <c r="A19" s="5" t="s">
        <v>32</v>
      </c>
      <c r="B19" s="19">
        <f>B18/B1</f>
        <v>7.3252363636363643E-2</v>
      </c>
      <c r="C19" s="8"/>
      <c r="D19" s="8"/>
      <c r="E19" s="8"/>
      <c r="F19" s="8"/>
      <c r="G19" s="8"/>
    </row>
    <row r="20" spans="1:7" x14ac:dyDescent="0.35">
      <c r="A20" s="8"/>
      <c r="B20" s="8"/>
      <c r="C20" s="8"/>
      <c r="D20" s="8"/>
      <c r="E20" s="8"/>
      <c r="F20" s="8"/>
      <c r="G20" s="8"/>
    </row>
    <row r="21" spans="1:7" x14ac:dyDescent="0.35">
      <c r="A21" s="5" t="s">
        <v>33</v>
      </c>
      <c r="B21" s="15">
        <f>FLOOR(B14*1024*1024/262144,1)</f>
        <v>8</v>
      </c>
      <c r="C21" s="8"/>
      <c r="D21" s="8"/>
      <c r="E21" s="8"/>
      <c r="F21" s="8"/>
      <c r="G21" s="8"/>
    </row>
    <row r="22" spans="1:7" x14ac:dyDescent="0.35">
      <c r="A22" s="5" t="s">
        <v>34</v>
      </c>
      <c r="B22" s="15">
        <v>8</v>
      </c>
      <c r="C22" s="8"/>
      <c r="D22" s="8"/>
      <c r="E22" s="8"/>
      <c r="F22" s="8"/>
      <c r="G22" s="8"/>
    </row>
    <row r="23" spans="1:7" x14ac:dyDescent="0.35">
      <c r="A23" s="5" t="s">
        <v>35</v>
      </c>
      <c r="B23" s="16">
        <f>B14*1024*1024/B22</f>
        <v>262144</v>
      </c>
      <c r="C23" s="8"/>
      <c r="D23" s="8"/>
      <c r="E23" s="8"/>
      <c r="F23" s="8"/>
      <c r="G23" s="8"/>
    </row>
    <row r="24" spans="1:7" x14ac:dyDescent="0.35">
      <c r="A24" s="5" t="s">
        <v>36</v>
      </c>
      <c r="B24" s="16">
        <f>B15*1024*1024/B22</f>
        <v>131072</v>
      </c>
      <c r="C24" s="8"/>
      <c r="D24" s="8"/>
      <c r="E24" s="8"/>
      <c r="F24" s="8"/>
      <c r="G24" s="8"/>
    </row>
    <row r="25" spans="1:7" x14ac:dyDescent="0.35">
      <c r="A25" s="5" t="s">
        <v>26</v>
      </c>
      <c r="B25" s="16">
        <f>CEILING(B23/260000,1)</f>
        <v>2</v>
      </c>
      <c r="C25" s="8"/>
      <c r="D25" s="8"/>
      <c r="E25" s="8"/>
      <c r="F25" s="8"/>
      <c r="G25" s="8"/>
    </row>
    <row r="26" spans="1:7" x14ac:dyDescent="0.35">
      <c r="A26" s="5" t="s">
        <v>37</v>
      </c>
      <c r="B26" s="16">
        <f>B7/(B22*B25)</f>
        <v>1031.25</v>
      </c>
      <c r="C26" s="8"/>
      <c r="D26" s="8"/>
      <c r="E26" s="8"/>
      <c r="F26" s="8"/>
      <c r="G2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8"/>
    </sheetView>
  </sheetViews>
  <sheetFormatPr defaultRowHeight="14.5" x14ac:dyDescent="0.35"/>
  <cols>
    <col min="1" max="1" width="22.36328125" customWidth="1"/>
    <col min="2" max="2" width="9.08984375" bestFit="1" customWidth="1"/>
    <col min="5" max="5" width="10.36328125" bestFit="1" customWidth="1"/>
  </cols>
  <sheetData>
    <row r="1" spans="1:6" x14ac:dyDescent="0.35">
      <c r="A1" t="s">
        <v>38</v>
      </c>
      <c r="B1">
        <v>5</v>
      </c>
      <c r="D1" t="s">
        <v>39</v>
      </c>
      <c r="E1">
        <v>6</v>
      </c>
    </row>
    <row r="2" spans="1:6" x14ac:dyDescent="0.35">
      <c r="A2" t="s">
        <v>40</v>
      </c>
      <c r="B2">
        <v>168.77</v>
      </c>
      <c r="E2">
        <v>168.77</v>
      </c>
    </row>
    <row r="3" spans="1:6" x14ac:dyDescent="0.35">
      <c r="B3" s="20">
        <f>B1*B2</f>
        <v>843.85</v>
      </c>
      <c r="E3" s="20">
        <f>E1*E2</f>
        <v>1012.6200000000001</v>
      </c>
    </row>
    <row r="6" spans="1:6" x14ac:dyDescent="0.35">
      <c r="A6" s="24" t="s">
        <v>42</v>
      </c>
    </row>
    <row r="7" spans="1:6" x14ac:dyDescent="0.35">
      <c r="A7" s="24" t="s">
        <v>43</v>
      </c>
      <c r="B7" s="23">
        <v>0.86</v>
      </c>
      <c r="D7" s="2">
        <f>Numbers!F5</f>
        <v>2.5742920115590096</v>
      </c>
      <c r="F7" s="21">
        <f>B7*D7</f>
        <v>2.2138911299407482</v>
      </c>
    </row>
    <row r="8" spans="1:6" x14ac:dyDescent="0.35">
      <c r="A8" s="24" t="s">
        <v>44</v>
      </c>
      <c r="B8" s="23">
        <v>19.45</v>
      </c>
      <c r="D8">
        <v>20</v>
      </c>
      <c r="F8" s="21">
        <f>D8*B8</f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7" workbookViewId="0">
      <selection activeCell="B4" sqref="B4"/>
    </sheetView>
  </sheetViews>
  <sheetFormatPr defaultRowHeight="14.5" x14ac:dyDescent="0.35"/>
  <cols>
    <col min="1" max="1" width="23.81640625" bestFit="1" customWidth="1"/>
    <col min="2" max="2" width="17.453125" bestFit="1" customWidth="1"/>
    <col min="3" max="3" width="16.54296875" bestFit="1" customWidth="1"/>
    <col min="4" max="4" width="16.54296875" customWidth="1"/>
    <col min="5" max="5" width="16.36328125" bestFit="1" customWidth="1"/>
    <col min="6" max="6" width="13.7265625" bestFit="1" customWidth="1"/>
    <col min="7" max="7" width="19.7265625" bestFit="1" customWidth="1"/>
    <col min="8" max="8" width="12.54296875" bestFit="1" customWidth="1"/>
    <col min="9" max="9" width="13.08984375" bestFit="1" customWidth="1"/>
    <col min="10" max="11" width="11.7265625" bestFit="1" customWidth="1"/>
    <col min="12" max="12" width="13.54296875" bestFit="1" customWidth="1"/>
    <col min="13" max="13" width="10.36328125" bestFit="1" customWidth="1"/>
    <col min="14" max="14" width="11.90625" bestFit="1" customWidth="1"/>
    <col min="15" max="21" width="10.36328125" bestFit="1" customWidth="1"/>
    <col min="22" max="22" width="11.36328125" bestFit="1" customWidth="1"/>
  </cols>
  <sheetData>
    <row r="1" spans="1:14" x14ac:dyDescent="0.35">
      <c r="A1" s="24"/>
      <c r="F1" t="s">
        <v>73</v>
      </c>
      <c r="G1" t="s">
        <v>66</v>
      </c>
      <c r="L1" s="24" t="s">
        <v>77</v>
      </c>
      <c r="M1" s="27" t="s">
        <v>66</v>
      </c>
    </row>
    <row r="2" spans="1:14" x14ac:dyDescent="0.35">
      <c r="A2" s="24" t="s">
        <v>48</v>
      </c>
      <c r="F2" s="38">
        <f>H2</f>
        <v>320.11217948717945</v>
      </c>
      <c r="G2">
        <v>1</v>
      </c>
      <c r="H2" s="38">
        <f>AVERAGE(H3:H6)</f>
        <v>320.11217948717945</v>
      </c>
      <c r="L2">
        <v>1</v>
      </c>
      <c r="M2" s="38">
        <f t="shared" ref="M2:M11" si="0">$B$3/(L2*$F$2)</f>
        <v>51.544430538172719</v>
      </c>
      <c r="N2" t="s">
        <v>76</v>
      </c>
    </row>
    <row r="3" spans="1:14" x14ac:dyDescent="0.35">
      <c r="A3" s="24" t="s">
        <v>49</v>
      </c>
      <c r="B3">
        <f>Constants!B5*Constants!B10</f>
        <v>16500</v>
      </c>
      <c r="F3">
        <v>1000</v>
      </c>
      <c r="G3">
        <v>3</v>
      </c>
      <c r="H3" s="38">
        <f>F3/G3</f>
        <v>333.33333333333331</v>
      </c>
      <c r="L3">
        <v>2</v>
      </c>
      <c r="M3" s="38">
        <f t="shared" si="0"/>
        <v>25.77221526908636</v>
      </c>
      <c r="N3" t="s">
        <v>76</v>
      </c>
    </row>
    <row r="4" spans="1:14" x14ac:dyDescent="0.35">
      <c r="A4" s="24" t="s">
        <v>50</v>
      </c>
      <c r="B4">
        <v>50</v>
      </c>
      <c r="F4">
        <v>2500</v>
      </c>
      <c r="G4">
        <v>8</v>
      </c>
      <c r="H4" s="38">
        <f>F4/G4</f>
        <v>312.5</v>
      </c>
      <c r="L4">
        <v>3</v>
      </c>
      <c r="M4" s="38">
        <f t="shared" si="0"/>
        <v>17.181476846057574</v>
      </c>
      <c r="N4" t="s">
        <v>76</v>
      </c>
    </row>
    <row r="5" spans="1:14" x14ac:dyDescent="0.35">
      <c r="A5" s="24" t="s">
        <v>51</v>
      </c>
      <c r="B5" s="26">
        <v>1.687E-7</v>
      </c>
      <c r="F5">
        <v>5000</v>
      </c>
      <c r="G5">
        <v>13</v>
      </c>
      <c r="H5" s="38">
        <f>F5/G5</f>
        <v>384.61538461538464</v>
      </c>
      <c r="L5">
        <v>4</v>
      </c>
      <c r="M5" s="38">
        <f t="shared" si="0"/>
        <v>12.88610763454318</v>
      </c>
      <c r="N5" t="s">
        <v>76</v>
      </c>
    </row>
    <row r="6" spans="1:14" x14ac:dyDescent="0.35">
      <c r="A6" s="24" t="s">
        <v>41</v>
      </c>
      <c r="B6" s="22">
        <v>1.2999999999999999E-5</v>
      </c>
      <c r="F6">
        <v>7500</v>
      </c>
      <c r="G6">
        <v>30</v>
      </c>
      <c r="H6">
        <f>F6/G6</f>
        <v>250</v>
      </c>
      <c r="L6">
        <v>5</v>
      </c>
      <c r="M6" s="38">
        <f t="shared" si="0"/>
        <v>10.308886107634544</v>
      </c>
      <c r="N6" t="s">
        <v>76</v>
      </c>
    </row>
    <row r="7" spans="1:14" x14ac:dyDescent="0.35">
      <c r="A7" s="24" t="s">
        <v>68</v>
      </c>
      <c r="B7">
        <v>1535</v>
      </c>
      <c r="L7">
        <v>6</v>
      </c>
      <c r="M7" s="38">
        <f t="shared" si="0"/>
        <v>8.5907384230287871</v>
      </c>
      <c r="N7" t="s">
        <v>76</v>
      </c>
    </row>
    <row r="8" spans="1:14" x14ac:dyDescent="0.35">
      <c r="A8" s="24" t="s">
        <v>75</v>
      </c>
      <c r="B8">
        <v>7</v>
      </c>
      <c r="L8">
        <v>7</v>
      </c>
      <c r="M8" s="38">
        <f t="shared" si="0"/>
        <v>7.3634900768818179</v>
      </c>
      <c r="N8" t="s">
        <v>76</v>
      </c>
    </row>
    <row r="9" spans="1:14" x14ac:dyDescent="0.35">
      <c r="A9" s="24"/>
      <c r="E9" s="21"/>
      <c r="F9" s="21"/>
      <c r="G9" s="21"/>
      <c r="H9" s="21"/>
      <c r="I9" s="21"/>
      <c r="J9" s="21"/>
      <c r="K9" s="21"/>
      <c r="L9">
        <v>8</v>
      </c>
      <c r="M9" s="38">
        <f t="shared" si="0"/>
        <v>6.4430538172715899</v>
      </c>
      <c r="N9" t="s">
        <v>76</v>
      </c>
    </row>
    <row r="10" spans="1:14" x14ac:dyDescent="0.35">
      <c r="A10" s="24" t="s">
        <v>64</v>
      </c>
      <c r="B10" s="24" t="s">
        <v>72</v>
      </c>
      <c r="C10" s="24" t="s">
        <v>74</v>
      </c>
      <c r="D10" s="24" t="s">
        <v>78</v>
      </c>
      <c r="E10" s="24" t="s">
        <v>65</v>
      </c>
      <c r="F10" s="24" t="s">
        <v>66</v>
      </c>
      <c r="G10" s="24" t="s">
        <v>67</v>
      </c>
      <c r="H10" s="24" t="s">
        <v>69</v>
      </c>
      <c r="I10" s="24" t="s">
        <v>70</v>
      </c>
      <c r="J10" s="24" t="s">
        <v>71</v>
      </c>
      <c r="L10">
        <v>9</v>
      </c>
      <c r="M10" s="38">
        <f t="shared" si="0"/>
        <v>5.7271589486858572</v>
      </c>
      <c r="N10" t="s">
        <v>76</v>
      </c>
    </row>
    <row r="11" spans="1:14" x14ac:dyDescent="0.35">
      <c r="A11" s="24">
        <v>1</v>
      </c>
      <c r="B11" s="38">
        <f t="shared" ref="B11:B17" si="1">($B$3/A11)</f>
        <v>16500</v>
      </c>
      <c r="C11" s="38">
        <f t="shared" ref="C11:C17" si="2">B11/$F$2</f>
        <v>51.544430538172719</v>
      </c>
      <c r="D11" s="38">
        <f>B11/C11</f>
        <v>320.11217948717945</v>
      </c>
      <c r="E11" s="38">
        <f>C11*Constants!$B$3</f>
        <v>135551543.42928663</v>
      </c>
      <c r="F11">
        <v>1</v>
      </c>
      <c r="G11" s="38">
        <f t="shared" ref="G11:G17" si="3">E11*($B$7/1024)</f>
        <v>203194940.58979979</v>
      </c>
      <c r="H11" s="21">
        <f t="shared" ref="H11:H17" si="4">G11*$B$6</f>
        <v>2641.5342276673973</v>
      </c>
      <c r="I11" s="21">
        <f t="shared" ref="I11:I17" si="5">E11*$B$5</f>
        <v>22.867545376520653</v>
      </c>
      <c r="J11" s="21">
        <f>H11+I11</f>
        <v>2664.4017730439182</v>
      </c>
      <c r="L11">
        <v>10</v>
      </c>
      <c r="M11" s="38">
        <f t="shared" si="0"/>
        <v>5.1544430538172721</v>
      </c>
      <c r="N11" t="s">
        <v>76</v>
      </c>
    </row>
    <row r="12" spans="1:14" x14ac:dyDescent="0.35">
      <c r="A12" s="24">
        <v>10</v>
      </c>
      <c r="B12" s="38">
        <f t="shared" si="1"/>
        <v>1650</v>
      </c>
      <c r="C12" s="38">
        <f t="shared" si="2"/>
        <v>5.1544430538172721</v>
      </c>
      <c r="D12" s="38">
        <f t="shared" ref="D12:D17" si="6">B12/C12</f>
        <v>320.11217948717945</v>
      </c>
      <c r="E12" s="38">
        <f>C12*Constants!$B$3</f>
        <v>13555154.342928663</v>
      </c>
      <c r="F12">
        <v>1</v>
      </c>
      <c r="G12" s="38">
        <f t="shared" si="3"/>
        <v>20319494.058979977</v>
      </c>
      <c r="H12" s="21">
        <f t="shared" si="4"/>
        <v>264.15342276673971</v>
      </c>
      <c r="I12" s="21">
        <f t="shared" si="5"/>
        <v>2.2867545376520653</v>
      </c>
      <c r="J12" s="21">
        <f t="shared" ref="J12:J17" si="7">H12+I12</f>
        <v>266.4401773043918</v>
      </c>
    </row>
    <row r="13" spans="1:14" x14ac:dyDescent="0.35">
      <c r="A13" s="24">
        <v>60</v>
      </c>
      <c r="B13" s="38">
        <f t="shared" si="1"/>
        <v>275</v>
      </c>
      <c r="C13" s="38">
        <f t="shared" si="2"/>
        <v>0.85907384230287875</v>
      </c>
      <c r="D13" s="38">
        <f t="shared" si="6"/>
        <v>320.11217948717945</v>
      </c>
      <c r="E13" s="38">
        <f>C13*Constants!$B$3</f>
        <v>2259192.3904881105</v>
      </c>
      <c r="F13">
        <v>1</v>
      </c>
      <c r="G13" s="38">
        <f t="shared" si="3"/>
        <v>3386582.3431633296</v>
      </c>
      <c r="H13" s="21">
        <f t="shared" si="4"/>
        <v>44.02557046112328</v>
      </c>
      <c r="I13" s="21">
        <f t="shared" si="5"/>
        <v>0.38112575627534423</v>
      </c>
      <c r="J13" s="21">
        <f t="shared" si="7"/>
        <v>44.406696217398625</v>
      </c>
    </row>
    <row r="14" spans="1:14" x14ac:dyDescent="0.35">
      <c r="A14" s="24">
        <v>120</v>
      </c>
      <c r="B14" s="38">
        <f t="shared" si="1"/>
        <v>137.5</v>
      </c>
      <c r="C14" s="2">
        <f t="shared" si="2"/>
        <v>0.42953692115143938</v>
      </c>
      <c r="D14" s="38">
        <f t="shared" si="6"/>
        <v>320.11217948717945</v>
      </c>
      <c r="E14" s="38">
        <f>C14*Constants!$B$3</f>
        <v>1129596.1952440552</v>
      </c>
      <c r="F14">
        <v>1</v>
      </c>
      <c r="G14" s="38">
        <f t="shared" si="3"/>
        <v>1693291.1715816648</v>
      </c>
      <c r="H14" s="21">
        <f t="shared" si="4"/>
        <v>22.01278523056164</v>
      </c>
      <c r="I14" s="21">
        <f t="shared" si="5"/>
        <v>0.19056287813767211</v>
      </c>
      <c r="J14" s="21">
        <f t="shared" si="7"/>
        <v>22.203348108699313</v>
      </c>
    </row>
    <row r="15" spans="1:14" x14ac:dyDescent="0.35">
      <c r="A15" s="24">
        <v>180</v>
      </c>
      <c r="B15" s="38">
        <f t="shared" si="1"/>
        <v>91.666666666666671</v>
      </c>
      <c r="C15" s="2">
        <f t="shared" si="2"/>
        <v>0.28635794743429294</v>
      </c>
      <c r="D15" s="38">
        <f t="shared" si="6"/>
        <v>320.11217948717945</v>
      </c>
      <c r="E15" s="38">
        <f>C15*Constants!$B$3</f>
        <v>753064.13016270357</v>
      </c>
      <c r="F15">
        <v>1</v>
      </c>
      <c r="G15" s="38">
        <f t="shared" si="3"/>
        <v>1128860.7810544434</v>
      </c>
      <c r="H15" s="21">
        <f t="shared" si="4"/>
        <v>14.675190153707764</v>
      </c>
      <c r="I15" s="21">
        <f t="shared" si="5"/>
        <v>0.12704191875844809</v>
      </c>
      <c r="J15" s="21">
        <f t="shared" si="7"/>
        <v>14.802232072466211</v>
      </c>
    </row>
    <row r="16" spans="1:14" x14ac:dyDescent="0.35">
      <c r="A16" s="24">
        <v>240</v>
      </c>
      <c r="B16" s="38">
        <f t="shared" si="1"/>
        <v>68.75</v>
      </c>
      <c r="C16" s="2">
        <f t="shared" si="2"/>
        <v>0.21476846057571969</v>
      </c>
      <c r="D16" s="38">
        <f t="shared" si="6"/>
        <v>320.11217948717945</v>
      </c>
      <c r="E16" s="38">
        <f>C16*Constants!$B$3</f>
        <v>564798.09762202762</v>
      </c>
      <c r="F16">
        <v>1</v>
      </c>
      <c r="G16" s="38">
        <f t="shared" si="3"/>
        <v>846645.58579083241</v>
      </c>
      <c r="H16" s="21">
        <f t="shared" si="4"/>
        <v>11.00639261528082</v>
      </c>
      <c r="I16" s="21">
        <f t="shared" si="5"/>
        <v>9.5281439068836057E-2</v>
      </c>
      <c r="J16" s="21">
        <f t="shared" si="7"/>
        <v>11.101674054349656</v>
      </c>
    </row>
    <row r="17" spans="1:10" x14ac:dyDescent="0.35">
      <c r="A17" s="24">
        <v>300</v>
      </c>
      <c r="B17" s="38">
        <f t="shared" si="1"/>
        <v>55</v>
      </c>
      <c r="C17" s="2">
        <f t="shared" si="2"/>
        <v>0.17181476846057575</v>
      </c>
      <c r="D17" s="38">
        <f t="shared" si="6"/>
        <v>320.11217948717945</v>
      </c>
      <c r="E17" s="38">
        <f>C17*Constants!$B$3</f>
        <v>451838.47809762211</v>
      </c>
      <c r="F17">
        <v>1</v>
      </c>
      <c r="G17" s="38">
        <f t="shared" si="3"/>
        <v>677316.46863266593</v>
      </c>
      <c r="H17" s="21">
        <f t="shared" si="4"/>
        <v>8.805114092224656</v>
      </c>
      <c r="I17" s="21">
        <f t="shared" si="5"/>
        <v>7.6225151255068846E-2</v>
      </c>
      <c r="J17" s="21">
        <f t="shared" si="7"/>
        <v>8.881339243479724</v>
      </c>
    </row>
    <row r="18" spans="1:10" x14ac:dyDescent="0.35">
      <c r="A18" s="24"/>
      <c r="G18" s="39"/>
    </row>
    <row r="19" spans="1:10" x14ac:dyDescent="0.35">
      <c r="A19" s="24"/>
      <c r="G19" s="39"/>
    </row>
    <row r="20" spans="1:10" x14ac:dyDescent="0.35">
      <c r="A20" s="24" t="s">
        <v>64</v>
      </c>
      <c r="B20" s="24" t="s">
        <v>83</v>
      </c>
      <c r="C20" s="24" t="s">
        <v>74</v>
      </c>
      <c r="D20" s="24" t="s">
        <v>78</v>
      </c>
      <c r="E20" s="24" t="s">
        <v>65</v>
      </c>
      <c r="F20" s="24" t="s">
        <v>66</v>
      </c>
      <c r="G20" s="24" t="s">
        <v>67</v>
      </c>
      <c r="H20" s="24" t="s">
        <v>69</v>
      </c>
      <c r="I20" s="24" t="s">
        <v>70</v>
      </c>
      <c r="J20" s="24" t="s">
        <v>71</v>
      </c>
    </row>
    <row r="21" spans="1:10" x14ac:dyDescent="0.35">
      <c r="A21" s="24">
        <v>1</v>
      </c>
      <c r="B21" s="38">
        <f>($B$3/A21)/$B$8</f>
        <v>2357.1428571428573</v>
      </c>
      <c r="C21" s="40">
        <f xml:space="preserve"> (1 / A21)* $B$8</f>
        <v>7</v>
      </c>
      <c r="D21" s="38">
        <f>B21/C21</f>
        <v>336.73469387755102</v>
      </c>
      <c r="E21" s="38">
        <f>C21*Constants!$B$3</f>
        <v>18408600</v>
      </c>
      <c r="F21" s="38">
        <f t="shared" ref="F21:F27" si="8">B21*A21/$F$2</f>
        <v>7.3634900768818179</v>
      </c>
      <c r="G21" s="38">
        <f t="shared" ref="G21:G27" si="9">E21*($B$7/1024)</f>
        <v>27594922.8515625</v>
      </c>
      <c r="H21" s="21">
        <f t="shared" ref="H21:H27" si="10">G21*$B$6</f>
        <v>358.73399707031245</v>
      </c>
      <c r="I21" s="21">
        <f t="shared" ref="I21:I27" si="11">E21*$B$5</f>
        <v>3.1055308199999998</v>
      </c>
      <c r="J21" s="21">
        <f>H21+I21</f>
        <v>361.83952789031247</v>
      </c>
    </row>
    <row r="22" spans="1:10" x14ac:dyDescent="0.35">
      <c r="A22" s="24">
        <v>10</v>
      </c>
      <c r="B22" s="38">
        <f t="shared" ref="B22:B27" si="12">($B$3/A22)/$B$8</f>
        <v>235.71428571428572</v>
      </c>
      <c r="C22" s="40">
        <f t="shared" ref="C22:C27" si="13" xml:space="preserve"> (1 / A22)* $B$8</f>
        <v>0.70000000000000007</v>
      </c>
      <c r="D22" s="38">
        <f t="shared" ref="D22:D27" si="14">B22/C22</f>
        <v>336.73469387755102</v>
      </c>
      <c r="E22" s="38">
        <f>C22*Constants!$B$3</f>
        <v>1840860.0000000002</v>
      </c>
      <c r="F22" s="38">
        <f t="shared" si="8"/>
        <v>7.3634900768818179</v>
      </c>
      <c r="G22" s="38">
        <f t="shared" si="9"/>
        <v>2759492.2851562505</v>
      </c>
      <c r="H22" s="21">
        <f t="shared" si="10"/>
        <v>35.873399707031254</v>
      </c>
      <c r="I22" s="21">
        <f t="shared" si="11"/>
        <v>0.31055308200000004</v>
      </c>
      <c r="J22" s="21">
        <f t="shared" ref="J22:J27" si="15">H22+I22</f>
        <v>36.183952789031252</v>
      </c>
    </row>
    <row r="23" spans="1:10" x14ac:dyDescent="0.35">
      <c r="A23" s="24">
        <v>60</v>
      </c>
      <c r="B23" s="38">
        <f t="shared" si="12"/>
        <v>39.285714285714285</v>
      </c>
      <c r="C23" s="40">
        <f t="shared" si="13"/>
        <v>0.11666666666666667</v>
      </c>
      <c r="D23" s="38">
        <f t="shared" si="14"/>
        <v>336.73469387755102</v>
      </c>
      <c r="E23" s="38">
        <f>C23*Constants!$B$3</f>
        <v>306810</v>
      </c>
      <c r="F23" s="38">
        <f t="shared" si="8"/>
        <v>7.363490076881817</v>
      </c>
      <c r="G23" s="38">
        <f t="shared" si="9"/>
        <v>459915.380859375</v>
      </c>
      <c r="H23" s="21">
        <f t="shared" si="10"/>
        <v>5.9788999511718748</v>
      </c>
      <c r="I23" s="21">
        <f t="shared" si="11"/>
        <v>5.1758846999999997E-2</v>
      </c>
      <c r="J23" s="21">
        <f t="shared" si="15"/>
        <v>6.0306587981718751</v>
      </c>
    </row>
    <row r="24" spans="1:10" x14ac:dyDescent="0.35">
      <c r="A24" s="24">
        <v>120</v>
      </c>
      <c r="B24" s="38">
        <f t="shared" si="12"/>
        <v>19.642857142857142</v>
      </c>
      <c r="C24" s="40">
        <f t="shared" si="13"/>
        <v>5.8333333333333334E-2</v>
      </c>
      <c r="D24" s="38">
        <f t="shared" si="14"/>
        <v>336.73469387755102</v>
      </c>
      <c r="E24" s="38">
        <f>C24*Constants!$B$3</f>
        <v>153405</v>
      </c>
      <c r="F24" s="38">
        <f t="shared" si="8"/>
        <v>7.363490076881817</v>
      </c>
      <c r="G24" s="38">
        <f t="shared" si="9"/>
        <v>229957.6904296875</v>
      </c>
      <c r="H24" s="21">
        <f t="shared" si="10"/>
        <v>2.9894499755859374</v>
      </c>
      <c r="I24" s="21">
        <f t="shared" si="11"/>
        <v>2.5879423499999998E-2</v>
      </c>
      <c r="J24" s="21">
        <f t="shared" si="15"/>
        <v>3.0153293990859376</v>
      </c>
    </row>
    <row r="25" spans="1:10" x14ac:dyDescent="0.35">
      <c r="A25" s="24">
        <v>180</v>
      </c>
      <c r="B25" s="38">
        <f t="shared" si="12"/>
        <v>13.095238095238097</v>
      </c>
      <c r="C25" s="40">
        <f t="shared" si="13"/>
        <v>3.888888888888889E-2</v>
      </c>
      <c r="D25" s="38">
        <f t="shared" si="14"/>
        <v>336.73469387755102</v>
      </c>
      <c r="E25" s="38">
        <f>C25*Constants!$B$3</f>
        <v>102270</v>
      </c>
      <c r="F25" s="38">
        <f t="shared" si="8"/>
        <v>7.3634900768818179</v>
      </c>
      <c r="G25" s="38">
        <f t="shared" si="9"/>
        <v>153305.126953125</v>
      </c>
      <c r="H25" s="21">
        <f t="shared" si="10"/>
        <v>1.9929666503906249</v>
      </c>
      <c r="I25" s="21">
        <f t="shared" si="11"/>
        <v>1.7252949E-2</v>
      </c>
      <c r="J25" s="21">
        <f t="shared" si="15"/>
        <v>2.0102195993906249</v>
      </c>
    </row>
    <row r="26" spans="1:10" x14ac:dyDescent="0.35">
      <c r="A26" s="24">
        <v>240</v>
      </c>
      <c r="B26" s="38">
        <f t="shared" si="12"/>
        <v>9.8214285714285712</v>
      </c>
      <c r="C26" s="40">
        <f t="shared" si="13"/>
        <v>2.9166666666666667E-2</v>
      </c>
      <c r="D26" s="38">
        <f t="shared" si="14"/>
        <v>336.73469387755102</v>
      </c>
      <c r="E26" s="38">
        <f>C26*Constants!$B$3</f>
        <v>76702.5</v>
      </c>
      <c r="F26" s="38">
        <f t="shared" si="8"/>
        <v>7.363490076881817</v>
      </c>
      <c r="G26" s="38">
        <f t="shared" si="9"/>
        <v>114978.84521484375</v>
      </c>
      <c r="H26" s="21">
        <f t="shared" si="10"/>
        <v>1.4947249877929687</v>
      </c>
      <c r="I26" s="21">
        <f t="shared" si="11"/>
        <v>1.2939711749999999E-2</v>
      </c>
      <c r="J26" s="21">
        <f t="shared" si="15"/>
        <v>1.5076646995429688</v>
      </c>
    </row>
    <row r="27" spans="1:10" x14ac:dyDescent="0.35">
      <c r="A27" s="24">
        <v>300</v>
      </c>
      <c r="B27" s="38">
        <f t="shared" si="12"/>
        <v>7.8571428571428568</v>
      </c>
      <c r="C27" s="40">
        <f t="shared" si="13"/>
        <v>2.3333333333333334E-2</v>
      </c>
      <c r="D27" s="38">
        <f t="shared" si="14"/>
        <v>336.73469387755097</v>
      </c>
      <c r="E27" s="38">
        <f>C27*Constants!$B$3</f>
        <v>61362</v>
      </c>
      <c r="F27" s="38">
        <f t="shared" si="8"/>
        <v>7.363490076881817</v>
      </c>
      <c r="G27" s="38">
        <f t="shared" si="9"/>
        <v>91983.076171875</v>
      </c>
      <c r="H27" s="21">
        <f t="shared" si="10"/>
        <v>1.1957799902343749</v>
      </c>
      <c r="I27" s="21">
        <f t="shared" si="11"/>
        <v>1.03517694E-2</v>
      </c>
      <c r="J27" s="21">
        <f t="shared" si="15"/>
        <v>1.2061317596343748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workbookViewId="0">
      <selection activeCell="B3" sqref="B3"/>
    </sheetView>
  </sheetViews>
  <sheetFormatPr defaultRowHeight="14.5" x14ac:dyDescent="0.35"/>
  <cols>
    <col min="1" max="1" width="16.26953125" bestFit="1" customWidth="1"/>
    <col min="2" max="2" width="17.1796875" bestFit="1" customWidth="1"/>
    <col min="3" max="3" width="9.08984375" bestFit="1" customWidth="1"/>
    <col min="4" max="4" width="10.54296875" bestFit="1" customWidth="1"/>
    <col min="5" max="5" width="9.08984375" bestFit="1" customWidth="1"/>
    <col min="6" max="6" width="14.54296875" bestFit="1" customWidth="1"/>
    <col min="7" max="7" width="10.54296875" bestFit="1" customWidth="1"/>
    <col min="10" max="10" width="9.08984375" bestFit="1" customWidth="1"/>
  </cols>
  <sheetData>
    <row r="1" spans="1:22" x14ac:dyDescent="0.35">
      <c r="A1" s="24" t="s">
        <v>45</v>
      </c>
    </row>
    <row r="2" spans="1:22" x14ac:dyDescent="0.35">
      <c r="A2" s="24" t="s">
        <v>84</v>
      </c>
      <c r="B2" s="40">
        <f>Numbers!F5</f>
        <v>2.5742920115590096</v>
      </c>
      <c r="G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"/>
    </row>
    <row r="3" spans="1:22" x14ac:dyDescent="0.35">
      <c r="A3" s="24"/>
      <c r="B3" s="40"/>
      <c r="G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"/>
    </row>
    <row r="4" spans="1:22" x14ac:dyDescent="0.35">
      <c r="A4" s="24" t="s">
        <v>46</v>
      </c>
      <c r="B4" s="23">
        <v>8.64</v>
      </c>
      <c r="C4" s="21"/>
      <c r="D4" s="21"/>
      <c r="G4" s="42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x14ac:dyDescent="0.35">
      <c r="A5" s="24" t="s">
        <v>54</v>
      </c>
      <c r="B5" s="23">
        <v>8.64</v>
      </c>
      <c r="G5" s="42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x14ac:dyDescent="0.35">
      <c r="A6" s="24" t="s">
        <v>55</v>
      </c>
      <c r="B6" s="23">
        <v>2.16</v>
      </c>
      <c r="G6" s="42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x14ac:dyDescent="0.35">
      <c r="A7" s="24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 x14ac:dyDescent="0.35">
      <c r="A8" s="24" t="s">
        <v>21</v>
      </c>
      <c r="B8" t="s">
        <v>79</v>
      </c>
      <c r="C8" t="s">
        <v>80</v>
      </c>
      <c r="D8" t="s">
        <v>81</v>
      </c>
      <c r="E8" t="s">
        <v>82</v>
      </c>
    </row>
    <row r="9" spans="1:22" x14ac:dyDescent="0.35">
      <c r="A9">
        <v>1</v>
      </c>
      <c r="B9" s="25">
        <f>A9*$B$2</f>
        <v>2.5742920115590096</v>
      </c>
      <c r="C9" s="20">
        <f>B9*$B$4</f>
        <v>22.241882979869843</v>
      </c>
      <c r="D9" s="20">
        <f>$B$9*$B$5</f>
        <v>22.241882979869843</v>
      </c>
      <c r="E9" s="20">
        <f>$B$9*$B$6</f>
        <v>5.5604707449674606</v>
      </c>
      <c r="F9" s="20">
        <f t="shared" ref="F9:F20" si="0">SUM(C9:E9)</f>
        <v>50.044236704707146</v>
      </c>
    </row>
    <row r="10" spans="1:22" x14ac:dyDescent="0.35">
      <c r="A10">
        <v>2</v>
      </c>
      <c r="B10" s="25">
        <f t="shared" ref="B10:B44" si="1">A10*$B$2</f>
        <v>5.1485840231180191</v>
      </c>
      <c r="C10" s="20">
        <f t="shared" ref="C10:C44" si="2">B10*$B$4</f>
        <v>44.483765959739685</v>
      </c>
      <c r="D10" s="20">
        <f>$B$9*$B$5</f>
        <v>22.241882979869843</v>
      </c>
      <c r="E10" s="20">
        <f>$B$9*$B$6</f>
        <v>5.5604707449674606</v>
      </c>
      <c r="F10" s="20">
        <f t="shared" si="0"/>
        <v>72.286119684576988</v>
      </c>
    </row>
    <row r="11" spans="1:22" x14ac:dyDescent="0.35">
      <c r="A11">
        <v>3</v>
      </c>
      <c r="B11" s="25">
        <f t="shared" si="1"/>
        <v>7.7228760346770287</v>
      </c>
      <c r="C11" s="20">
        <f t="shared" si="2"/>
        <v>66.725648939609528</v>
      </c>
      <c r="D11" s="20">
        <f>$B$9*$B$5</f>
        <v>22.241882979869843</v>
      </c>
      <c r="E11" s="20">
        <f>$B$9*$B$6</f>
        <v>5.5604707449674606</v>
      </c>
      <c r="F11" s="20">
        <f t="shared" si="0"/>
        <v>94.528002664446831</v>
      </c>
    </row>
    <row r="12" spans="1:22" x14ac:dyDescent="0.35">
      <c r="A12">
        <v>4</v>
      </c>
      <c r="B12" s="25">
        <f t="shared" si="1"/>
        <v>10.297168046236038</v>
      </c>
      <c r="C12" s="20">
        <f t="shared" si="2"/>
        <v>88.96753191947937</v>
      </c>
      <c r="D12" s="20">
        <f>$B$9*$B$5</f>
        <v>22.241882979869843</v>
      </c>
      <c r="E12" s="20">
        <f>$B$9*$B$6</f>
        <v>5.5604707449674606</v>
      </c>
      <c r="F12" s="20">
        <f t="shared" si="0"/>
        <v>116.76988564431667</v>
      </c>
    </row>
    <row r="13" spans="1:22" x14ac:dyDescent="0.35">
      <c r="A13">
        <v>5</v>
      </c>
      <c r="B13" s="25">
        <f t="shared" si="1"/>
        <v>12.871460057795048</v>
      </c>
      <c r="C13" s="20">
        <f t="shared" si="2"/>
        <v>111.20941489934923</v>
      </c>
      <c r="D13" s="20">
        <f>$B$9*$B$5</f>
        <v>22.241882979869843</v>
      </c>
      <c r="E13" s="20">
        <f>$B$9*$B$6</f>
        <v>5.5604707449674606</v>
      </c>
      <c r="F13" s="20">
        <f t="shared" si="0"/>
        <v>139.01176862418652</v>
      </c>
    </row>
    <row r="14" spans="1:22" x14ac:dyDescent="0.35">
      <c r="A14">
        <v>6</v>
      </c>
      <c r="B14" s="25">
        <f t="shared" si="1"/>
        <v>15.445752069354057</v>
      </c>
      <c r="C14" s="20">
        <f t="shared" si="2"/>
        <v>133.45129787921906</v>
      </c>
      <c r="D14" s="20">
        <f>$B$9*$B$5</f>
        <v>22.241882979869843</v>
      </c>
      <c r="E14" s="20">
        <f>$B$9*$B$6</f>
        <v>5.5604707449674606</v>
      </c>
      <c r="F14" s="20">
        <f t="shared" si="0"/>
        <v>161.25365160405636</v>
      </c>
    </row>
    <row r="15" spans="1:22" x14ac:dyDescent="0.35">
      <c r="A15">
        <v>7</v>
      </c>
      <c r="B15" s="25">
        <f t="shared" si="1"/>
        <v>18.020044080913067</v>
      </c>
      <c r="C15" s="20">
        <f t="shared" si="2"/>
        <v>155.6931808590889</v>
      </c>
      <c r="D15" s="20">
        <f>$B$9*$B$5</f>
        <v>22.241882979869843</v>
      </c>
      <c r="E15" s="20">
        <f>$B$9*$B$6</f>
        <v>5.5604707449674606</v>
      </c>
      <c r="F15" s="20">
        <f t="shared" si="0"/>
        <v>183.4955345839262</v>
      </c>
    </row>
    <row r="16" spans="1:22" x14ac:dyDescent="0.35">
      <c r="A16">
        <v>8</v>
      </c>
      <c r="B16" s="25">
        <f t="shared" si="1"/>
        <v>20.594336092472076</v>
      </c>
      <c r="C16" s="20">
        <f t="shared" si="2"/>
        <v>177.93506383895874</v>
      </c>
      <c r="D16" s="20">
        <f>$B$9*$B$5</f>
        <v>22.241882979869843</v>
      </c>
      <c r="E16" s="20">
        <f>$B$9*$B$6</f>
        <v>5.5604707449674606</v>
      </c>
      <c r="F16" s="20">
        <f t="shared" si="0"/>
        <v>205.73741756379604</v>
      </c>
    </row>
    <row r="17" spans="1:7" x14ac:dyDescent="0.35">
      <c r="A17">
        <v>9</v>
      </c>
      <c r="B17" s="25">
        <f t="shared" si="1"/>
        <v>23.168628104031086</v>
      </c>
      <c r="C17" s="20">
        <f t="shared" si="2"/>
        <v>200.17694681882858</v>
      </c>
      <c r="D17" s="20">
        <f>$B$9*$B$5</f>
        <v>22.241882979869843</v>
      </c>
      <c r="E17" s="20">
        <f>$B$9*$B$6</f>
        <v>5.5604707449674606</v>
      </c>
      <c r="F17" s="20">
        <f t="shared" si="0"/>
        <v>227.97930054366589</v>
      </c>
    </row>
    <row r="18" spans="1:7" x14ac:dyDescent="0.35">
      <c r="A18">
        <v>10</v>
      </c>
      <c r="B18" s="25">
        <f t="shared" si="1"/>
        <v>25.742920115590096</v>
      </c>
      <c r="C18" s="20">
        <f t="shared" si="2"/>
        <v>222.41882979869845</v>
      </c>
      <c r="D18" s="20">
        <f>$B$9*$B$5</f>
        <v>22.241882979869843</v>
      </c>
      <c r="E18" s="20">
        <f>$B$9*$B$6</f>
        <v>5.5604707449674606</v>
      </c>
      <c r="F18" s="20">
        <f t="shared" si="0"/>
        <v>250.22118352353576</v>
      </c>
    </row>
    <row r="19" spans="1:7" x14ac:dyDescent="0.35">
      <c r="A19">
        <v>11</v>
      </c>
      <c r="B19" s="25">
        <f t="shared" si="1"/>
        <v>28.317212127149105</v>
      </c>
      <c r="C19" s="20">
        <f t="shared" si="2"/>
        <v>244.6607127785683</v>
      </c>
      <c r="D19" s="20">
        <f>$B$9*$B$5</f>
        <v>22.241882979869843</v>
      </c>
      <c r="E19" s="20">
        <f>$B$9*$B$6</f>
        <v>5.5604707449674606</v>
      </c>
      <c r="F19" s="20">
        <f t="shared" si="0"/>
        <v>272.46306650340557</v>
      </c>
    </row>
    <row r="20" spans="1:7" x14ac:dyDescent="0.35">
      <c r="A20">
        <v>12</v>
      </c>
      <c r="B20" s="25">
        <f t="shared" si="1"/>
        <v>30.891504138708115</v>
      </c>
      <c r="C20" s="20">
        <f t="shared" si="2"/>
        <v>266.90259575843811</v>
      </c>
      <c r="D20" s="20">
        <f>$B$9*$B$5</f>
        <v>22.241882979869843</v>
      </c>
      <c r="E20" s="20">
        <f>$B$9*$B$6</f>
        <v>5.5604707449674606</v>
      </c>
      <c r="F20" s="20">
        <f t="shared" si="0"/>
        <v>294.70494948327541</v>
      </c>
      <c r="G20" s="20">
        <f>SUM(F9:F20)</f>
        <v>2068.4951171278954</v>
      </c>
    </row>
    <row r="21" spans="1:7" x14ac:dyDescent="0.35">
      <c r="A21">
        <v>13</v>
      </c>
      <c r="B21" s="25">
        <f t="shared" si="1"/>
        <v>33.465796150267124</v>
      </c>
      <c r="C21" s="20">
        <f t="shared" si="2"/>
        <v>289.14447873830795</v>
      </c>
      <c r="D21" s="20">
        <f>$B$9*$B$5</f>
        <v>22.241882979869843</v>
      </c>
      <c r="E21" s="20">
        <f>$B$9*$B$6</f>
        <v>5.5604707449674606</v>
      </c>
      <c r="F21" s="20">
        <f t="shared" ref="F21:F40" si="3">SUM(C21:E21)</f>
        <v>316.94683246314526</v>
      </c>
    </row>
    <row r="22" spans="1:7" x14ac:dyDescent="0.35">
      <c r="A22">
        <v>14</v>
      </c>
      <c r="B22" s="25">
        <f t="shared" si="1"/>
        <v>36.040088161826134</v>
      </c>
      <c r="C22" s="20">
        <f t="shared" si="2"/>
        <v>311.3863617181778</v>
      </c>
      <c r="D22" s="20">
        <f>$B$9*$B$5</f>
        <v>22.241882979869843</v>
      </c>
      <c r="E22" s="20">
        <f>$B$9*$B$6</f>
        <v>5.5604707449674606</v>
      </c>
      <c r="F22" s="20">
        <f t="shared" si="3"/>
        <v>339.1887154430151</v>
      </c>
    </row>
    <row r="23" spans="1:7" x14ac:dyDescent="0.35">
      <c r="A23">
        <v>15</v>
      </c>
      <c r="B23" s="25">
        <f t="shared" si="1"/>
        <v>38.614380173385143</v>
      </c>
      <c r="C23" s="20">
        <f t="shared" si="2"/>
        <v>333.62824469804764</v>
      </c>
      <c r="D23" s="20">
        <f>$B$9*$B$5</f>
        <v>22.241882979869843</v>
      </c>
      <c r="E23" s="20">
        <f>$B$9*$B$6</f>
        <v>5.5604707449674606</v>
      </c>
      <c r="F23" s="20">
        <f t="shared" si="3"/>
        <v>361.43059842288494</v>
      </c>
    </row>
    <row r="24" spans="1:7" x14ac:dyDescent="0.35">
      <c r="A24">
        <v>16</v>
      </c>
      <c r="B24" s="25">
        <f t="shared" si="1"/>
        <v>41.188672184944153</v>
      </c>
      <c r="C24" s="20">
        <f t="shared" si="2"/>
        <v>355.87012767791748</v>
      </c>
      <c r="D24" s="20">
        <f>$B$9*$B$5</f>
        <v>22.241882979869843</v>
      </c>
      <c r="E24" s="20">
        <f>$B$9*$B$6</f>
        <v>5.5604707449674606</v>
      </c>
      <c r="F24" s="20">
        <f t="shared" si="3"/>
        <v>383.67248140275478</v>
      </c>
    </row>
    <row r="25" spans="1:7" x14ac:dyDescent="0.35">
      <c r="A25">
        <v>17</v>
      </c>
      <c r="B25" s="25">
        <f t="shared" si="1"/>
        <v>43.762964196503162</v>
      </c>
      <c r="C25" s="20">
        <f t="shared" si="2"/>
        <v>378.11201065778732</v>
      </c>
      <c r="D25" s="20">
        <f>$B$9*$B$5</f>
        <v>22.241882979869843</v>
      </c>
      <c r="E25" s="20">
        <f>$B$9*$B$6</f>
        <v>5.5604707449674606</v>
      </c>
      <c r="F25" s="20">
        <f t="shared" si="3"/>
        <v>405.91436438262463</v>
      </c>
    </row>
    <row r="26" spans="1:7" x14ac:dyDescent="0.35">
      <c r="A26">
        <v>18</v>
      </c>
      <c r="B26" s="25">
        <f t="shared" si="1"/>
        <v>46.337256208062172</v>
      </c>
      <c r="C26" s="20">
        <f t="shared" si="2"/>
        <v>400.35389363765717</v>
      </c>
      <c r="D26" s="20">
        <f>$B$9*$B$5</f>
        <v>22.241882979869843</v>
      </c>
      <c r="E26" s="20">
        <f>$B$9*$B$6</f>
        <v>5.5604707449674606</v>
      </c>
      <c r="F26" s="20">
        <f t="shared" si="3"/>
        <v>428.15624736249447</v>
      </c>
    </row>
    <row r="27" spans="1:7" x14ac:dyDescent="0.35">
      <c r="A27">
        <v>19</v>
      </c>
      <c r="B27" s="25">
        <f t="shared" si="1"/>
        <v>48.911548219621181</v>
      </c>
      <c r="C27" s="20">
        <f t="shared" si="2"/>
        <v>422.59577661752701</v>
      </c>
      <c r="D27" s="20">
        <f>$B$9*$B$5</f>
        <v>22.241882979869843</v>
      </c>
      <c r="E27" s="20">
        <f>$B$9*$B$6</f>
        <v>5.5604707449674606</v>
      </c>
      <c r="F27" s="20">
        <f t="shared" si="3"/>
        <v>450.39813034236431</v>
      </c>
    </row>
    <row r="28" spans="1:7" x14ac:dyDescent="0.35">
      <c r="A28">
        <v>20</v>
      </c>
      <c r="B28" s="25">
        <f t="shared" si="1"/>
        <v>51.485840231180191</v>
      </c>
      <c r="C28" s="20">
        <f t="shared" si="2"/>
        <v>444.83765959739691</v>
      </c>
      <c r="D28" s="20">
        <f>$B$9*$B$5</f>
        <v>22.241882979869843</v>
      </c>
      <c r="E28" s="20">
        <f>$B$9*$B$6</f>
        <v>5.5604707449674606</v>
      </c>
      <c r="F28" s="20">
        <f t="shared" si="3"/>
        <v>472.64001332223421</v>
      </c>
    </row>
    <row r="29" spans="1:7" x14ac:dyDescent="0.35">
      <c r="A29">
        <v>21</v>
      </c>
      <c r="B29" s="25">
        <f t="shared" si="1"/>
        <v>54.060132242739201</v>
      </c>
      <c r="C29" s="20">
        <f t="shared" si="2"/>
        <v>467.07954257726675</v>
      </c>
      <c r="D29" s="20">
        <f>$B$9*$B$5</f>
        <v>22.241882979869843</v>
      </c>
      <c r="E29" s="20">
        <f>$B$9*$B$6</f>
        <v>5.5604707449674606</v>
      </c>
      <c r="F29" s="20">
        <f t="shared" si="3"/>
        <v>494.88189630210405</v>
      </c>
    </row>
    <row r="30" spans="1:7" x14ac:dyDescent="0.35">
      <c r="A30">
        <v>22</v>
      </c>
      <c r="B30" s="25">
        <f t="shared" si="1"/>
        <v>56.63442425429821</v>
      </c>
      <c r="C30" s="20">
        <f t="shared" si="2"/>
        <v>489.32142555713659</v>
      </c>
      <c r="D30" s="20">
        <f>$B$9*$B$5</f>
        <v>22.241882979869843</v>
      </c>
      <c r="E30" s="20">
        <f>$B$9*$B$6</f>
        <v>5.5604707449674606</v>
      </c>
      <c r="F30" s="20">
        <f t="shared" si="3"/>
        <v>517.12377928197384</v>
      </c>
    </row>
    <row r="31" spans="1:7" x14ac:dyDescent="0.35">
      <c r="A31">
        <v>23</v>
      </c>
      <c r="B31" s="25">
        <f t="shared" si="1"/>
        <v>59.20871626585722</v>
      </c>
      <c r="C31" s="20">
        <f t="shared" si="2"/>
        <v>511.56330853700644</v>
      </c>
      <c r="D31" s="20">
        <f>$B$9*$B$5</f>
        <v>22.241882979869843</v>
      </c>
      <c r="E31" s="20">
        <f>$B$9*$B$6</f>
        <v>5.5604707449674606</v>
      </c>
      <c r="F31" s="20">
        <f t="shared" si="3"/>
        <v>539.36566226184368</v>
      </c>
    </row>
    <row r="32" spans="1:7" x14ac:dyDescent="0.35">
      <c r="A32">
        <v>24</v>
      </c>
      <c r="B32" s="25">
        <f t="shared" si="1"/>
        <v>61.783008277416229</v>
      </c>
      <c r="C32" s="20">
        <f t="shared" si="2"/>
        <v>533.80519151687622</v>
      </c>
      <c r="D32" s="20">
        <f>$B$9*$B$5</f>
        <v>22.241882979869843</v>
      </c>
      <c r="E32" s="20">
        <f>$B$9*$B$6</f>
        <v>5.5604707449674606</v>
      </c>
      <c r="F32" s="20">
        <f t="shared" si="3"/>
        <v>561.60754524171352</v>
      </c>
      <c r="G32" s="20">
        <f>SUM(F21:F32)</f>
        <v>5271.3262662291527</v>
      </c>
    </row>
    <row r="33" spans="1:7" x14ac:dyDescent="0.35">
      <c r="A33">
        <v>25</v>
      </c>
      <c r="B33" s="25">
        <f t="shared" si="1"/>
        <v>64.357300288975239</v>
      </c>
      <c r="C33" s="20">
        <f t="shared" si="2"/>
        <v>556.04707449674606</v>
      </c>
      <c r="D33" s="20">
        <f>$B$9*$B$5</f>
        <v>22.241882979869843</v>
      </c>
      <c r="E33" s="20">
        <f>$B$9*$B$6</f>
        <v>5.5604707449674606</v>
      </c>
      <c r="F33" s="20">
        <f t="shared" si="3"/>
        <v>583.84942822158337</v>
      </c>
    </row>
    <row r="34" spans="1:7" x14ac:dyDescent="0.35">
      <c r="A34">
        <v>26</v>
      </c>
      <c r="B34" s="25">
        <f t="shared" si="1"/>
        <v>66.931592300534248</v>
      </c>
      <c r="C34" s="20">
        <f t="shared" si="2"/>
        <v>578.28895747661591</v>
      </c>
      <c r="D34" s="20">
        <f>$B$9*$B$5</f>
        <v>22.241882979869843</v>
      </c>
      <c r="E34" s="20">
        <f>$B$9*$B$6</f>
        <v>5.5604707449674606</v>
      </c>
      <c r="F34" s="20">
        <f t="shared" si="3"/>
        <v>606.09131120145321</v>
      </c>
    </row>
    <row r="35" spans="1:7" x14ac:dyDescent="0.35">
      <c r="A35">
        <v>27</v>
      </c>
      <c r="B35" s="25">
        <f t="shared" si="1"/>
        <v>69.505884312093258</v>
      </c>
      <c r="C35" s="20">
        <f t="shared" si="2"/>
        <v>600.53084045648575</v>
      </c>
      <c r="D35" s="20">
        <f>$B$9*$B$5</f>
        <v>22.241882979869843</v>
      </c>
      <c r="E35" s="20">
        <f>$B$9*$B$6</f>
        <v>5.5604707449674606</v>
      </c>
      <c r="F35" s="20">
        <f t="shared" si="3"/>
        <v>628.33319418132305</v>
      </c>
    </row>
    <row r="36" spans="1:7" x14ac:dyDescent="0.35">
      <c r="A36">
        <v>28</v>
      </c>
      <c r="B36" s="25">
        <f t="shared" si="1"/>
        <v>72.080176323652267</v>
      </c>
      <c r="C36" s="20">
        <f t="shared" si="2"/>
        <v>622.77272343635559</v>
      </c>
      <c r="D36" s="20">
        <f>$B$9*$B$5</f>
        <v>22.241882979869843</v>
      </c>
      <c r="E36" s="20">
        <f>$B$9*$B$6</f>
        <v>5.5604707449674606</v>
      </c>
      <c r="F36" s="20">
        <f t="shared" si="3"/>
        <v>650.57507716119289</v>
      </c>
    </row>
    <row r="37" spans="1:7" x14ac:dyDescent="0.35">
      <c r="A37">
        <v>29</v>
      </c>
      <c r="B37" s="25">
        <f t="shared" si="1"/>
        <v>74.654468335211277</v>
      </c>
      <c r="C37" s="20">
        <f t="shared" si="2"/>
        <v>645.01460641622543</v>
      </c>
      <c r="D37" s="20">
        <f>$B$9*$B$5</f>
        <v>22.241882979869843</v>
      </c>
      <c r="E37" s="20">
        <f>$B$9*$B$6</f>
        <v>5.5604707449674606</v>
      </c>
      <c r="F37" s="20">
        <f t="shared" si="3"/>
        <v>672.81696014106274</v>
      </c>
    </row>
    <row r="38" spans="1:7" x14ac:dyDescent="0.35">
      <c r="A38">
        <v>30</v>
      </c>
      <c r="B38" s="25">
        <f t="shared" si="1"/>
        <v>77.228760346770287</v>
      </c>
      <c r="C38" s="20">
        <f t="shared" si="2"/>
        <v>667.25648939609528</v>
      </c>
      <c r="D38" s="20">
        <f>$B$9*$B$5</f>
        <v>22.241882979869843</v>
      </c>
      <c r="E38" s="20">
        <f>$B$9*$B$6</f>
        <v>5.5604707449674606</v>
      </c>
      <c r="F38" s="20">
        <f t="shared" si="3"/>
        <v>695.05884312093258</v>
      </c>
    </row>
    <row r="39" spans="1:7" x14ac:dyDescent="0.35">
      <c r="A39">
        <v>31</v>
      </c>
      <c r="B39" s="25">
        <f t="shared" si="1"/>
        <v>79.803052358329296</v>
      </c>
      <c r="C39" s="20">
        <f t="shared" si="2"/>
        <v>689.49837237596512</v>
      </c>
      <c r="D39" s="20">
        <f>$B$9*$B$5</f>
        <v>22.241882979869843</v>
      </c>
      <c r="E39" s="20">
        <f>$B$9*$B$6</f>
        <v>5.5604707449674606</v>
      </c>
      <c r="F39" s="20">
        <f t="shared" si="3"/>
        <v>717.30072610080242</v>
      </c>
    </row>
    <row r="40" spans="1:7" x14ac:dyDescent="0.35">
      <c r="A40">
        <v>32</v>
      </c>
      <c r="B40" s="25">
        <f t="shared" si="1"/>
        <v>82.377344369888306</v>
      </c>
      <c r="C40" s="20">
        <f t="shared" si="2"/>
        <v>711.74025535583496</v>
      </c>
      <c r="D40" s="20">
        <f>$B$9*$B$5</f>
        <v>22.241882979869843</v>
      </c>
      <c r="E40" s="20">
        <f>$B$9*$B$6</f>
        <v>5.5604707449674606</v>
      </c>
      <c r="F40" s="20">
        <f t="shared" si="3"/>
        <v>739.54260908067226</v>
      </c>
    </row>
    <row r="41" spans="1:7" x14ac:dyDescent="0.35">
      <c r="A41">
        <v>33</v>
      </c>
      <c r="B41" s="25">
        <f t="shared" si="1"/>
        <v>84.951636381447315</v>
      </c>
      <c r="C41" s="20">
        <f t="shared" si="2"/>
        <v>733.9821383357048</v>
      </c>
      <c r="D41" s="20">
        <f>$B$9*$B$5</f>
        <v>22.241882979869843</v>
      </c>
      <c r="E41" s="20">
        <f>$B$9*$B$6</f>
        <v>5.5604707449674606</v>
      </c>
      <c r="F41" s="20">
        <f>SUM(C41:E41)</f>
        <v>761.78449206054211</v>
      </c>
    </row>
    <row r="42" spans="1:7" x14ac:dyDescent="0.35">
      <c r="A42">
        <v>34</v>
      </c>
      <c r="B42" s="25">
        <f t="shared" si="1"/>
        <v>87.525928393006325</v>
      </c>
      <c r="C42" s="20">
        <f t="shared" si="2"/>
        <v>756.22402131557465</v>
      </c>
      <c r="D42" s="20">
        <f>$B$9*$B$5</f>
        <v>22.241882979869843</v>
      </c>
      <c r="E42" s="20">
        <f>$B$9*$B$6</f>
        <v>5.5604707449674606</v>
      </c>
      <c r="F42" s="20">
        <f>SUM(C42:E42)</f>
        <v>784.02637504041195</v>
      </c>
    </row>
    <row r="43" spans="1:7" x14ac:dyDescent="0.35">
      <c r="A43">
        <v>35</v>
      </c>
      <c r="B43" s="25">
        <f t="shared" si="1"/>
        <v>90.100220404565334</v>
      </c>
      <c r="C43" s="20">
        <f t="shared" si="2"/>
        <v>778.46590429544449</v>
      </c>
      <c r="D43" s="20">
        <f>$B$9*$B$5</f>
        <v>22.241882979869843</v>
      </c>
      <c r="E43" s="20">
        <f>$B$9*$B$6</f>
        <v>5.5604707449674606</v>
      </c>
      <c r="F43" s="20">
        <f>SUM(C43:E43)</f>
        <v>806.26825802028179</v>
      </c>
    </row>
    <row r="44" spans="1:7" x14ac:dyDescent="0.35">
      <c r="A44">
        <v>36</v>
      </c>
      <c r="B44" s="25">
        <f t="shared" si="1"/>
        <v>92.674512416124344</v>
      </c>
      <c r="C44" s="20">
        <f t="shared" si="2"/>
        <v>800.70778727531433</v>
      </c>
      <c r="D44" s="20">
        <f>$B$9*$B$5</f>
        <v>22.241882979869843</v>
      </c>
      <c r="E44" s="20">
        <f>$B$9*$B$6</f>
        <v>5.5604707449674606</v>
      </c>
      <c r="F44" s="20">
        <f>SUM(C44:E44)</f>
        <v>828.51014100015163</v>
      </c>
      <c r="G44" s="20">
        <f>SUM(F33:F44)</f>
        <v>8474.15741533041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Constants</vt:lpstr>
      <vt:lpstr>Numbers</vt:lpstr>
      <vt:lpstr>EventHub</vt:lpstr>
      <vt:lpstr>SF  &amp; WJ</vt:lpstr>
      <vt:lpstr>AF</vt:lpstr>
      <vt:lpstr>Storage</vt:lpstr>
      <vt:lpstr>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den Hoven</dc:creator>
  <cp:lastModifiedBy>Sander van den Hoven</cp:lastModifiedBy>
  <dcterms:created xsi:type="dcterms:W3CDTF">2016-12-05T13:46:28Z</dcterms:created>
  <dcterms:modified xsi:type="dcterms:W3CDTF">2017-01-17T11:37:13Z</dcterms:modified>
</cp:coreProperties>
</file>