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0" yWindow="0" windowWidth="28800" windowHeight="17480"/>
  </bookViews>
  <sheets>
    <sheet name="EU" sheetId="1" r:id="rId1"/>
    <sheet name="OLD U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1" l="1"/>
  <c r="Q48" i="1"/>
  <c r="Q47" i="1"/>
  <c r="F6" i="1"/>
  <c r="G6" i="1"/>
  <c r="H6" i="1"/>
  <c r="I6" i="1"/>
  <c r="J6" i="1"/>
  <c r="K6" i="1"/>
  <c r="L6" i="1"/>
  <c r="M6" i="1"/>
  <c r="G12" i="1"/>
  <c r="H12" i="1"/>
  <c r="I12" i="1"/>
  <c r="J12" i="1"/>
  <c r="K12" i="1"/>
  <c r="L12" i="1"/>
  <c r="M12" i="1"/>
  <c r="F7" i="1"/>
  <c r="G7" i="1"/>
  <c r="H7" i="1"/>
  <c r="I7" i="1"/>
  <c r="J7" i="1"/>
  <c r="K7" i="1"/>
  <c r="L7" i="1"/>
  <c r="M7" i="1"/>
  <c r="M14" i="1"/>
  <c r="M17" i="1"/>
  <c r="M10" i="1"/>
  <c r="F10" i="1"/>
  <c r="O13" i="1"/>
  <c r="G13" i="1"/>
  <c r="H13" i="1"/>
  <c r="I13" i="1"/>
  <c r="J13" i="1"/>
  <c r="K13" i="1"/>
  <c r="L13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G24" i="1"/>
  <c r="H24" i="1"/>
  <c r="I24" i="1"/>
  <c r="J24" i="1"/>
  <c r="K24" i="1"/>
  <c r="L24" i="1"/>
  <c r="M24" i="1"/>
  <c r="D19" i="1"/>
  <c r="F19" i="1"/>
  <c r="G19" i="1"/>
  <c r="H19" i="1"/>
  <c r="I19" i="1"/>
  <c r="J19" i="1"/>
  <c r="K19" i="1"/>
  <c r="L19" i="1"/>
  <c r="M19" i="1"/>
  <c r="F5" i="1"/>
  <c r="G5" i="1"/>
  <c r="H5" i="1"/>
  <c r="I5" i="1"/>
  <c r="J5" i="1"/>
  <c r="K5" i="1"/>
  <c r="L5" i="1"/>
  <c r="M5" i="1"/>
  <c r="M8" i="1"/>
  <c r="M29" i="1"/>
  <c r="M30" i="1"/>
  <c r="M35" i="1"/>
  <c r="L8" i="1"/>
  <c r="L29" i="1"/>
  <c r="L30" i="1"/>
  <c r="L35" i="1"/>
  <c r="K8" i="1"/>
  <c r="K29" i="1"/>
  <c r="K30" i="1"/>
  <c r="K35" i="1"/>
  <c r="J8" i="1"/>
  <c r="J29" i="1"/>
  <c r="J30" i="1"/>
  <c r="J35" i="1"/>
  <c r="I8" i="1"/>
  <c r="I29" i="1"/>
  <c r="I30" i="1"/>
  <c r="I35" i="1"/>
  <c r="H8" i="1"/>
  <c r="H29" i="1"/>
  <c r="H30" i="1"/>
  <c r="H35" i="1"/>
  <c r="G8" i="1"/>
  <c r="G29" i="1"/>
  <c r="G30" i="1"/>
  <c r="G35" i="1"/>
  <c r="G11" i="1"/>
  <c r="H11" i="1"/>
  <c r="I11" i="1"/>
  <c r="J11" i="1"/>
  <c r="K11" i="1"/>
  <c r="L11" i="1"/>
  <c r="M11" i="1"/>
  <c r="M28" i="1"/>
  <c r="M34" i="1"/>
  <c r="L28" i="1"/>
  <c r="L34" i="1"/>
  <c r="K28" i="1"/>
  <c r="K34" i="1"/>
  <c r="J28" i="1"/>
  <c r="J34" i="1"/>
  <c r="I28" i="1"/>
  <c r="I34" i="1"/>
  <c r="H28" i="1"/>
  <c r="H34" i="1"/>
  <c r="G28" i="1"/>
  <c r="G34" i="1"/>
  <c r="F8" i="1"/>
  <c r="F29" i="1"/>
  <c r="F30" i="1"/>
  <c r="F35" i="1"/>
  <c r="F28" i="1"/>
  <c r="F34" i="1"/>
  <c r="M20" i="1"/>
  <c r="L20" i="1"/>
  <c r="K20" i="1"/>
  <c r="J20" i="1"/>
  <c r="I20" i="1"/>
  <c r="H20" i="1"/>
  <c r="G20" i="1"/>
  <c r="F20" i="1"/>
  <c r="F21" i="1"/>
  <c r="F27" i="1"/>
  <c r="M21" i="1"/>
  <c r="M25" i="1"/>
  <c r="L21" i="1"/>
  <c r="L25" i="1"/>
  <c r="K21" i="1"/>
  <c r="K25" i="1"/>
  <c r="J21" i="1"/>
  <c r="J25" i="1"/>
  <c r="I21" i="1"/>
  <c r="I25" i="1"/>
  <c r="H21" i="1"/>
  <c r="H25" i="1"/>
  <c r="G21" i="1"/>
  <c r="G25" i="1"/>
  <c r="F25" i="1"/>
  <c r="M31" i="1"/>
  <c r="L31" i="1"/>
  <c r="K31" i="1"/>
  <c r="J31" i="1"/>
  <c r="I31" i="1"/>
  <c r="H31" i="1"/>
  <c r="G31" i="1"/>
  <c r="F31" i="1"/>
  <c r="M18" i="1"/>
  <c r="L10" i="1"/>
  <c r="L18" i="1"/>
  <c r="K10" i="1"/>
  <c r="K18" i="1"/>
  <c r="J10" i="1"/>
  <c r="J18" i="1"/>
  <c r="I10" i="1"/>
  <c r="I18" i="1"/>
  <c r="H10" i="1"/>
  <c r="H18" i="1"/>
  <c r="G10" i="1"/>
  <c r="G18" i="1"/>
  <c r="F18" i="1"/>
  <c r="M15" i="1"/>
  <c r="L15" i="1"/>
  <c r="K15" i="1"/>
  <c r="J15" i="1"/>
  <c r="I15" i="1"/>
  <c r="H15" i="1"/>
  <c r="G15" i="1"/>
  <c r="F15" i="1"/>
  <c r="B29" i="1"/>
  <c r="B12" i="1"/>
  <c r="F41" i="1"/>
  <c r="F43" i="1"/>
  <c r="G46" i="1"/>
  <c r="H46" i="1"/>
  <c r="I46" i="1"/>
  <c r="J46" i="1"/>
  <c r="K46" i="1"/>
  <c r="L46" i="1"/>
  <c r="M46" i="1"/>
  <c r="F46" i="1"/>
  <c r="G45" i="1"/>
  <c r="H45" i="1"/>
  <c r="I45" i="1"/>
  <c r="J45" i="1"/>
  <c r="K45" i="1"/>
  <c r="L45" i="1"/>
  <c r="M45" i="1"/>
  <c r="F45" i="1"/>
  <c r="G23" i="1"/>
  <c r="H23" i="1"/>
  <c r="I23" i="1"/>
  <c r="J23" i="1"/>
  <c r="K23" i="1"/>
  <c r="L23" i="1"/>
  <c r="M23" i="1"/>
  <c r="F23" i="1"/>
  <c r="G27" i="1"/>
  <c r="H27" i="1"/>
  <c r="I27" i="1"/>
  <c r="J27" i="1"/>
  <c r="K27" i="1"/>
  <c r="L27" i="1"/>
  <c r="M27" i="1"/>
  <c r="C7" i="4"/>
  <c r="D7" i="4"/>
  <c r="E7" i="4"/>
  <c r="F7" i="4"/>
  <c r="G7" i="4"/>
  <c r="H7" i="4"/>
  <c r="I7" i="4"/>
  <c r="J7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L6" i="4"/>
  <c r="C9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L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J12" i="4"/>
  <c r="C14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</calcChain>
</file>

<file path=xl/comments1.xml><?xml version="1.0" encoding="utf-8"?>
<comments xmlns="http://schemas.openxmlformats.org/spreadsheetml/2006/main">
  <authors>
    <author>Carbon Trust</author>
  </authors>
  <commentList>
    <comment ref="O8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EU Commission stated linear rate</t>
        </r>
      </text>
    </comment>
    <comment ref="F39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2005 Emissions
http://europa.eu/rapid/pressReleasesAction.do?reference=IP/06/612&amp;format=HTML&amp;aged=1&amp;language=EN&amp;guiLanguage=en</t>
        </r>
      </text>
    </comment>
  </commentList>
</comments>
</file>

<file path=xl/comments2.xml><?xml version="1.0" encoding="utf-8"?>
<comments xmlns="http://schemas.openxmlformats.org/spreadsheetml/2006/main">
  <authors>
    <author>Carbon Trust</author>
  </authors>
  <commentList>
    <comment ref="C5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From 2012 NAP</t>
        </r>
      </text>
    </comment>
    <comment ref="C7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2012 NAP figure
Adjusted up by ~7% for the expansion of the scope of the EU ETS based on EU level estimate</t>
        </r>
      </text>
    </comment>
  </commentList>
</comments>
</file>

<file path=xl/sharedStrings.xml><?xml version="1.0" encoding="utf-8"?>
<sst xmlns="http://schemas.openxmlformats.org/spreadsheetml/2006/main" count="79" uniqueCount="45">
  <si>
    <t>Power sector</t>
  </si>
  <si>
    <t>Other</t>
  </si>
  <si>
    <t>Total</t>
  </si>
  <si>
    <t>CO2 price</t>
  </si>
  <si>
    <t>€/tCO2</t>
  </si>
  <si>
    <t>%</t>
  </si>
  <si>
    <t xml:space="preserve"> </t>
  </si>
  <si>
    <t>Change</t>
  </si>
  <si>
    <t>mtCO2</t>
  </si>
  <si>
    <t>mtCO3</t>
  </si>
  <si>
    <t>mtCO4</t>
  </si>
  <si>
    <t>€bn</t>
  </si>
  <si>
    <t>Emissions</t>
  </si>
  <si>
    <t>Proportion auctioned</t>
  </si>
  <si>
    <t>Auction revenues</t>
  </si>
  <si>
    <t>UK - Possible phase III auction revenues</t>
  </si>
  <si>
    <t>EU-27 Emissions</t>
  </si>
  <si>
    <t>2005 UK ETS Emissions</t>
  </si>
  <si>
    <t>2005 EU ETS Emissions</t>
  </si>
  <si>
    <t>Basic UK share of auction revenues</t>
  </si>
  <si>
    <t>Amount of share auctioned in UK</t>
  </si>
  <si>
    <t>Actual UK share of auction revenues</t>
  </si>
  <si>
    <t>UK Auction revenues</t>
  </si>
  <si>
    <t>Note, numbers not checked. Worry about power sector figure. Worry about the UK share of auction revenues.</t>
  </si>
  <si>
    <t>Carbon Price</t>
  </si>
  <si>
    <t>Price per allowance</t>
  </si>
  <si>
    <t>2005-6</t>
  </si>
  <si>
    <t>Leakage sectors</t>
  </si>
  <si>
    <t>Annual</t>
  </si>
  <si>
    <t>Proportion allocated for free</t>
  </si>
  <si>
    <t>Total free allocation, % emissions</t>
  </si>
  <si>
    <t>Total free allocation, MtCO2</t>
  </si>
  <si>
    <t>Total allowances</t>
  </si>
  <si>
    <t>Note: 1720 "based on current scope"</t>
  </si>
  <si>
    <t>Volume available for auctioning</t>
  </si>
  <si>
    <t>Additions</t>
  </si>
  <si>
    <t>Expansion</t>
  </si>
  <si>
    <t>Phase II</t>
  </si>
  <si>
    <t>Phase III</t>
  </si>
  <si>
    <t>Other sectors</t>
  </si>
  <si>
    <t>Total revenue from auctions</t>
  </si>
  <si>
    <t>EU-27 Auction volumes- bought into proportion to net shortfall</t>
  </si>
  <si>
    <t>Revenues</t>
  </si>
  <si>
    <t>Average non-power sectors</t>
  </si>
  <si>
    <t>Proportion auctioned,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</si>
</sst>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color indexed="22"/>
      <name val="Verdana"/>
    </font>
    <font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Fill="1" applyBorder="1"/>
    <xf numFmtId="1" fontId="0" fillId="2" borderId="0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0" fontId="3" fillId="3" borderId="1" xfId="0" applyFont="1" applyFill="1" applyBorder="1"/>
    <xf numFmtId="1" fontId="0" fillId="5" borderId="0" xfId="0" applyNumberFormat="1" applyFill="1" applyBorder="1"/>
    <xf numFmtId="0" fontId="0" fillId="5" borderId="0" xfId="0" applyFill="1" applyBorder="1"/>
    <xf numFmtId="10" fontId="0" fillId="5" borderId="0" xfId="1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0" fontId="4" fillId="2" borderId="2" xfId="0" applyFont="1" applyFill="1" applyBorder="1"/>
    <xf numFmtId="9" fontId="4" fillId="2" borderId="2" xfId="1" applyFont="1" applyFill="1" applyBorder="1"/>
    <xf numFmtId="0" fontId="4" fillId="5" borderId="0" xfId="0" applyFont="1" applyFill="1" applyBorder="1"/>
    <xf numFmtId="9" fontId="4" fillId="5" borderId="0" xfId="0" applyNumberFormat="1" applyFont="1" applyFill="1" applyBorder="1"/>
    <xf numFmtId="1" fontId="4" fillId="2" borderId="0" xfId="0" applyNumberFormat="1" applyFont="1" applyFill="1" applyBorder="1"/>
    <xf numFmtId="1" fontId="4" fillId="2" borderId="2" xfId="0" applyNumberFormat="1" applyFont="1" applyFill="1" applyBorder="1"/>
    <xf numFmtId="10" fontId="5" fillId="2" borderId="0" xfId="1" applyNumberFormat="1" applyFont="1" applyFill="1"/>
    <xf numFmtId="0" fontId="0" fillId="4" borderId="0" xfId="0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9" fontId="4" fillId="4" borderId="0" xfId="0" applyNumberFormat="1" applyFont="1" applyFill="1" applyBorder="1"/>
    <xf numFmtId="0" fontId="4" fillId="4" borderId="2" xfId="0" applyFont="1" applyFill="1" applyBorder="1"/>
    <xf numFmtId="10" fontId="1" fillId="5" borderId="0" xfId="1" applyNumberFormat="1" applyFill="1" applyBorder="1"/>
    <xf numFmtId="1" fontId="0" fillId="4" borderId="0" xfId="0" applyNumberFormat="1" applyFill="1" applyBorder="1"/>
    <xf numFmtId="164" fontId="4" fillId="2" borderId="0" xfId="0" applyNumberFormat="1" applyFont="1" applyFill="1" applyBorder="1"/>
    <xf numFmtId="164" fontId="4" fillId="5" borderId="0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" fontId="0" fillId="4" borderId="2" xfId="0" applyNumberFormat="1" applyFill="1" applyBorder="1"/>
    <xf numFmtId="9" fontId="0" fillId="4" borderId="0" xfId="0" applyNumberFormat="1" applyFill="1"/>
    <xf numFmtId="0" fontId="0" fillId="4" borderId="0" xfId="0" applyFill="1"/>
    <xf numFmtId="0" fontId="3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1" applyFont="1" applyFill="1" applyBorder="1"/>
    <xf numFmtId="1" fontId="4" fillId="2" borderId="0" xfId="1" applyNumberFormat="1" applyFont="1" applyFill="1" applyBorder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0492249816481"/>
          <c:y val="0.0482955215391978"/>
          <c:w val="0.915024217867147"/>
          <c:h val="0.8409102573883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EU!$B$28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EU!$F$34:$M$34</c:f>
              <c:numCache>
                <c:formatCode>0</c:formatCode>
                <c:ptCount val="8"/>
                <c:pt idx="0">
                  <c:v>27111.3931451613</c:v>
                </c:pt>
                <c:pt idx="1">
                  <c:v>27971.63764965726</c:v>
                </c:pt>
                <c:pt idx="2">
                  <c:v>28859.1777122809</c:v>
                </c:pt>
                <c:pt idx="3">
                  <c:v>29774.87942109156</c:v>
                </c:pt>
                <c:pt idx="4">
                  <c:v>30719.6363451228</c:v>
                </c:pt>
                <c:pt idx="5">
                  <c:v>31694.37040635354</c:v>
                </c:pt>
                <c:pt idx="6">
                  <c:v>32700.03277934714</c:v>
                </c:pt>
                <c:pt idx="7">
                  <c:v>33737.60481943583</c:v>
                </c:pt>
              </c:numCache>
            </c:numRef>
          </c:val>
        </c:ser>
        <c:ser>
          <c:idx val="2"/>
          <c:order val="1"/>
          <c:tx>
            <c:strRef>
              <c:f>EU!$B$30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EU!$F$35:$M$35</c:f>
              <c:numCache>
                <c:formatCode>0</c:formatCode>
                <c:ptCount val="8"/>
                <c:pt idx="0">
                  <c:v>4235.40208467742</c:v>
                </c:pt>
                <c:pt idx="1">
                  <c:v>6601.08448819491</c:v>
                </c:pt>
                <c:pt idx="2">
                  <c:v>9112.628924292123</c:v>
                </c:pt>
                <c:pt idx="3">
                  <c:v>11776.91004530905</c:v>
                </c:pt>
                <c:pt idx="4">
                  <c:v>14601.0919161644</c:v>
                </c:pt>
                <c:pt idx="5">
                  <c:v>17592.63945912668</c:v>
                </c:pt>
                <c:pt idx="6">
                  <c:v>20759.3303334919</c:v>
                </c:pt>
                <c:pt idx="7">
                  <c:v>24109.26726624462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52856"/>
        <c:axId val="1794048008"/>
      </c:barChart>
      <c:lineChart>
        <c:grouping val="standard"/>
        <c:varyColors val="0"/>
        <c:ser>
          <c:idx val="0"/>
          <c:order val="2"/>
          <c:tx>
            <c:strRef>
              <c:f>EU!$B$45</c:f>
              <c:strCache>
                <c:ptCount val="1"/>
                <c:pt idx="0">
                  <c:v>UK Auction revenues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EU!$F$46:$M$46</c:f>
              <c:numCache>
                <c:formatCode>0.0</c:formatCode>
                <c:ptCount val="8"/>
                <c:pt idx="0">
                  <c:v>152.9934341973976</c:v>
                </c:pt>
                <c:pt idx="1">
                  <c:v>160.7029773322492</c:v>
                </c:pt>
                <c:pt idx="2">
                  <c:v>168.0979080738703</c:v>
                </c:pt>
                <c:pt idx="3">
                  <c:v>175.186840792266</c:v>
                </c:pt>
                <c:pt idx="4">
                  <c:v>181.9781853294129</c:v>
                </c:pt>
                <c:pt idx="5">
                  <c:v>188.4801515087489</c:v>
                </c:pt>
                <c:pt idx="6">
                  <c:v>194.7007535496536</c:v>
                </c:pt>
                <c:pt idx="7">
                  <c:v>200.6478143888641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2856"/>
        <c:axId val="1794048008"/>
      </c:lineChart>
      <c:catAx>
        <c:axId val="179405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04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048008"/>
        <c:scaling>
          <c:orientation val="minMax"/>
          <c:max val="3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0738915922907521"/>
              <c:y val="0.252841259822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052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763494588845"/>
          <c:y val="0.116477434300418"/>
          <c:w val="0.240147674944944"/>
          <c:h val="0.190341173125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836017569546"/>
          <c:y val="0.0853658112982469"/>
          <c:w val="0.765739385065886"/>
          <c:h val="0.772357340317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'OLD UK'!$B$18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UK'!$C$18:$J$18</c:f>
              <c:numCache>
                <c:formatCode>0.0</c:formatCode>
                <c:ptCount val="8"/>
                <c:pt idx="0">
                  <c:v>3.265</c:v>
                </c:pt>
                <c:pt idx="1">
                  <c:v>3.208189</c:v>
                </c:pt>
                <c:pt idx="2">
                  <c:v>3.1523665114</c:v>
                </c:pt>
                <c:pt idx="3">
                  <c:v>3.09751533410164</c:v>
                </c:pt>
                <c:pt idx="4">
                  <c:v>3.043618567288272</c:v>
                </c:pt>
                <c:pt idx="5">
                  <c:v>2.990659604217456</c:v>
                </c:pt>
                <c:pt idx="6">
                  <c:v>2.938622127104073</c:v>
                </c:pt>
                <c:pt idx="7">
                  <c:v>2.887490102092462</c:v>
                </c:pt>
              </c:numCache>
            </c:numRef>
          </c:val>
        </c:ser>
        <c:ser>
          <c:idx val="2"/>
          <c:order val="1"/>
          <c:tx>
            <c:strRef>
              <c:f>'OLD UK'!$B$19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UK'!$C$19:$J$19</c:f>
              <c:numCache>
                <c:formatCode>0.0</c:formatCode>
                <c:ptCount val="8"/>
                <c:pt idx="0">
                  <c:v>0.5366679</c:v>
                </c:pt>
                <c:pt idx="1">
                  <c:v>0.828661237705715</c:v>
                </c:pt>
                <c:pt idx="2">
                  <c:v>1.110330725685866</c:v>
                </c:pt>
                <c:pt idx="3">
                  <c:v>1.38194723000798</c:v>
                </c:pt>
                <c:pt idx="4">
                  <c:v>1.643775316249176</c:v>
                </c:pt>
                <c:pt idx="5">
                  <c:v>1.896073386745821</c:v>
                </c:pt>
                <c:pt idx="6">
                  <c:v>2.139093814974436</c:v>
                </c:pt>
                <c:pt idx="7">
                  <c:v>2.373083077122124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028072"/>
        <c:axId val="-2129019688"/>
      </c:barChart>
      <c:catAx>
        <c:axId val="-212902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2901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01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190336749633968"/>
              <c:y val="0.1991868930292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29028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6017569546"/>
          <c:y val="0.410568901958235"/>
          <c:w val="0.125915080527086"/>
          <c:h val="0.12601619763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50</xdr:row>
      <xdr:rowOff>25400</xdr:rowOff>
    </xdr:from>
    <xdr:to>
      <xdr:col>14</xdr:col>
      <xdr:colOff>0</xdr:colOff>
      <xdr:row>77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88900</xdr:rowOff>
    </xdr:from>
    <xdr:to>
      <xdr:col>11</xdr:col>
      <xdr:colOff>12700</xdr:colOff>
      <xdr:row>39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0</xdr:row>
      <xdr:rowOff>88900</xdr:rowOff>
    </xdr:from>
    <xdr:to>
      <xdr:col>11</xdr:col>
      <xdr:colOff>241300</xdr:colOff>
      <xdr:row>39</xdr:row>
      <xdr:rowOff>12700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39700" y="88900"/>
          <a:ext cx="902970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139700</xdr:colOff>
      <xdr:row>0</xdr:row>
      <xdr:rowOff>76200</xdr:rowOff>
    </xdr:from>
    <xdr:to>
      <xdr:col>11</xdr:col>
      <xdr:colOff>558800</xdr:colOff>
      <xdr:row>39</xdr:row>
      <xdr:rowOff>88900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39700" y="76200"/>
          <a:ext cx="9347200" cy="645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8"/>
  <sheetViews>
    <sheetView tabSelected="1" topLeftCell="N22" workbookViewId="0">
      <selection activeCell="P46" sqref="P46"/>
    </sheetView>
  </sheetViews>
  <sheetFormatPr baseColWidth="10" defaultColWidth="8.7109375" defaultRowHeight="13" x14ac:dyDescent="0"/>
  <cols>
    <col min="1" max="1" width="2.5703125" style="1" customWidth="1"/>
    <col min="2" max="2" width="28.42578125" style="1" customWidth="1"/>
    <col min="3" max="3" width="8.140625" style="1" customWidth="1"/>
    <col min="4" max="5" width="9.7109375" style="1" customWidth="1"/>
    <col min="6" max="13" width="6.42578125" style="1" customWidth="1"/>
    <col min="14" max="16384" width="8.7109375" style="1"/>
  </cols>
  <sheetData>
    <row r="1" spans="2:15">
      <c r="B1" s="30" t="s">
        <v>23</v>
      </c>
      <c r="C1" s="30"/>
      <c r="D1" s="30"/>
      <c r="E1" s="30"/>
    </row>
    <row r="2" spans="2:15">
      <c r="D2" s="1" t="s">
        <v>36</v>
      </c>
    </row>
    <row r="3" spans="2:15">
      <c r="D3" s="1" t="s">
        <v>35</v>
      </c>
      <c r="O3" s="34" t="s">
        <v>28</v>
      </c>
    </row>
    <row r="4" spans="2:15">
      <c r="B4" s="7" t="s">
        <v>16</v>
      </c>
      <c r="C4" s="7" t="s">
        <v>26</v>
      </c>
      <c r="D4" s="7" t="s">
        <v>37</v>
      </c>
      <c r="E4" s="7" t="s">
        <v>38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/>
      <c r="O4" s="7" t="s">
        <v>7</v>
      </c>
    </row>
    <row r="5" spans="2:15">
      <c r="B5" s="11" t="s">
        <v>0</v>
      </c>
      <c r="C5" s="11">
        <v>1150</v>
      </c>
      <c r="D5" s="11">
        <v>50</v>
      </c>
      <c r="E5" s="11">
        <v>50</v>
      </c>
      <c r="F5" s="20">
        <f>+(C5+D5+E5)*0.9</f>
        <v>1125</v>
      </c>
      <c r="G5" s="4">
        <f>F5*(1-$O$5)</f>
        <v>1102.5</v>
      </c>
      <c r="H5" s="4">
        <f t="shared" ref="H5:M7" si="0">G5*(1-$O$5)</f>
        <v>1080.45</v>
      </c>
      <c r="I5" s="4">
        <f t="shared" si="0"/>
        <v>1058.8410000000001</v>
      </c>
      <c r="J5" s="4">
        <f t="shared" si="0"/>
        <v>1037.66418</v>
      </c>
      <c r="K5" s="4">
        <f t="shared" si="0"/>
        <v>1016.9108964</v>
      </c>
      <c r="L5" s="4">
        <f t="shared" si="0"/>
        <v>996.57267847199989</v>
      </c>
      <c r="M5" s="4">
        <f t="shared" si="0"/>
        <v>976.64122490255988</v>
      </c>
      <c r="N5" s="3" t="s">
        <v>8</v>
      </c>
      <c r="O5" s="22">
        <v>0.02</v>
      </c>
    </row>
    <row r="6" spans="2:15">
      <c r="B6" s="11" t="s">
        <v>27</v>
      </c>
      <c r="C6" s="11">
        <v>350</v>
      </c>
      <c r="D6" s="11"/>
      <c r="E6" s="11"/>
      <c r="F6" s="20">
        <f>+(C6+D6+E6)*0.95</f>
        <v>332.5</v>
      </c>
      <c r="G6" s="4">
        <f>F6*(1-$O$5)</f>
        <v>325.84999999999997</v>
      </c>
      <c r="H6" s="4">
        <f t="shared" si="0"/>
        <v>319.33299999999997</v>
      </c>
      <c r="I6" s="4">
        <f t="shared" si="0"/>
        <v>312.94633999999996</v>
      </c>
      <c r="J6" s="4">
        <f t="shared" si="0"/>
        <v>306.68741319999998</v>
      </c>
      <c r="K6" s="4">
        <f t="shared" si="0"/>
        <v>300.55366493599996</v>
      </c>
      <c r="L6" s="4">
        <f t="shared" si="0"/>
        <v>294.54259163727994</v>
      </c>
      <c r="M6" s="4">
        <f t="shared" si="0"/>
        <v>288.65173980453432</v>
      </c>
      <c r="N6" s="3" t="s">
        <v>8</v>
      </c>
      <c r="O6" s="22">
        <v>0.01</v>
      </c>
    </row>
    <row r="7" spans="2:15">
      <c r="B7" s="15" t="s">
        <v>39</v>
      </c>
      <c r="C7" s="15">
        <v>550</v>
      </c>
      <c r="D7" s="15">
        <v>100</v>
      </c>
      <c r="E7" s="15">
        <v>100</v>
      </c>
      <c r="F7" s="20">
        <f>+(C7+D7+E7)*0.95</f>
        <v>712.5</v>
      </c>
      <c r="G7" s="4">
        <f>F7*(1-$O$5)</f>
        <v>698.25</v>
      </c>
      <c r="H7" s="4">
        <f t="shared" si="0"/>
        <v>684.28499999999997</v>
      </c>
      <c r="I7" s="4">
        <f t="shared" si="0"/>
        <v>670.59929999999997</v>
      </c>
      <c r="J7" s="4">
        <f t="shared" si="0"/>
        <v>657.18731400000001</v>
      </c>
      <c r="K7" s="4">
        <f t="shared" si="0"/>
        <v>644.04356772000006</v>
      </c>
      <c r="L7" s="4">
        <f t="shared" si="0"/>
        <v>631.16269636560003</v>
      </c>
      <c r="M7" s="4">
        <f t="shared" si="0"/>
        <v>618.53944243828801</v>
      </c>
      <c r="N7" s="3" t="s">
        <v>8</v>
      </c>
      <c r="O7" s="10">
        <v>0.01</v>
      </c>
    </row>
    <row r="8" spans="2:15">
      <c r="B8" s="13" t="s">
        <v>2</v>
      </c>
      <c r="C8" s="13"/>
      <c r="D8" s="13"/>
      <c r="E8" s="13"/>
      <c r="F8" s="6">
        <f>+SUM(F5:F7)</f>
        <v>2170</v>
      </c>
      <c r="G8" s="6">
        <f t="shared" ref="G8:M8" si="1">+SUM(G5:G7)</f>
        <v>2126.6</v>
      </c>
      <c r="H8" s="6">
        <f t="shared" si="1"/>
        <v>2084.0679999999998</v>
      </c>
      <c r="I8" s="6">
        <f t="shared" si="1"/>
        <v>2042.3866400000002</v>
      </c>
      <c r="J8" s="6">
        <f t="shared" si="1"/>
        <v>2001.5389072</v>
      </c>
      <c r="K8" s="6">
        <f t="shared" si="1"/>
        <v>1961.5081290559999</v>
      </c>
      <c r="L8" s="6">
        <f t="shared" si="1"/>
        <v>1922.27796647488</v>
      </c>
      <c r="M8" s="6">
        <f t="shared" si="1"/>
        <v>1883.8324071453821</v>
      </c>
      <c r="N8" s="3" t="s">
        <v>8</v>
      </c>
      <c r="O8" s="21"/>
    </row>
    <row r="10" spans="2:15">
      <c r="B10" s="7" t="s">
        <v>29</v>
      </c>
      <c r="C10" s="7"/>
      <c r="D10" s="7"/>
      <c r="E10" s="7"/>
      <c r="F10" s="7">
        <f>F4</f>
        <v>2013</v>
      </c>
      <c r="G10" s="7">
        <f t="shared" ref="G10:M10" si="2">G4</f>
        <v>2014</v>
      </c>
      <c r="H10" s="7">
        <f t="shared" si="2"/>
        <v>2015</v>
      </c>
      <c r="I10" s="7">
        <f t="shared" si="2"/>
        <v>2016</v>
      </c>
      <c r="J10" s="7">
        <f t="shared" si="2"/>
        <v>2017</v>
      </c>
      <c r="K10" s="7">
        <f t="shared" si="2"/>
        <v>2018</v>
      </c>
      <c r="L10" s="7">
        <f t="shared" si="2"/>
        <v>2019</v>
      </c>
      <c r="M10" s="7">
        <f t="shared" si="2"/>
        <v>2020</v>
      </c>
      <c r="N10" s="7"/>
    </row>
    <row r="11" spans="2:15">
      <c r="B11" s="11" t="s">
        <v>0</v>
      </c>
      <c r="C11" s="11"/>
      <c r="D11" s="11"/>
      <c r="E11" s="11"/>
      <c r="F11" s="23">
        <v>0</v>
      </c>
      <c r="G11" s="12">
        <f>F11</f>
        <v>0</v>
      </c>
      <c r="H11" s="12">
        <f t="shared" ref="H11:M11" si="3">G11</f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1" t="s">
        <v>5</v>
      </c>
    </row>
    <row r="12" spans="2:15">
      <c r="B12" s="11" t="str">
        <f>+$B$6</f>
        <v>Leakage sectors</v>
      </c>
      <c r="C12" s="11"/>
      <c r="D12" s="11"/>
      <c r="E12" s="11"/>
      <c r="F12" s="23">
        <v>0.9</v>
      </c>
      <c r="G12" s="23">
        <f t="shared" ref="G12:M12" si="4">+F12+$O$12</f>
        <v>0.875</v>
      </c>
      <c r="H12" s="23">
        <f t="shared" si="4"/>
        <v>0.85</v>
      </c>
      <c r="I12" s="23">
        <f t="shared" si="4"/>
        <v>0.82499999999999996</v>
      </c>
      <c r="J12" s="23">
        <f t="shared" si="4"/>
        <v>0.79999999999999993</v>
      </c>
      <c r="K12" s="23">
        <f t="shared" si="4"/>
        <v>0.77499999999999991</v>
      </c>
      <c r="L12" s="23">
        <f t="shared" si="4"/>
        <v>0.74999999999999989</v>
      </c>
      <c r="M12" s="23">
        <f t="shared" si="4"/>
        <v>0.72499999999999987</v>
      </c>
      <c r="N12" s="11"/>
      <c r="O12" s="36">
        <v>-2.5000000000000001E-2</v>
      </c>
    </row>
    <row r="13" spans="2:15">
      <c r="B13" s="15" t="s">
        <v>1</v>
      </c>
      <c r="C13" s="15"/>
      <c r="D13" s="15"/>
      <c r="E13" s="15"/>
      <c r="F13" s="23">
        <v>0.8</v>
      </c>
      <c r="G13" s="16">
        <f t="shared" ref="G13:L13" si="5">F13+$O$13</f>
        <v>0.68571428571428572</v>
      </c>
      <c r="H13" s="16">
        <f t="shared" si="5"/>
        <v>0.5714285714285714</v>
      </c>
      <c r="I13" s="16">
        <f t="shared" si="5"/>
        <v>0.45714285714285707</v>
      </c>
      <c r="J13" s="16">
        <f t="shared" si="5"/>
        <v>0.34285714285714275</v>
      </c>
      <c r="K13" s="16">
        <f t="shared" si="5"/>
        <v>0.22857142857142845</v>
      </c>
      <c r="L13" s="16">
        <f t="shared" si="5"/>
        <v>0.11428571428571416</v>
      </c>
      <c r="M13" s="16">
        <v>0</v>
      </c>
      <c r="N13" s="15" t="s">
        <v>5</v>
      </c>
      <c r="O13" s="19">
        <f>(M13-F13)/(M10-F10)</f>
        <v>-0.1142857142857143</v>
      </c>
    </row>
    <row r="14" spans="2:15">
      <c r="B14" s="15" t="s">
        <v>43</v>
      </c>
      <c r="C14" s="15"/>
      <c r="D14" s="15"/>
      <c r="E14" s="15"/>
      <c r="F14" s="23">
        <f>+(F6*F12+F7*F13)/(F6+F7)</f>
        <v>0.83181818181818179</v>
      </c>
      <c r="G14" s="23">
        <f t="shared" ref="G14:M14" si="6">+(G6*G12+G7*G13)/(G6+G7)</f>
        <v>0.74594155844155852</v>
      </c>
      <c r="H14" s="23">
        <f t="shared" si="6"/>
        <v>0.66006493506493502</v>
      </c>
      <c r="I14" s="23">
        <f t="shared" si="6"/>
        <v>0.57418831168831164</v>
      </c>
      <c r="J14" s="23">
        <f t="shared" si="6"/>
        <v>0.4883116883116882</v>
      </c>
      <c r="K14" s="23">
        <f t="shared" si="6"/>
        <v>0.40243506493506487</v>
      </c>
      <c r="L14" s="23">
        <f t="shared" si="6"/>
        <v>0.31655844155844137</v>
      </c>
      <c r="M14" s="23">
        <f t="shared" si="6"/>
        <v>0.23068181818181807</v>
      </c>
      <c r="N14" s="15"/>
      <c r="O14" s="19"/>
    </row>
    <row r="15" spans="2:15">
      <c r="B15" s="13" t="s">
        <v>30</v>
      </c>
      <c r="C15" s="13"/>
      <c r="D15" s="13"/>
      <c r="E15" s="13"/>
      <c r="F15" s="14">
        <f t="shared" ref="F15:M15" si="7">((F11*F5)+(F12*F6)+(F13*F7))/F8</f>
        <v>0.40057603686635945</v>
      </c>
      <c r="G15" s="14">
        <f t="shared" si="7"/>
        <v>0.35922070441079662</v>
      </c>
      <c r="H15" s="14">
        <f t="shared" si="7"/>
        <v>0.31786537195523373</v>
      </c>
      <c r="I15" s="14">
        <f t="shared" si="7"/>
        <v>0.27651003949967079</v>
      </c>
      <c r="J15" s="14">
        <f t="shared" si="7"/>
        <v>0.23515470704410793</v>
      </c>
      <c r="K15" s="14">
        <f t="shared" si="7"/>
        <v>0.19379937458854504</v>
      </c>
      <c r="L15" s="14">
        <f t="shared" si="7"/>
        <v>0.15244404213298213</v>
      </c>
      <c r="M15" s="14">
        <f t="shared" si="7"/>
        <v>0.11108870967741932</v>
      </c>
      <c r="N15" s="13" t="s">
        <v>5</v>
      </c>
    </row>
    <row r="16" spans="2:15">
      <c r="B16" s="11"/>
      <c r="C16" s="11"/>
      <c r="D16" s="11"/>
      <c r="E16" s="11"/>
      <c r="F16" s="37"/>
      <c r="G16" s="37"/>
      <c r="H16" s="37"/>
      <c r="I16" s="37"/>
      <c r="J16" s="37"/>
      <c r="K16" s="37"/>
      <c r="L16" s="37"/>
      <c r="M16" s="37"/>
      <c r="N16" s="11"/>
    </row>
    <row r="17" spans="2:16">
      <c r="B17" s="11" t="s">
        <v>44</v>
      </c>
      <c r="C17" s="11"/>
      <c r="D17" s="11"/>
      <c r="E17" s="11"/>
      <c r="F17" s="37">
        <f>1-F14</f>
        <v>0.16818181818181821</v>
      </c>
      <c r="G17" s="37">
        <f t="shared" ref="G17:M17" si="8">1-G14</f>
        <v>0.25405844155844148</v>
      </c>
      <c r="H17" s="37">
        <f t="shared" si="8"/>
        <v>0.33993506493506498</v>
      </c>
      <c r="I17" s="37">
        <f t="shared" si="8"/>
        <v>0.42581168831168836</v>
      </c>
      <c r="J17" s="37">
        <f t="shared" si="8"/>
        <v>0.51168831168831175</v>
      </c>
      <c r="K17" s="37">
        <f t="shared" si="8"/>
        <v>0.59756493506493513</v>
      </c>
      <c r="L17" s="37">
        <f t="shared" si="8"/>
        <v>0.68344155844155863</v>
      </c>
      <c r="M17" s="37">
        <f t="shared" si="8"/>
        <v>0.7693181818181819</v>
      </c>
      <c r="N17" s="11"/>
    </row>
    <row r="18" spans="2:16">
      <c r="B18" s="7" t="s">
        <v>32</v>
      </c>
      <c r="C18" s="7"/>
      <c r="D18" s="7">
        <v>2010</v>
      </c>
      <c r="E18" s="7"/>
      <c r="F18" s="7">
        <f>F10</f>
        <v>2013</v>
      </c>
      <c r="G18" s="7">
        <f t="shared" ref="G18:M18" si="9">G10</f>
        <v>2014</v>
      </c>
      <c r="H18" s="7">
        <f t="shared" si="9"/>
        <v>2015</v>
      </c>
      <c r="I18" s="7">
        <f t="shared" si="9"/>
        <v>2016</v>
      </c>
      <c r="J18" s="7">
        <f t="shared" si="9"/>
        <v>2017</v>
      </c>
      <c r="K18" s="7">
        <f t="shared" si="9"/>
        <v>2018</v>
      </c>
      <c r="L18" s="7">
        <f t="shared" si="9"/>
        <v>2019</v>
      </c>
      <c r="M18" s="7">
        <f t="shared" si="9"/>
        <v>2020</v>
      </c>
      <c r="N18" s="7"/>
    </row>
    <row r="19" spans="2:16">
      <c r="B19" s="11" t="s">
        <v>32</v>
      </c>
      <c r="D19" s="11">
        <f>+(2100+100)*0.935+150</f>
        <v>2207</v>
      </c>
      <c r="E19" s="11"/>
      <c r="F19" s="38">
        <f>+D19*(1-3*O19)</f>
        <v>2091.7946000000002</v>
      </c>
      <c r="G19" s="38">
        <f>+F19*(1-$O$19)</f>
        <v>2055.3973739600001</v>
      </c>
      <c r="H19" s="38">
        <f t="shared" ref="H19:M19" si="10">+G19*(1-$O$19)</f>
        <v>2019.6334596530962</v>
      </c>
      <c r="I19" s="38">
        <f t="shared" si="10"/>
        <v>1984.4918374551323</v>
      </c>
      <c r="J19" s="38">
        <f t="shared" si="10"/>
        <v>1949.961679483413</v>
      </c>
      <c r="K19" s="38">
        <f t="shared" si="10"/>
        <v>1916.0323462604017</v>
      </c>
      <c r="L19" s="38">
        <f t="shared" si="10"/>
        <v>1882.6933834354709</v>
      </c>
      <c r="M19" s="38">
        <f t="shared" si="10"/>
        <v>1849.9345185636937</v>
      </c>
      <c r="N19" s="11"/>
      <c r="O19" s="36">
        <v>1.7399999999999999E-2</v>
      </c>
      <c r="P19" s="1" t="s">
        <v>33</v>
      </c>
    </row>
    <row r="20" spans="2:16">
      <c r="B20" s="11" t="s">
        <v>31</v>
      </c>
      <c r="C20" s="11"/>
      <c r="D20" s="11"/>
      <c r="E20" s="11"/>
      <c r="F20" s="38">
        <f>+$F$6*F12+$F$7*F13*F$19/F$8</f>
        <v>848.70756774193546</v>
      </c>
      <c r="G20" s="38">
        <f t="shared" ref="G20:M20" si="11">+$F$6*G12+$F$7*G13*G$19/G$8</f>
        <v>763.15062483664065</v>
      </c>
      <c r="H20" s="38">
        <f t="shared" si="11"/>
        <v>677.17994597320001</v>
      </c>
      <c r="I20" s="38">
        <f t="shared" si="11"/>
        <v>590.79387952103366</v>
      </c>
      <c r="J20" s="38">
        <f t="shared" si="11"/>
        <v>503.99076799798542</v>
      </c>
      <c r="K20" s="38">
        <f t="shared" si="11"/>
        <v>416.76894805089819</v>
      </c>
      <c r="L20" s="38">
        <f t="shared" si="11"/>
        <v>329.12675043612882</v>
      </c>
      <c r="M20" s="38">
        <f t="shared" si="11"/>
        <v>241.06249999999994</v>
      </c>
      <c r="N20" s="11"/>
    </row>
    <row r="21" spans="2:16">
      <c r="B21" s="11" t="s">
        <v>34</v>
      </c>
      <c r="C21" s="11"/>
      <c r="D21" s="11"/>
      <c r="E21" s="11"/>
      <c r="F21" s="38">
        <f>+F19-F20</f>
        <v>1243.0870322580647</v>
      </c>
      <c r="G21" s="38">
        <f t="shared" ref="G21:M21" si="12">+G19-G20</f>
        <v>1292.2467491233595</v>
      </c>
      <c r="H21" s="38">
        <f t="shared" si="12"/>
        <v>1342.4535136798963</v>
      </c>
      <c r="I21" s="38">
        <f t="shared" si="12"/>
        <v>1393.6979579340987</v>
      </c>
      <c r="J21" s="38">
        <f t="shared" si="12"/>
        <v>1445.9709114854277</v>
      </c>
      <c r="K21" s="38">
        <f t="shared" si="12"/>
        <v>1499.2633982095035</v>
      </c>
      <c r="L21" s="38">
        <f t="shared" si="12"/>
        <v>1553.5666329993421</v>
      </c>
      <c r="M21" s="38">
        <f t="shared" si="12"/>
        <v>1608.8720185636937</v>
      </c>
      <c r="N21" s="11"/>
    </row>
    <row r="23" spans="2:16">
      <c r="B23" s="7" t="s">
        <v>24</v>
      </c>
      <c r="C23" s="7"/>
      <c r="D23" s="7"/>
      <c r="E23" s="7"/>
      <c r="F23" s="7">
        <f>F10</f>
        <v>2013</v>
      </c>
      <c r="G23" s="7">
        <f t="shared" ref="G23:M23" si="13">G10</f>
        <v>2014</v>
      </c>
      <c r="H23" s="7">
        <f t="shared" si="13"/>
        <v>2015</v>
      </c>
      <c r="I23" s="7">
        <f t="shared" si="13"/>
        <v>2016</v>
      </c>
      <c r="J23" s="7">
        <f t="shared" si="13"/>
        <v>2017</v>
      </c>
      <c r="K23" s="7">
        <f t="shared" si="13"/>
        <v>2018</v>
      </c>
      <c r="L23" s="7">
        <f t="shared" si="13"/>
        <v>2019</v>
      </c>
      <c r="M23" s="7">
        <f t="shared" si="13"/>
        <v>2020</v>
      </c>
      <c r="N23" s="7"/>
    </row>
    <row r="24" spans="2:16">
      <c r="B24" s="13" t="s">
        <v>25</v>
      </c>
      <c r="C24" s="13"/>
      <c r="D24" s="13"/>
      <c r="E24" s="13"/>
      <c r="F24" s="24">
        <v>25</v>
      </c>
      <c r="G24" s="13">
        <f t="shared" ref="G24:M24" si="14">+F24*(1+$O$24)</f>
        <v>26.25</v>
      </c>
      <c r="H24" s="13">
        <f t="shared" si="14"/>
        <v>27.5625</v>
      </c>
      <c r="I24" s="13">
        <f t="shared" si="14"/>
        <v>28.940625000000001</v>
      </c>
      <c r="J24" s="13">
        <f t="shared" si="14"/>
        <v>30.387656250000003</v>
      </c>
      <c r="K24" s="13">
        <f t="shared" si="14"/>
        <v>31.907039062500004</v>
      </c>
      <c r="L24" s="13">
        <f t="shared" si="14"/>
        <v>33.502391015625008</v>
      </c>
      <c r="M24" s="13">
        <f t="shared" si="14"/>
        <v>35.177510566406262</v>
      </c>
      <c r="N24" s="13" t="s">
        <v>4</v>
      </c>
      <c r="O24" s="35">
        <v>0.05</v>
      </c>
    </row>
    <row r="25" spans="2:16">
      <c r="B25" s="1" t="s">
        <v>40</v>
      </c>
      <c r="F25" s="1">
        <f>+F24*F21</f>
        <v>31077.175806451618</v>
      </c>
      <c r="G25" s="1">
        <f t="shared" ref="G25:M25" si="15">+G24*G21</f>
        <v>33921.477164488184</v>
      </c>
      <c r="H25" s="1">
        <f t="shared" si="15"/>
        <v>37001.374970802142</v>
      </c>
      <c r="I25" s="1">
        <f t="shared" si="15"/>
        <v>40334.489963836524</v>
      </c>
      <c r="J25" s="1">
        <f t="shared" si="15"/>
        <v>43939.667005718358</v>
      </c>
      <c r="K25" s="1">
        <f t="shared" si="15"/>
        <v>47837.055811647129</v>
      </c>
      <c r="L25" s="1">
        <f t="shared" si="15"/>
        <v>52048.196807571956</v>
      </c>
      <c r="M25" s="1">
        <f t="shared" si="15"/>
        <v>56596.112433019705</v>
      </c>
    </row>
    <row r="27" spans="2:16">
      <c r="B27" s="7" t="s">
        <v>41</v>
      </c>
      <c r="C27" s="7"/>
      <c r="D27" s="7"/>
      <c r="E27" s="7"/>
      <c r="F27" s="7">
        <f>F10</f>
        <v>2013</v>
      </c>
      <c r="G27" s="7">
        <f t="shared" ref="G27:M27" si="16">G10</f>
        <v>2014</v>
      </c>
      <c r="H27" s="7">
        <f t="shared" si="16"/>
        <v>2015</v>
      </c>
      <c r="I27" s="7">
        <f t="shared" si="16"/>
        <v>2016</v>
      </c>
      <c r="J27" s="7">
        <f t="shared" si="16"/>
        <v>2017</v>
      </c>
      <c r="K27" s="7">
        <f t="shared" si="16"/>
        <v>2018</v>
      </c>
      <c r="L27" s="7">
        <f t="shared" si="16"/>
        <v>2019</v>
      </c>
      <c r="M27" s="7">
        <f t="shared" si="16"/>
        <v>2020</v>
      </c>
      <c r="N27" s="7"/>
    </row>
    <row r="28" spans="2:16">
      <c r="B28" s="11" t="s">
        <v>0</v>
      </c>
      <c r="C28" s="11"/>
      <c r="D28" s="11"/>
      <c r="E28" s="11"/>
      <c r="F28" s="17">
        <f>+F5*(1-F11)*(F$19/F$8)</f>
        <v>1084.4557258064517</v>
      </c>
      <c r="G28" s="17">
        <f t="shared" ref="G28:M28" si="17">+G5*(1-G11)*(G$19/G$8)</f>
        <v>1065.5861961774194</v>
      </c>
      <c r="H28" s="17">
        <f t="shared" si="17"/>
        <v>1047.0449963639326</v>
      </c>
      <c r="I28" s="17">
        <f t="shared" si="17"/>
        <v>1028.8264134271999</v>
      </c>
      <c r="J28" s="17">
        <f t="shared" si="17"/>
        <v>1010.9248338335667</v>
      </c>
      <c r="K28" s="17">
        <f t="shared" si="17"/>
        <v>993.33474172486262</v>
      </c>
      <c r="L28" s="17">
        <f t="shared" si="17"/>
        <v>976.05071721884997</v>
      </c>
      <c r="M28" s="17">
        <f t="shared" si="17"/>
        <v>959.06743473924212</v>
      </c>
      <c r="N28" s="11"/>
    </row>
    <row r="29" spans="2:16">
      <c r="B29" s="11" t="str">
        <f>+$B$6</f>
        <v>Leakage sectors</v>
      </c>
      <c r="C29" s="11"/>
      <c r="D29" s="11"/>
      <c r="E29" s="11"/>
      <c r="F29" s="17">
        <f>+F6*(1-F12)*(F$19/F$8)</f>
        <v>32.051691451612903</v>
      </c>
      <c r="G29" s="17">
        <f t="shared" ref="G29:M29" si="18">+G6*(1-G12)*(G$19/G$8)</f>
        <v>39.367490025443544</v>
      </c>
      <c r="H29" s="17">
        <f t="shared" si="18"/>
        <v>46.418994838801012</v>
      </c>
      <c r="I29" s="17">
        <f t="shared" si="18"/>
        <v>53.213188383373513</v>
      </c>
      <c r="J29" s="17">
        <f t="shared" si="18"/>
        <v>59.756890177717516</v>
      </c>
      <c r="K29" s="17">
        <f t="shared" si="18"/>
        <v>66.05676032470339</v>
      </c>
      <c r="L29" s="17">
        <f t="shared" si="18"/>
        <v>72.11930299450394</v>
      </c>
      <c r="M29" s="17">
        <f t="shared" si="18"/>
        <v>77.950869834639533</v>
      </c>
      <c r="N29" s="11"/>
    </row>
    <row r="30" spans="2:16">
      <c r="B30" s="15" t="s">
        <v>1</v>
      </c>
      <c r="C30" s="15"/>
      <c r="D30" s="15"/>
      <c r="E30" s="15"/>
      <c r="F30" s="17">
        <f>+F7*(1-F13)*(F$19/F$8)</f>
        <v>137.36439193548387</v>
      </c>
      <c r="G30" s="17">
        <f t="shared" ref="G30:M30" si="19">+G7*(1-G13)*(G$19/G$8)</f>
        <v>212.10239523912443</v>
      </c>
      <c r="H30" s="17">
        <f t="shared" si="19"/>
        <v>284.19792758449597</v>
      </c>
      <c r="I30" s="17">
        <f t="shared" si="19"/>
        <v>353.72031928306586</v>
      </c>
      <c r="J30" s="17">
        <f t="shared" si="19"/>
        <v>420.73728798597023</v>
      </c>
      <c r="K30" s="17">
        <f t="shared" si="19"/>
        <v>485.31497381414727</v>
      </c>
      <c r="L30" s="17">
        <f t="shared" si="19"/>
        <v>547.51797375419324</v>
      </c>
      <c r="M30" s="17">
        <f t="shared" si="19"/>
        <v>607.40937533485339</v>
      </c>
      <c r="N30" s="15"/>
    </row>
    <row r="31" spans="2:16">
      <c r="B31" s="13" t="s">
        <v>2</v>
      </c>
      <c r="C31" s="13"/>
      <c r="D31" s="13"/>
      <c r="E31" s="13"/>
      <c r="F31" s="18">
        <f>+SUM(F28:F30)</f>
        <v>1253.8718091935484</v>
      </c>
      <c r="G31" s="18">
        <f t="shared" ref="G31:M31" si="20">+SUM(G28:G30)</f>
        <v>1317.0560814419875</v>
      </c>
      <c r="H31" s="18">
        <f t="shared" si="20"/>
        <v>1377.6619187872295</v>
      </c>
      <c r="I31" s="18">
        <f t="shared" si="20"/>
        <v>1435.7599210936394</v>
      </c>
      <c r="J31" s="18">
        <f t="shared" si="20"/>
        <v>1491.4190119972543</v>
      </c>
      <c r="K31" s="18">
        <f t="shared" si="20"/>
        <v>1544.7064758637134</v>
      </c>
      <c r="L31" s="18">
        <f t="shared" si="20"/>
        <v>1595.6879939675471</v>
      </c>
      <c r="M31" s="18">
        <f t="shared" si="20"/>
        <v>1644.4276799087349</v>
      </c>
      <c r="N31" s="13"/>
    </row>
    <row r="32" spans="2:16">
      <c r="B32" s="11"/>
      <c r="C32" s="11"/>
      <c r="D32" s="11"/>
      <c r="E32" s="11"/>
      <c r="F32" s="17"/>
      <c r="G32" s="17"/>
      <c r="H32" s="17"/>
      <c r="I32" s="17"/>
      <c r="J32" s="17"/>
      <c r="K32" s="17"/>
      <c r="L32" s="17"/>
      <c r="M32" s="17"/>
      <c r="N32" s="11"/>
    </row>
    <row r="33" spans="2:17">
      <c r="B33" s="39" t="s">
        <v>42</v>
      </c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1"/>
    </row>
    <row r="34" spans="2:17">
      <c r="B34" s="11" t="s">
        <v>0</v>
      </c>
      <c r="C34" s="11"/>
      <c r="D34" s="11"/>
      <c r="E34" s="11"/>
      <c r="F34" s="17">
        <f>+F28*F24</f>
        <v>27111.393145161292</v>
      </c>
      <c r="G34" s="17">
        <f t="shared" ref="G34:M34" si="21">+G28*G24</f>
        <v>27971.637649657259</v>
      </c>
      <c r="H34" s="17">
        <f t="shared" si="21"/>
        <v>28859.177712280893</v>
      </c>
      <c r="I34" s="17">
        <f t="shared" si="21"/>
        <v>29774.879421091558</v>
      </c>
      <c r="J34" s="17">
        <f t="shared" si="21"/>
        <v>30719.636345122799</v>
      </c>
      <c r="K34" s="17">
        <f t="shared" si="21"/>
        <v>31694.370406353544</v>
      </c>
      <c r="L34" s="17">
        <f t="shared" si="21"/>
        <v>32700.032779347144</v>
      </c>
      <c r="M34" s="17">
        <f t="shared" si="21"/>
        <v>33737.604819435837</v>
      </c>
      <c r="N34" s="11"/>
    </row>
    <row r="35" spans="2:17">
      <c r="B35" s="11" t="s">
        <v>39</v>
      </c>
      <c r="C35" s="11"/>
      <c r="D35" s="11"/>
      <c r="E35" s="11"/>
      <c r="F35" s="17">
        <f>+(F29+F30)*F24</f>
        <v>4235.4020846774192</v>
      </c>
      <c r="G35" s="17">
        <f t="shared" ref="G35:M35" si="22">+(G29+G30)*G24</f>
        <v>6601.0844881949097</v>
      </c>
      <c r="H35" s="17">
        <f t="shared" si="22"/>
        <v>9112.628924292123</v>
      </c>
      <c r="I35" s="17">
        <f t="shared" si="22"/>
        <v>11776.910045309047</v>
      </c>
      <c r="J35" s="17">
        <f t="shared" si="22"/>
        <v>14601.091916164401</v>
      </c>
      <c r="K35" s="17">
        <f t="shared" si="22"/>
        <v>17592.639459126676</v>
      </c>
      <c r="L35" s="17">
        <f t="shared" si="22"/>
        <v>20759.3303334919</v>
      </c>
      <c r="M35" s="17">
        <f t="shared" si="22"/>
        <v>24109.267266244624</v>
      </c>
      <c r="N35" s="11"/>
    </row>
    <row r="36" spans="2:17">
      <c r="B36" s="11"/>
      <c r="C36" s="11"/>
      <c r="D36" s="11"/>
      <c r="E36" s="11"/>
      <c r="F36" s="17"/>
      <c r="G36" s="17"/>
      <c r="H36" s="17"/>
      <c r="I36" s="17"/>
      <c r="J36" s="17"/>
      <c r="K36" s="17"/>
      <c r="L36" s="17"/>
      <c r="M36" s="17"/>
      <c r="N36" s="11"/>
    </row>
    <row r="37" spans="2:17">
      <c r="B37" s="11"/>
      <c r="C37" s="11"/>
      <c r="D37" s="11"/>
      <c r="E37" s="11"/>
      <c r="F37" s="17"/>
      <c r="G37" s="17"/>
      <c r="H37" s="17"/>
      <c r="I37" s="17"/>
      <c r="J37" s="17"/>
      <c r="K37" s="17"/>
      <c r="L37" s="17"/>
      <c r="M37" s="17"/>
      <c r="N37" s="11"/>
    </row>
    <row r="39" spans="2:17">
      <c r="B39" s="1" t="s">
        <v>17</v>
      </c>
      <c r="F39" s="33">
        <v>242</v>
      </c>
      <c r="G39" s="1" t="s">
        <v>8</v>
      </c>
      <c r="H39" s="34"/>
      <c r="N39" s="1" t="s">
        <v>6</v>
      </c>
    </row>
    <row r="40" spans="2:17">
      <c r="B40" s="1" t="s">
        <v>18</v>
      </c>
      <c r="F40" s="33">
        <v>1785</v>
      </c>
      <c r="G40" s="1" t="s">
        <v>8</v>
      </c>
    </row>
    <row r="41" spans="2:17">
      <c r="B41" s="1" t="s">
        <v>19</v>
      </c>
      <c r="F41" s="2">
        <f>F39/F40</f>
        <v>0.13557422969187674</v>
      </c>
    </row>
    <row r="42" spans="2:17">
      <c r="B42" s="1" t="s">
        <v>20</v>
      </c>
      <c r="F42" s="32">
        <v>0.9</v>
      </c>
    </row>
    <row r="43" spans="2:17">
      <c r="B43" s="1" t="s">
        <v>21</v>
      </c>
      <c r="F43" s="2">
        <f>F42*F41</f>
        <v>0.12201680672268907</v>
      </c>
    </row>
    <row r="45" spans="2:17">
      <c r="B45" s="7" t="s">
        <v>22</v>
      </c>
      <c r="C45" s="7"/>
      <c r="D45" s="7"/>
      <c r="E45" s="7"/>
      <c r="F45" s="7">
        <f>F$4</f>
        <v>2013</v>
      </c>
      <c r="G45" s="7">
        <f t="shared" ref="G45:M45" si="23">G$4</f>
        <v>2014</v>
      </c>
      <c r="H45" s="7">
        <f t="shared" si="23"/>
        <v>2015</v>
      </c>
      <c r="I45" s="7">
        <f t="shared" si="23"/>
        <v>2016</v>
      </c>
      <c r="J45" s="7">
        <f t="shared" si="23"/>
        <v>2017</v>
      </c>
      <c r="K45" s="7">
        <f t="shared" si="23"/>
        <v>2018</v>
      </c>
      <c r="L45" s="7">
        <f t="shared" si="23"/>
        <v>2019</v>
      </c>
      <c r="M45" s="7">
        <f t="shared" si="23"/>
        <v>2020</v>
      </c>
      <c r="N45" s="7"/>
    </row>
    <row r="46" spans="2:17">
      <c r="B46" s="13" t="s">
        <v>2</v>
      </c>
      <c r="C46" s="13"/>
      <c r="D46" s="13"/>
      <c r="E46" s="13"/>
      <c r="F46" s="29">
        <f>$F$43*F31</f>
        <v>152.99343419739765</v>
      </c>
      <c r="G46" s="29">
        <f t="shared" ref="G46:M46" si="24">$F$43*G31</f>
        <v>160.70297733224922</v>
      </c>
      <c r="H46" s="29">
        <f t="shared" si="24"/>
        <v>168.09790807387034</v>
      </c>
      <c r="I46" s="29">
        <f t="shared" si="24"/>
        <v>175.18684079226591</v>
      </c>
      <c r="J46" s="29">
        <f t="shared" si="24"/>
        <v>181.97818532941287</v>
      </c>
      <c r="K46" s="29">
        <f t="shared" si="24"/>
        <v>188.48015150874889</v>
      </c>
      <c r="L46" s="29">
        <f t="shared" si="24"/>
        <v>194.70075354965363</v>
      </c>
      <c r="M46" s="29">
        <f t="shared" si="24"/>
        <v>200.64781438886411</v>
      </c>
      <c r="N46" s="13" t="s">
        <v>11</v>
      </c>
      <c r="Q46" s="1">
        <f>COLUMN()+ROW()</f>
        <v>63</v>
      </c>
    </row>
    <row r="47" spans="2:17">
      <c r="Q47" s="1">
        <f>ROW()</f>
        <v>47</v>
      </c>
    </row>
    <row r="48" spans="2:17">
      <c r="Q48" s="1">
        <f>COLUMN()</f>
        <v>17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2"/>
  <sheetViews>
    <sheetView workbookViewId="0">
      <selection activeCell="B1" sqref="B1"/>
    </sheetView>
  </sheetViews>
  <sheetFormatPr baseColWidth="10" defaultColWidth="8.7109375" defaultRowHeight="13" x14ac:dyDescent="0"/>
  <cols>
    <col min="1" max="1" width="2.5703125" style="1" customWidth="1"/>
    <col min="2" max="2" width="19.42578125" style="1" bestFit="1" customWidth="1"/>
    <col min="3" max="16384" width="8.7109375" style="1"/>
  </cols>
  <sheetData>
    <row r="1" spans="2:12">
      <c r="B1" s="30"/>
    </row>
    <row r="2" spans="2:12">
      <c r="B2" s="1" t="s">
        <v>15</v>
      </c>
    </row>
    <row r="4" spans="2:12">
      <c r="B4" s="7" t="s">
        <v>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  <c r="J4" s="7">
        <v>2020</v>
      </c>
      <c r="K4" s="7"/>
      <c r="L4" s="7" t="s">
        <v>7</v>
      </c>
    </row>
    <row r="5" spans="2:12">
      <c r="B5" s="11" t="s">
        <v>0</v>
      </c>
      <c r="C5" s="26">
        <v>163.25</v>
      </c>
      <c r="D5" s="4">
        <f t="shared" ref="D5:J5" si="0">C5*(1-$L$5)</f>
        <v>160.40944999999999</v>
      </c>
      <c r="E5" s="4">
        <f t="shared" si="0"/>
        <v>157.61832557</v>
      </c>
      <c r="F5" s="4">
        <f t="shared" si="0"/>
        <v>154.87576670508201</v>
      </c>
      <c r="G5" s="4">
        <f t="shared" si="0"/>
        <v>152.1809283644136</v>
      </c>
      <c r="H5" s="4">
        <f t="shared" si="0"/>
        <v>149.53298021087281</v>
      </c>
      <c r="I5" s="4">
        <f t="shared" si="0"/>
        <v>146.93110635520364</v>
      </c>
      <c r="J5" s="4">
        <f t="shared" si="0"/>
        <v>144.3745051046231</v>
      </c>
      <c r="K5" s="3" t="s">
        <v>8</v>
      </c>
      <c r="L5" s="22">
        <v>1.7399999999999999E-2</v>
      </c>
    </row>
    <row r="6" spans="2:12">
      <c r="B6" s="15" t="s">
        <v>1</v>
      </c>
      <c r="C6" s="8">
        <f t="shared" ref="C6:J6" si="1">C7-C5</f>
        <v>134.16697500000004</v>
      </c>
      <c r="D6" s="8">
        <f t="shared" si="1"/>
        <v>131.83246963500005</v>
      </c>
      <c r="E6" s="8">
        <f t="shared" si="1"/>
        <v>129.53858466335103</v>
      </c>
      <c r="F6" s="8">
        <f t="shared" si="1"/>
        <v>127.28461329020871</v>
      </c>
      <c r="G6" s="8">
        <f t="shared" si="1"/>
        <v>125.06986101895905</v>
      </c>
      <c r="H6" s="8">
        <f t="shared" si="1"/>
        <v>122.89364543722914</v>
      </c>
      <c r="I6" s="8">
        <f t="shared" si="1"/>
        <v>120.75529600662136</v>
      </c>
      <c r="J6" s="8">
        <f t="shared" si="1"/>
        <v>118.65415385610618</v>
      </c>
      <c r="K6" s="9" t="s">
        <v>9</v>
      </c>
      <c r="L6" s="25">
        <f>-((J6/C6)^(1/(J4-C4))-1)</f>
        <v>1.7399999999999971E-2</v>
      </c>
    </row>
    <row r="7" spans="2:12">
      <c r="B7" s="13" t="s">
        <v>2</v>
      </c>
      <c r="C7" s="31">
        <f>278.35*(1+AVERAGE(6.6%,7.1%))</f>
        <v>297.41697500000004</v>
      </c>
      <c r="D7" s="6">
        <f>C7*(1-$L$7)</f>
        <v>292.24191963500004</v>
      </c>
      <c r="E7" s="6">
        <f t="shared" ref="E7:J7" si="2">D7*(1-$L$7)</f>
        <v>287.15691023335103</v>
      </c>
      <c r="F7" s="6">
        <f t="shared" si="2"/>
        <v>282.16037999529073</v>
      </c>
      <c r="G7" s="6">
        <f t="shared" si="2"/>
        <v>277.25078938337265</v>
      </c>
      <c r="H7" s="6">
        <f t="shared" si="2"/>
        <v>272.42662564810195</v>
      </c>
      <c r="I7" s="6">
        <f t="shared" si="2"/>
        <v>267.686402361825</v>
      </c>
      <c r="J7" s="6">
        <f t="shared" si="2"/>
        <v>263.02865896072927</v>
      </c>
      <c r="K7" s="5" t="s">
        <v>10</v>
      </c>
      <c r="L7" s="21">
        <v>1.7399999999999999E-2</v>
      </c>
    </row>
    <row r="9" spans="2:12">
      <c r="B9" s="7" t="s">
        <v>13</v>
      </c>
      <c r="C9" s="7">
        <f t="shared" ref="C9:J9" si="3">C4</f>
        <v>2013</v>
      </c>
      <c r="D9" s="7">
        <f t="shared" si="3"/>
        <v>2014</v>
      </c>
      <c r="E9" s="7">
        <f t="shared" si="3"/>
        <v>2015</v>
      </c>
      <c r="F9" s="7">
        <f t="shared" si="3"/>
        <v>2016</v>
      </c>
      <c r="G9" s="7">
        <f t="shared" si="3"/>
        <v>2017</v>
      </c>
      <c r="H9" s="7">
        <f t="shared" si="3"/>
        <v>2018</v>
      </c>
      <c r="I9" s="7">
        <f t="shared" si="3"/>
        <v>2019</v>
      </c>
      <c r="J9" s="7">
        <f t="shared" si="3"/>
        <v>2020</v>
      </c>
      <c r="K9" s="7"/>
    </row>
    <row r="10" spans="2:12">
      <c r="B10" s="11" t="s">
        <v>0</v>
      </c>
      <c r="C10" s="23">
        <v>1</v>
      </c>
      <c r="D10" s="12">
        <f t="shared" ref="D10:J10" si="4">C10</f>
        <v>1</v>
      </c>
      <c r="E10" s="12">
        <f t="shared" si="4"/>
        <v>1</v>
      </c>
      <c r="F10" s="12">
        <f t="shared" si="4"/>
        <v>1</v>
      </c>
      <c r="G10" s="12">
        <f t="shared" si="4"/>
        <v>1</v>
      </c>
      <c r="H10" s="12">
        <f t="shared" si="4"/>
        <v>1</v>
      </c>
      <c r="I10" s="12">
        <f t="shared" si="4"/>
        <v>1</v>
      </c>
      <c r="J10" s="12">
        <f t="shared" si="4"/>
        <v>1</v>
      </c>
      <c r="K10" s="11" t="s">
        <v>5</v>
      </c>
    </row>
    <row r="11" spans="2:12">
      <c r="B11" s="15" t="s">
        <v>1</v>
      </c>
      <c r="C11" s="23">
        <v>0.2</v>
      </c>
      <c r="D11" s="16">
        <f t="shared" ref="D11:I11" si="5">C11+$L$11</f>
        <v>0.31428571428571428</v>
      </c>
      <c r="E11" s="16">
        <f t="shared" si="5"/>
        <v>0.4285714285714286</v>
      </c>
      <c r="F11" s="16">
        <f t="shared" si="5"/>
        <v>0.54285714285714293</v>
      </c>
      <c r="G11" s="16">
        <f t="shared" si="5"/>
        <v>0.65714285714285725</v>
      </c>
      <c r="H11" s="16">
        <f t="shared" si="5"/>
        <v>0.77142857142857157</v>
      </c>
      <c r="I11" s="16">
        <f t="shared" si="5"/>
        <v>0.8857142857142859</v>
      </c>
      <c r="J11" s="16">
        <v>1</v>
      </c>
      <c r="K11" s="15" t="s">
        <v>5</v>
      </c>
      <c r="L11" s="19">
        <f>(J11-C11)/(J9-C9)</f>
        <v>0.1142857142857143</v>
      </c>
    </row>
    <row r="12" spans="2:12">
      <c r="B12" s="13" t="s">
        <v>2</v>
      </c>
      <c r="C12" s="14">
        <f t="shared" ref="C12:J12" si="6">((C10*C5)+(C11*C6))/C7</f>
        <v>0.63911414269478051</v>
      </c>
      <c r="D12" s="14">
        <f t="shared" si="6"/>
        <v>0.6906692651669547</v>
      </c>
      <c r="E12" s="14">
        <f t="shared" si="6"/>
        <v>0.74222438763912901</v>
      </c>
      <c r="F12" s="14">
        <f t="shared" si="6"/>
        <v>0.79377951011130321</v>
      </c>
      <c r="G12" s="14">
        <f t="shared" si="6"/>
        <v>0.84533463258347752</v>
      </c>
      <c r="H12" s="14">
        <f t="shared" si="6"/>
        <v>0.89688975505565172</v>
      </c>
      <c r="I12" s="14">
        <f t="shared" si="6"/>
        <v>0.9484448775278258</v>
      </c>
      <c r="J12" s="14">
        <f t="shared" si="6"/>
        <v>1</v>
      </c>
      <c r="K12" s="13" t="s">
        <v>5</v>
      </c>
    </row>
    <row r="14" spans="2:12">
      <c r="B14" s="7"/>
      <c r="C14" s="7">
        <f t="shared" ref="C14:J14" si="7">C9</f>
        <v>2013</v>
      </c>
      <c r="D14" s="7">
        <f t="shared" si="7"/>
        <v>2014</v>
      </c>
      <c r="E14" s="7">
        <f t="shared" si="7"/>
        <v>2015</v>
      </c>
      <c r="F14" s="7">
        <f t="shared" si="7"/>
        <v>2016</v>
      </c>
      <c r="G14" s="7">
        <f t="shared" si="7"/>
        <v>2017</v>
      </c>
      <c r="H14" s="7">
        <f t="shared" si="7"/>
        <v>2018</v>
      </c>
      <c r="I14" s="7">
        <f t="shared" si="7"/>
        <v>2019</v>
      </c>
      <c r="J14" s="7">
        <f t="shared" si="7"/>
        <v>2020</v>
      </c>
      <c r="K14" s="7"/>
    </row>
    <row r="15" spans="2:12">
      <c r="B15" s="13" t="s">
        <v>3</v>
      </c>
      <c r="C15" s="24">
        <v>20</v>
      </c>
      <c r="D15" s="13">
        <f t="shared" ref="D15:J15" si="8">C15</f>
        <v>20</v>
      </c>
      <c r="E15" s="13">
        <f t="shared" si="8"/>
        <v>20</v>
      </c>
      <c r="F15" s="13">
        <f t="shared" si="8"/>
        <v>20</v>
      </c>
      <c r="G15" s="13">
        <f t="shared" si="8"/>
        <v>20</v>
      </c>
      <c r="H15" s="13">
        <f t="shared" si="8"/>
        <v>20</v>
      </c>
      <c r="I15" s="13">
        <f t="shared" si="8"/>
        <v>20</v>
      </c>
      <c r="J15" s="13">
        <f t="shared" si="8"/>
        <v>20</v>
      </c>
      <c r="K15" s="13" t="s">
        <v>4</v>
      </c>
    </row>
    <row r="17" spans="2:11">
      <c r="B17" s="7" t="s">
        <v>14</v>
      </c>
      <c r="C17" s="7">
        <f t="shared" ref="C17:J17" si="9">C9</f>
        <v>2013</v>
      </c>
      <c r="D17" s="7">
        <f t="shared" si="9"/>
        <v>2014</v>
      </c>
      <c r="E17" s="7">
        <f t="shared" si="9"/>
        <v>2015</v>
      </c>
      <c r="F17" s="7">
        <f t="shared" si="9"/>
        <v>2016</v>
      </c>
      <c r="G17" s="7">
        <f t="shared" si="9"/>
        <v>2017</v>
      </c>
      <c r="H17" s="7">
        <f t="shared" si="9"/>
        <v>2018</v>
      </c>
      <c r="I17" s="7">
        <f t="shared" si="9"/>
        <v>2019</v>
      </c>
      <c r="J17" s="7">
        <f t="shared" si="9"/>
        <v>2020</v>
      </c>
      <c r="K17" s="7"/>
    </row>
    <row r="18" spans="2:11">
      <c r="B18" s="11" t="s">
        <v>0</v>
      </c>
      <c r="C18" s="27">
        <f t="shared" ref="C18:J20" si="10">C10*C5*C$15/1000</f>
        <v>3.2650000000000001</v>
      </c>
      <c r="D18" s="27">
        <f t="shared" si="10"/>
        <v>3.208189</v>
      </c>
      <c r="E18" s="27">
        <f t="shared" si="10"/>
        <v>3.1523665113999999</v>
      </c>
      <c r="F18" s="27">
        <f t="shared" si="10"/>
        <v>3.0975153341016401</v>
      </c>
      <c r="G18" s="27">
        <f t="shared" si="10"/>
        <v>3.0436185672882718</v>
      </c>
      <c r="H18" s="27">
        <f t="shared" si="10"/>
        <v>2.990659604217456</v>
      </c>
      <c r="I18" s="27">
        <f t="shared" si="10"/>
        <v>2.9386221271040727</v>
      </c>
      <c r="J18" s="27">
        <f t="shared" si="10"/>
        <v>2.8874901020924617</v>
      </c>
      <c r="K18" s="11" t="s">
        <v>11</v>
      </c>
    </row>
    <row r="19" spans="2:11">
      <c r="B19" s="15" t="s">
        <v>1</v>
      </c>
      <c r="C19" s="28">
        <f t="shared" si="10"/>
        <v>0.5366679000000002</v>
      </c>
      <c r="D19" s="28">
        <f t="shared" si="10"/>
        <v>0.82866123770571465</v>
      </c>
      <c r="E19" s="28">
        <f t="shared" si="10"/>
        <v>1.1103307256858661</v>
      </c>
      <c r="F19" s="28">
        <f t="shared" si="10"/>
        <v>1.3819472300079803</v>
      </c>
      <c r="G19" s="28">
        <f t="shared" si="10"/>
        <v>1.6437753162491764</v>
      </c>
      <c r="H19" s="28">
        <f t="shared" si="10"/>
        <v>1.8960733867458215</v>
      </c>
      <c r="I19" s="28">
        <f t="shared" si="10"/>
        <v>2.1390938149744363</v>
      </c>
      <c r="J19" s="28">
        <f t="shared" si="10"/>
        <v>2.3730830771221236</v>
      </c>
      <c r="K19" s="15" t="s">
        <v>11</v>
      </c>
    </row>
    <row r="20" spans="2:11">
      <c r="B20" s="13" t="s">
        <v>2</v>
      </c>
      <c r="C20" s="29">
        <f t="shared" si="10"/>
        <v>3.8016679</v>
      </c>
      <c r="D20" s="29">
        <f t="shared" si="10"/>
        <v>4.0368502377057141</v>
      </c>
      <c r="E20" s="29">
        <f t="shared" si="10"/>
        <v>4.2626972370858667</v>
      </c>
      <c r="F20" s="29">
        <f t="shared" si="10"/>
        <v>4.4794625641096211</v>
      </c>
      <c r="G20" s="29">
        <f t="shared" si="10"/>
        <v>4.6873938835374487</v>
      </c>
      <c r="H20" s="29">
        <f t="shared" si="10"/>
        <v>4.8867329909632771</v>
      </c>
      <c r="I20" s="29">
        <f t="shared" si="10"/>
        <v>5.0777159420785081</v>
      </c>
      <c r="J20" s="29">
        <f t="shared" si="10"/>
        <v>5.2605731792145853</v>
      </c>
      <c r="K20" s="13" t="s">
        <v>11</v>
      </c>
    </row>
    <row r="22" spans="2:11">
      <c r="K22" s="1" t="s">
        <v>6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OLD UK</vt:lpstr>
    </vt:vector>
  </TitlesOfParts>
  <Company>Carbon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 Trust</dc:creator>
  <cp:lastModifiedBy>Thomas Counsell</cp:lastModifiedBy>
  <dcterms:created xsi:type="dcterms:W3CDTF">2008-02-22T10:30:48Z</dcterms:created>
  <dcterms:modified xsi:type="dcterms:W3CDTF">2014-01-30T14:02:47Z</dcterms:modified>
</cp:coreProperties>
</file>